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635" yWindow="1005" windowWidth="15195" windowHeight="9210" activeTab="0"/>
  </bookViews>
  <sheets>
    <sheet name="Data" sheetId="1" r:id="rId1"/>
    <sheet name="Top Scorers" sheetId="2" r:id="rId2"/>
    <sheet name="Data 2" sheetId="3" r:id="rId3"/>
    <sheet name="ZipCodes" sheetId="4" r:id="rId4"/>
    <sheet name="Score Factors" sheetId="5" r:id="rId5"/>
    <sheet name="Scoring" sheetId="6" r:id="rId6"/>
    <sheet name="Scoring 2" sheetId="7" r:id="rId7"/>
    <sheet name="Metrics" sheetId="8" r:id="rId8"/>
    <sheet name="Total People" sheetId="9" r:id="rId9"/>
    <sheet name="Total Donated" sheetId="10" r:id="rId10"/>
    <sheet name="Average Donated" sheetId="11" r:id="rId11"/>
    <sheet name="Percentage Donating" sheetId="12" r:id="rId12"/>
  </sheets>
  <definedNames>
    <definedName name="_xlnm._FilterDatabase" localSheetId="2" hidden="1">'Data 2'!$A$1:$X$1001</definedName>
    <definedName name="ADJScore" localSheetId="5">OFFSET('Scoring'!$AA$1,0,0,'Data'!Num+1,1)</definedName>
    <definedName name="Alpha">{"a","b","c","d","e","f","g","h","i","j","k","l","m","n","o","p","q","r","s","t","u","v","w","x","y","z"}</definedName>
    <definedName name="CRITERIA" localSheetId="1">'Top Scorers'!#REF!</definedName>
    <definedName name="Donation" localSheetId="5">OFFSET('Scoring 2'!$E$2,0,0,'Scoring 2'!$J$5,1)</definedName>
    <definedName name="Donations" localSheetId="5">OFFSET('Scoring'!$Y$1,0,0,'Data'!Num+1,1)</definedName>
    <definedName name="EXTRACT" localSheetId="1">'Top Scorers'!#REF!</definedName>
    <definedName name="IDNum" localSheetId="0">OFFSET('Data'!$A$2,0,0,'Data'!$Z$3,1)</definedName>
    <definedName name="jjkk">{"a","b","c","d","e","f","g","h","i","j","k","l","m","n","o","p","q","r","s","t","u","v","w","x","y","z"}</definedName>
    <definedName name="Num" localSheetId="0">'Data'!$Z$3</definedName>
    <definedName name="People" localSheetId="5">OFFSET('Scoring 2'!$B$2,0,0,'Scoring 2'!$J$5,)</definedName>
    <definedName name="Percentage" localSheetId="5">OFFSET('Scoring 2'!$F$2,0,0,'Scoring 2'!$J$5,1)</definedName>
    <definedName name="Score" localSheetId="5">OFFSET('Scoring 2'!$A$2,0,0,'Scoring 2'!$J$5,1)</definedName>
    <definedName name="solver_cvg" localSheetId="7" hidden="1">0.0001</definedName>
    <definedName name="solver_drv" localSheetId="7" hidden="1">1</definedName>
    <definedName name="solver_est" localSheetId="7" hidden="1">1</definedName>
    <definedName name="solver_itr" localSheetId="7" hidden="1">100</definedName>
    <definedName name="solver_lin" localSheetId="7" hidden="1">2</definedName>
    <definedName name="solver_neg" localSheetId="7" hidden="1">2</definedName>
    <definedName name="solver_num" localSheetId="7" hidden="1">0</definedName>
    <definedName name="solver_nwt" localSheetId="7" hidden="1">1</definedName>
    <definedName name="solver_opt" localSheetId="7" hidden="1">'Metrics'!$G$49</definedName>
    <definedName name="solver_pre" localSheetId="7" hidden="1">0.000001</definedName>
    <definedName name="solver_scl" localSheetId="7" hidden="1">2</definedName>
    <definedName name="solver_sho" localSheetId="7" hidden="1">2</definedName>
    <definedName name="solver_tim" localSheetId="7" hidden="1">100</definedName>
    <definedName name="solver_tol" localSheetId="7" hidden="1">0.05</definedName>
    <definedName name="solver_typ" localSheetId="7" hidden="1">3</definedName>
    <definedName name="solver_val" localSheetId="7" hidden="1">1</definedName>
    <definedName name="Test1" localSheetId="7">OFFSET('Metrics'!$D$49,0,0,'Scoring 2'!$J$5,1)</definedName>
    <definedName name="Test2" localSheetId="7">OFFSET('Metrics'!$E$20,0,0,'Scoring 2'!$J$5,1)</definedName>
    <definedName name="Test4" localSheetId="7">OFFSET('Metrics'!$E$76,0,0,'Scoring 2'!$J$5,1)</definedName>
    <definedName name="Test5" localSheetId="7">OFFSET('Metrics'!$D$105,0,0,'Scoring 2'!$J$5,1)</definedName>
    <definedName name="Total" localSheetId="5">OFFSET('Scoring 2'!$C$2,0,0,'Scoring 2'!$J$5,1)</definedName>
    <definedName name="TotScore" localSheetId="5">OFFSET('Scoring'!$X$1,0,0,'Data'!Num,1)</definedName>
  </definedNames>
  <calcPr fullCalcOnLoad="1"/>
</workbook>
</file>

<file path=xl/sharedStrings.xml><?xml version="1.0" encoding="utf-8"?>
<sst xmlns="http://schemas.openxmlformats.org/spreadsheetml/2006/main" count="400" uniqueCount="211">
  <si>
    <t>Sum of Slopes/ 1000 =</t>
  </si>
  <si>
    <t>Averages (Kj)</t>
  </si>
  <si>
    <t>((Ki-1) + (Kj-2)) / 2</t>
  </si>
  <si>
    <t>Metric #5</t>
  </si>
  <si>
    <t>Comparasion of %Donating Averages</t>
  </si>
  <si>
    <t>Sum of Slopes of % Donating</t>
  </si>
  <si>
    <t xml:space="preserve">Sum of Slopes of </t>
  </si>
  <si>
    <t>Sum of Slopes *10 =</t>
  </si>
  <si>
    <t>Sum</t>
  </si>
  <si>
    <t>As close to 3</t>
  </si>
  <si>
    <t>(Metrics #1,#3,#5)</t>
  </si>
  <si>
    <t>MA</t>
  </si>
  <si>
    <t>GENDER</t>
  </si>
  <si>
    <t>NUM_CHILDREN</t>
  </si>
  <si>
    <t>TOTAL SCORE</t>
  </si>
  <si>
    <t>Total Donated</t>
  </si>
  <si>
    <t>Average Donated</t>
  </si>
  <si>
    <t>Factor for "T"</t>
  </si>
  <si>
    <t>Factor for "F"</t>
  </si>
  <si>
    <t>Factor for Blank</t>
  </si>
  <si>
    <t>Factor for Non-Blank</t>
  </si>
  <si>
    <t>Year for Oldest Bucket</t>
  </si>
  <si>
    <t>Score for Oldest</t>
  </si>
  <si>
    <t>Year for Youngest Bucket</t>
  </si>
  <si>
    <t>Score for Youngest</t>
  </si>
  <si>
    <t>Rounded Score</t>
  </si>
  <si>
    <t>Corrective Factor</t>
  </si>
  <si>
    <t>(Needed for Chart)</t>
  </si>
  <si>
    <t>Min</t>
  </si>
  <si>
    <t>Max</t>
  </si>
  <si>
    <t>Metric #1</t>
  </si>
  <si>
    <t>R-Squared</t>
  </si>
  <si>
    <t>As close to 1 as possible</t>
  </si>
  <si>
    <t>R-Squared Value</t>
  </si>
  <si>
    <t>Metric #2</t>
  </si>
  <si>
    <t>Sum of Slopes</t>
  </si>
  <si>
    <t>Maximize Value</t>
  </si>
  <si>
    <t>Slopes</t>
  </si>
  <si>
    <t>Sum of Slopes =</t>
  </si>
  <si>
    <t>R^2 =</t>
  </si>
  <si>
    <t>Metric #3</t>
  </si>
  <si>
    <t>As Close to 1 as Possible</t>
  </si>
  <si>
    <t>Comparasion of Averages</t>
  </si>
  <si>
    <t xml:space="preserve">Score = </t>
  </si>
  <si>
    <t xml:space="preserve">Sum = </t>
  </si>
  <si>
    <t>Sum of All</t>
  </si>
  <si>
    <t>i</t>
  </si>
  <si>
    <r>
      <t>K</t>
    </r>
    <r>
      <rPr>
        <b/>
        <sz val="8"/>
        <rFont val="Arial"/>
        <family val="2"/>
      </rPr>
      <t>i+1</t>
    </r>
    <r>
      <rPr>
        <b/>
        <sz val="10"/>
        <rFont val="Arial"/>
        <family val="2"/>
      </rPr>
      <t xml:space="preserve"> - K</t>
    </r>
    <r>
      <rPr>
        <b/>
        <sz val="8"/>
        <rFont val="Arial"/>
        <family val="2"/>
      </rPr>
      <t>i</t>
    </r>
  </si>
  <si>
    <t>Score</t>
  </si>
  <si>
    <r>
      <t xml:space="preserve">Test </t>
    </r>
    <r>
      <rPr>
        <i/>
        <sz val="10"/>
        <rFont val="Arial"/>
        <family val="2"/>
      </rPr>
      <t>(+1 if C&lt;B; +0 if (.9)C&lt;B; -1 if (.9)C&gt;B+10)</t>
    </r>
  </si>
  <si>
    <r>
      <t># K</t>
    </r>
    <r>
      <rPr>
        <b/>
        <sz val="8"/>
        <rFont val="Arial"/>
        <family val="2"/>
      </rPr>
      <t>i</t>
    </r>
    <r>
      <rPr>
        <b/>
        <sz val="10"/>
        <rFont val="Arial"/>
        <family val="2"/>
      </rPr>
      <t xml:space="preserve"> + #K</t>
    </r>
    <r>
      <rPr>
        <b/>
        <sz val="8"/>
        <rFont val="Arial"/>
        <family val="2"/>
      </rPr>
      <t>i+1</t>
    </r>
  </si>
  <si>
    <r>
      <t>Averages (K</t>
    </r>
    <r>
      <rPr>
        <b/>
        <sz val="8"/>
        <rFont val="Arial"/>
        <family val="2"/>
      </rPr>
      <t>j</t>
    </r>
    <r>
      <rPr>
        <b/>
        <sz val="10"/>
        <rFont val="Arial"/>
        <family val="2"/>
      </rPr>
      <t>)</t>
    </r>
  </si>
  <si>
    <r>
      <t>((K</t>
    </r>
    <r>
      <rPr>
        <b/>
        <sz val="8"/>
        <rFont val="Arial"/>
        <family val="2"/>
      </rPr>
      <t>i-1</t>
    </r>
    <r>
      <rPr>
        <b/>
        <sz val="10"/>
        <rFont val="Arial"/>
        <family val="2"/>
      </rPr>
      <t>) + (K</t>
    </r>
    <r>
      <rPr>
        <b/>
        <sz val="8"/>
        <rFont val="Arial"/>
        <family val="2"/>
      </rPr>
      <t>j-2</t>
    </r>
    <r>
      <rPr>
        <b/>
        <sz val="10"/>
        <rFont val="Arial"/>
        <family val="2"/>
      </rPr>
      <t>)) / 2</t>
    </r>
  </si>
  <si>
    <t>DONATION</t>
  </si>
  <si>
    <t>Factor for "M"</t>
  </si>
  <si>
    <t>% Donating</t>
  </si>
  <si>
    <t>Average</t>
  </si>
  <si>
    <t>Ignore: Used for Chart</t>
  </si>
  <si>
    <t>MARRIED</t>
  </si>
  <si>
    <t>Non_WPI Degree</t>
  </si>
  <si>
    <t>FRAT</t>
  </si>
  <si>
    <t>Varsity_Sports</t>
  </si>
  <si>
    <t>NUM_OF_CHILD</t>
  </si>
  <si>
    <t>PREF_CLAS</t>
  </si>
  <si>
    <t>HAD_SCHOLARSHIP</t>
  </si>
  <si>
    <t>REUNION</t>
  </si>
  <si>
    <t>ALUM_VOLUNTEER</t>
  </si>
  <si>
    <t>GPA</t>
  </si>
  <si>
    <t>GRAD_DISTINCTION</t>
  </si>
  <si>
    <t>Total Donation</t>
  </si>
  <si>
    <t>RES_ZIP</t>
  </si>
  <si>
    <t>Factor for "Other"</t>
  </si>
  <si>
    <t>ID</t>
  </si>
  <si>
    <t>NON_WPI_DEG</t>
  </si>
  <si>
    <t>VARSITY_SPRTS</t>
  </si>
  <si>
    <t>WPI_SPS</t>
  </si>
  <si>
    <t>CLS_AGENT</t>
  </si>
  <si>
    <t>STU_PROJECT_CTR</t>
  </si>
  <si>
    <t>STU_INTL_CLUB</t>
  </si>
  <si>
    <t>STU_CLUB_SPORT</t>
  </si>
  <si>
    <t>STU_PROF_SOC</t>
  </si>
  <si>
    <t>STU_MUSIC</t>
  </si>
  <si>
    <t>STU_SCH_INVOLVE</t>
  </si>
  <si>
    <t>STU_HONOR_SOC</t>
  </si>
  <si>
    <t>ME</t>
  </si>
  <si>
    <t>Factor for "Married"</t>
  </si>
  <si>
    <t>Factor for "Single"</t>
  </si>
  <si>
    <t>Factor for Else</t>
  </si>
  <si>
    <t>Metric #4</t>
  </si>
  <si>
    <t>Sum of Slopes for % Donating</t>
  </si>
  <si>
    <t>PERSON_NUMBER</t>
  </si>
  <si>
    <t>STU_GPA</t>
  </si>
  <si>
    <t>Total DONATION</t>
  </si>
  <si>
    <t>ADJ Score</t>
  </si>
  <si>
    <t>Adjusted Min</t>
  </si>
  <si>
    <t>Adjusted Max</t>
  </si>
  <si>
    <t>Wanted Max:</t>
  </si>
  <si>
    <t>Zip Min</t>
  </si>
  <si>
    <t>Zip Max</t>
  </si>
  <si>
    <t>ST</t>
  </si>
  <si>
    <t>STATE</t>
  </si>
  <si>
    <t>NOT IN USE</t>
  </si>
  <si>
    <t>Massachusetts</t>
  </si>
  <si>
    <t>RI</t>
  </si>
  <si>
    <t>Rhode Island</t>
  </si>
  <si>
    <t>NH</t>
  </si>
  <si>
    <t>New Hampshire</t>
  </si>
  <si>
    <t>Maine</t>
  </si>
  <si>
    <t>VT</t>
  </si>
  <si>
    <t>Vermont</t>
  </si>
  <si>
    <t>Massachusetts (Andover)</t>
  </si>
  <si>
    <t>CT</t>
  </si>
  <si>
    <t>Connecticut</t>
  </si>
  <si>
    <t>NY</t>
  </si>
  <si>
    <t>New York (Fishers Is)</t>
  </si>
  <si>
    <t>NJ</t>
  </si>
  <si>
    <t>New Jersey</t>
  </si>
  <si>
    <t>New York</t>
  </si>
  <si>
    <t>PA</t>
  </si>
  <si>
    <t>Pennsylvania</t>
  </si>
  <si>
    <t>DE</t>
  </si>
  <si>
    <t>Delaware</t>
  </si>
  <si>
    <t>DC</t>
  </si>
  <si>
    <t>Dist of Columbia</t>
  </si>
  <si>
    <t>VA</t>
  </si>
  <si>
    <t>Virginia</t>
  </si>
  <si>
    <t>MD</t>
  </si>
  <si>
    <t>Maryland</t>
  </si>
  <si>
    <t>WV</t>
  </si>
  <si>
    <t>West Virginia</t>
  </si>
  <si>
    <t>NC</t>
  </si>
  <si>
    <t>North Carolina</t>
  </si>
  <si>
    <t>SC</t>
  </si>
  <si>
    <t>South Carolina</t>
  </si>
  <si>
    <t>GA</t>
  </si>
  <si>
    <t>Georgia</t>
  </si>
  <si>
    <t>FL</t>
  </si>
  <si>
    <t>Florida</t>
  </si>
  <si>
    <t>AL</t>
  </si>
  <si>
    <t>Alabama</t>
  </si>
  <si>
    <t>TN</t>
  </si>
  <si>
    <t>Tennessee</t>
  </si>
  <si>
    <t>MS</t>
  </si>
  <si>
    <t>Mississippi</t>
  </si>
  <si>
    <t>Georga (Atlanta)</t>
  </si>
  <si>
    <t>KY</t>
  </si>
  <si>
    <t>Kentucky</t>
  </si>
  <si>
    <t>OH</t>
  </si>
  <si>
    <t>Ohio</t>
  </si>
  <si>
    <t>IN</t>
  </si>
  <si>
    <t>Indiana</t>
  </si>
  <si>
    <t>MI</t>
  </si>
  <si>
    <t>Michigan</t>
  </si>
  <si>
    <t>IA</t>
  </si>
  <si>
    <t>Iowa</t>
  </si>
  <si>
    <t>WI</t>
  </si>
  <si>
    <t>Wisconsin</t>
  </si>
  <si>
    <t>MN</t>
  </si>
  <si>
    <t>Minnesota</t>
  </si>
  <si>
    <t>SD</t>
  </si>
  <si>
    <t>South Dakota</t>
  </si>
  <si>
    <t>ND</t>
  </si>
  <si>
    <t>North Dakota</t>
  </si>
  <si>
    <t>MT</t>
  </si>
  <si>
    <t>Montana</t>
  </si>
  <si>
    <t>IL</t>
  </si>
  <si>
    <t>Illinois</t>
  </si>
  <si>
    <t>MO</t>
  </si>
  <si>
    <t>kc96 DataMO</t>
  </si>
  <si>
    <t>KS</t>
  </si>
  <si>
    <t>Kansas</t>
  </si>
  <si>
    <t>NE</t>
  </si>
  <si>
    <t>Nebraska</t>
  </si>
  <si>
    <t>Iowa (OMAHA)</t>
  </si>
  <si>
    <t>LA</t>
  </si>
  <si>
    <t>Louisiana</t>
  </si>
  <si>
    <t>Mississippi(Warren)</t>
  </si>
  <si>
    <t>AR</t>
  </si>
  <si>
    <t>Arkansas</t>
  </si>
  <si>
    <t>OK</t>
  </si>
  <si>
    <t>Oklahoma</t>
  </si>
  <si>
    <t>TX</t>
  </si>
  <si>
    <t>Texas (Austin)</t>
  </si>
  <si>
    <t>Texas</t>
  </si>
  <si>
    <t>Arkansas (Texarkana)</t>
  </si>
  <si>
    <t>CO</t>
  </si>
  <si>
    <t>Colorado</t>
  </si>
  <si>
    <t>WY</t>
  </si>
  <si>
    <t>Wyoming</t>
  </si>
  <si>
    <t>Idaho</t>
  </si>
  <si>
    <t>UT</t>
  </si>
  <si>
    <t>Utah</t>
  </si>
  <si>
    <t>AZ</t>
  </si>
  <si>
    <t>Arizona</t>
  </si>
  <si>
    <t>NM</t>
  </si>
  <si>
    <t>New Mexico</t>
  </si>
  <si>
    <t>Texas (El Paso)</t>
  </si>
  <si>
    <t>NV</t>
  </si>
  <si>
    <t>Nevada</t>
  </si>
  <si>
    <t>CA</t>
  </si>
  <si>
    <t>California</t>
  </si>
  <si>
    <t>HI</t>
  </si>
  <si>
    <t>Hawaii</t>
  </si>
  <si>
    <t>OR</t>
  </si>
  <si>
    <t>Oregon</t>
  </si>
  <si>
    <t>WA</t>
  </si>
  <si>
    <t>Washington</t>
  </si>
  <si>
    <t>AK</t>
  </si>
  <si>
    <t>Alaska</t>
  </si>
  <si>
    <t>Factor for "Not Listed"</t>
  </si>
  <si>
    <t>See ZipCodes Tab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</si>
</sst>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0"/>
    <numFmt numFmtId="172" formatCode="000000000000"/>
    <numFmt numFmtId="173" formatCode="&quot;$&quot;#,##0.00"/>
    <numFmt numFmtId="174" formatCode="0.000"/>
    <numFmt numFmtId="175" formatCode="00000\-0000"/>
    <numFmt numFmtId="176" formatCode="[$-409]h:mm:ss\ AM/PM"/>
    <numFmt numFmtId="177" formatCode="[$-409]dddd\,\ mmmm\ dd\,\ yyyy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vertAlign val="superscript"/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0"/>
    </font>
    <font>
      <b/>
      <sz val="10"/>
      <name val="MS Sans Serif"/>
      <family val="2"/>
    </font>
    <font>
      <sz val="7"/>
      <name val="Times New Roman"/>
      <family val="1"/>
    </font>
    <font>
      <b/>
      <sz val="14"/>
      <name val="Verdana"/>
      <family val="0"/>
    </font>
    <font>
      <sz val="12"/>
      <name val="Verdana"/>
      <family val="0"/>
    </font>
    <font>
      <b/>
      <sz val="26"/>
      <color indexed="10"/>
      <name val="Arial"/>
      <family val="2"/>
    </font>
    <font>
      <b/>
      <sz val="16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" xfId="0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2" xfId="0" applyBorder="1" applyAlignment="1">
      <alignment/>
    </xf>
    <xf numFmtId="0" fontId="6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2" xfId="0" applyFont="1" applyBorder="1" applyAlignment="1">
      <alignment/>
    </xf>
    <xf numFmtId="166" fontId="6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0" fontId="1" fillId="0" borderId="28" xfId="0" applyNumberFormat="1" applyFont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2" borderId="35" xfId="0" applyFont="1" applyFill="1" applyBorder="1" applyAlignment="1">
      <alignment/>
    </xf>
    <xf numFmtId="0" fontId="14" fillId="2" borderId="23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3" fontId="0" fillId="0" borderId="38" xfId="0" applyNumberFormat="1" applyBorder="1" applyAlignment="1">
      <alignment horizontal="right"/>
    </xf>
    <xf numFmtId="173" fontId="0" fillId="0" borderId="39" xfId="0" applyNumberFormat="1" applyBorder="1" applyAlignment="1">
      <alignment horizontal="right"/>
    </xf>
    <xf numFmtId="173" fontId="0" fillId="0" borderId="7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1" fillId="2" borderId="0" xfId="0" applyNumberFormat="1" applyFont="1" applyFill="1" applyAlignment="1" quotePrefix="1">
      <alignment horizontal="center"/>
    </xf>
    <xf numFmtId="173" fontId="1" fillId="3" borderId="0" xfId="0" applyNumberFormat="1" applyFont="1" applyFill="1" applyAlignment="1">
      <alignment horizontal="right"/>
    </xf>
    <xf numFmtId="0" fontId="1" fillId="2" borderId="0" xfId="0" applyNumberFormat="1" applyFont="1" applyFill="1" applyAlignment="1" quotePrefix="1">
      <alignment horizontal="left"/>
    </xf>
    <xf numFmtId="173" fontId="1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0" fontId="1" fillId="0" borderId="0" xfId="0" applyNumberFormat="1" applyFont="1" applyFill="1" applyAlignment="1">
      <alignment horizontal="left"/>
    </xf>
    <xf numFmtId="173" fontId="1" fillId="0" borderId="0" xfId="0" applyNumberFormat="1" applyFont="1" applyFill="1" applyAlignment="1">
      <alignment horizontal="left"/>
    </xf>
    <xf numFmtId="0" fontId="14" fillId="2" borderId="35" xfId="0" applyNumberFormat="1" applyFont="1" applyFill="1" applyBorder="1" applyAlignment="1">
      <alignment/>
    </xf>
    <xf numFmtId="0" fontId="1" fillId="2" borderId="40" xfId="0" applyNumberFormat="1" applyFont="1" applyFill="1" applyBorder="1" applyAlignment="1" quotePrefix="1">
      <alignment horizontal="left"/>
    </xf>
    <xf numFmtId="0" fontId="0" fillId="0" borderId="35" xfId="0" applyBorder="1" applyAlignment="1">
      <alignment/>
    </xf>
    <xf numFmtId="0" fontId="1" fillId="2" borderId="39" xfId="0" applyNumberFormat="1" applyFont="1" applyFill="1" applyBorder="1" applyAlignment="1" quotePrefix="1">
      <alignment horizontal="left"/>
    </xf>
    <xf numFmtId="0" fontId="1" fillId="2" borderId="35" xfId="0" applyNumberFormat="1" applyFont="1" applyFill="1" applyBorder="1" applyAlignment="1" quotePrefix="1">
      <alignment horizontal="left"/>
    </xf>
    <xf numFmtId="0" fontId="0" fillId="0" borderId="17" xfId="0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73" fontId="1" fillId="0" borderId="41" xfId="0" applyNumberFormat="1" applyFont="1" applyBorder="1" applyAlignment="1">
      <alignment horizontal="right"/>
    </xf>
    <xf numFmtId="173" fontId="0" fillId="0" borderId="42" xfId="0" applyNumberFormat="1" applyBorder="1" applyAlignment="1">
      <alignment/>
    </xf>
    <xf numFmtId="173" fontId="1" fillId="0" borderId="6" xfId="0" applyNumberFormat="1" applyFont="1" applyBorder="1" applyAlignment="1">
      <alignment horizontal="right"/>
    </xf>
    <xf numFmtId="173" fontId="1" fillId="0" borderId="43" xfId="0" applyNumberFormat="1" applyFont="1" applyBorder="1" applyAlignment="1">
      <alignment horizontal="right"/>
    </xf>
    <xf numFmtId="173" fontId="1" fillId="0" borderId="44" xfId="0" applyNumberFormat="1" applyFont="1" applyBorder="1" applyAlignment="1">
      <alignment horizontal="right"/>
    </xf>
    <xf numFmtId="173" fontId="1" fillId="0" borderId="37" xfId="0" applyNumberFormat="1" applyFont="1" applyBorder="1" applyAlignment="1">
      <alignment horizontal="right"/>
    </xf>
    <xf numFmtId="173" fontId="1" fillId="0" borderId="45" xfId="0" applyNumberFormat="1" applyFont="1" applyBorder="1" applyAlignment="1">
      <alignment horizontal="right"/>
    </xf>
    <xf numFmtId="173" fontId="1" fillId="0" borderId="13" xfId="0" applyNumberFormat="1" applyFont="1" applyBorder="1" applyAlignment="1">
      <alignment horizontal="right"/>
    </xf>
    <xf numFmtId="173" fontId="1" fillId="0" borderId="12" xfId="0" applyNumberFormat="1" applyFont="1" applyBorder="1" applyAlignment="1">
      <alignment horizontal="right"/>
    </xf>
    <xf numFmtId="173" fontId="1" fillId="0" borderId="14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166" fontId="0" fillId="4" borderId="40" xfId="0" applyNumberFormat="1" applyFill="1" applyBorder="1" applyAlignment="1">
      <alignment/>
    </xf>
    <xf numFmtId="166" fontId="0" fillId="4" borderId="13" xfId="0" applyNumberForma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0" xfId="0" applyFont="1" applyAlignment="1">
      <alignment horizontal="left" indent="12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People in Each Score "Bucket"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'Scoring 2'!$B$1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'Scoring 2'!$A$2:$A$21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'Scoring 2'!$B$2:$B$21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50"/>
        <c:axId val="18685598"/>
        <c:axId val="33952655"/>
      </c:barChart>
      <c:catAx>
        <c:axId val="18685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52655"/>
        <c:crosses val="autoZero"/>
        <c:auto val="1"/>
        <c:lblOffset val="100"/>
        <c:noMultiLvlLbl val="0"/>
      </c:catAx>
      <c:valAx>
        <c:axId val="3395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85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'Scoring 2'!$C$1</c:f>
              <c:strCache>
                <c:ptCount val="1"/>
                <c:pt idx="0">
                  <c:v>Total Donated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val>
            <c:numRef>
              <c:f>Scoring!Total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138440"/>
        <c:axId val="65810505"/>
      </c:lineChart>
      <c:catAx>
        <c:axId val="37138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 Bucket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10505"/>
        <c:crosses val="autoZero"/>
        <c:auto val="1"/>
        <c:lblOffset val="100"/>
        <c:noMultiLvlLbl val="0"/>
      </c:catAx>
      <c:valAx>
        <c:axId val="65810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$ Donated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.00" sourceLinked="0"/>
        <c:majorTickMark val="out"/>
        <c:minorTickMark val="none"/>
        <c:tickLblPos val="nextTo"/>
        <c:crossAx val="37138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Donation Per Score "Bucket"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'Scoring 2'!$D$1</c:f>
              <c:strCache>
                <c:ptCount val="1"/>
                <c:pt idx="0">
                  <c:v>Average Donated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Scoring!Donation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423634"/>
        <c:axId val="29050659"/>
      </c:lineChart>
      <c:catAx>
        <c:axId val="5542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 Bucket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50659"/>
        <c:crosses val="autoZero"/>
        <c:auto val="1"/>
        <c:lblOffset val="100"/>
        <c:noMultiLvlLbl val="0"/>
      </c:catAx>
      <c:valAx>
        <c:axId val="29050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Donation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23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Donating for each Score Bucket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425"/>
          <c:w val="0.848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'Scoring 2'!$F$1</c:f>
              <c:strCache>
                <c:ptCount val="1"/>
                <c:pt idx="0">
                  <c:v>% Donating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Scoring!Percentage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129340"/>
        <c:axId val="4293149"/>
      </c:lineChart>
      <c:scatterChart>
        <c:scatterStyle val="lineMarker"/>
        <c:varyColors val="0"/>
        <c:ser>
          <c:idx val="1"/>
          <c:order val="1"/>
          <c:tx>
            <c:strRef>
              <c:f>'Scoring 2'!$F$25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'Scoring 2'!$E$26:$E$27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'Scoring 2'!$F$26:$F$27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8638342"/>
        <c:axId val="12200759"/>
      </c:scatterChart>
      <c:catAx>
        <c:axId val="60129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 Bucket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3149"/>
        <c:crosses val="autoZero"/>
        <c:auto val="1"/>
        <c:lblOffset val="100"/>
        <c:noMultiLvlLbl val="0"/>
      </c:catAx>
      <c:valAx>
        <c:axId val="42931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29340"/>
        <c:crossesAt val="1"/>
        <c:crossBetween val="midCat"/>
        <c:dispUnits/>
      </c:valAx>
      <c:valAx>
        <c:axId val="38638342"/>
        <c:scaling>
          <c:orientation val="minMax"/>
          <c:max val="1"/>
        </c:scaling>
        <c:axPos val="b"/>
        <c:delete val="0"/>
        <c:numFmt formatCode="General" sourceLinked="1"/>
        <c:majorTickMark val="none"/>
        <c:minorTickMark val="none"/>
        <c:tickLblPos val="none"/>
        <c:crossAx val="12200759"/>
        <c:crosses val="max"/>
        <c:crossBetween val="midCat"/>
        <c:dispUnits/>
      </c:valAx>
      <c:valAx>
        <c:axId val="12200759"/>
        <c:scaling>
          <c:orientation val="minMax"/>
        </c:scaling>
        <c:axPos val="l"/>
        <c:delete val="1"/>
        <c:majorTickMark val="out"/>
        <c:minorTickMark val="none"/>
        <c:tickLblPos val="nextTo"/>
        <c:crossAx val="386383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7125"/>
          <c:w val="0.1122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>
    <tabColor indexed="24"/>
  </sheetPr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>
    <tabColor indexed="24"/>
  </sheetPr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>
    <tabColor indexed="24"/>
  </sheetPr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indexed="24"/>
  </sheetPr>
  <sheetViews>
    <sheetView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Z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12.75" customHeight="1"/>
  <cols>
    <col min="1" max="1" width="12.8515625" style="0" customWidth="1"/>
  </cols>
  <sheetData>
    <row r="1" spans="1:24" s="1" customFormat="1" ht="12.75">
      <c r="A1" t="s">
        <v>90</v>
      </c>
      <c r="B1" t="s">
        <v>58</v>
      </c>
      <c r="C1" t="s">
        <v>73</v>
      </c>
      <c r="D1" t="s">
        <v>60</v>
      </c>
      <c r="E1" t="s">
        <v>74</v>
      </c>
      <c r="F1" t="s">
        <v>70</v>
      </c>
      <c r="G1" t="s">
        <v>12</v>
      </c>
      <c r="H1" t="s">
        <v>75</v>
      </c>
      <c r="I1" t="s">
        <v>62</v>
      </c>
      <c r="J1" t="s">
        <v>63</v>
      </c>
      <c r="K1" t="s">
        <v>64</v>
      </c>
      <c r="L1" t="s">
        <v>76</v>
      </c>
      <c r="M1" t="s">
        <v>65</v>
      </c>
      <c r="N1" t="s">
        <v>66</v>
      </c>
      <c r="O1" t="s">
        <v>77</v>
      </c>
      <c r="P1" t="s">
        <v>91</v>
      </c>
      <c r="Q1" t="s">
        <v>78</v>
      </c>
      <c r="R1" t="s">
        <v>79</v>
      </c>
      <c r="S1" t="s">
        <v>80</v>
      </c>
      <c r="T1" t="s">
        <v>81</v>
      </c>
      <c r="U1" t="s">
        <v>82</v>
      </c>
      <c r="V1" t="s">
        <v>83</v>
      </c>
      <c r="W1" t="s">
        <v>68</v>
      </c>
      <c r="X1" t="s">
        <v>92</v>
      </c>
    </row>
    <row r="3" ht="12.75">
      <c r="Z3">
        <f>COUNT(A:A)</f>
        <v>0</v>
      </c>
    </row>
  </sheetData>
  <sheetProtection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B1"/>
  <sheetViews>
    <sheetView workbookViewId="0" topLeftCell="A1">
      <selection activeCell="A2" sqref="A2:B103"/>
    </sheetView>
  </sheetViews>
  <sheetFormatPr defaultColWidth="9.140625" defaultRowHeight="12.75" customHeight="1"/>
  <cols>
    <col min="1" max="1" width="11.421875" style="0" bestFit="1" customWidth="1"/>
    <col min="2" max="2" width="10.421875" style="0" bestFit="1" customWidth="1"/>
  </cols>
  <sheetData>
    <row r="1" spans="1:2" ht="12.75">
      <c r="A1" s="79" t="s">
        <v>72</v>
      </c>
      <c r="B1" s="126" t="s">
        <v>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A1:X1"/>
  <sheetViews>
    <sheetView workbookViewId="0" topLeftCell="A1">
      <pane ySplit="1" topLeftCell="BM90" activePane="bottomLeft" state="frozen"/>
      <selection pane="topLeft" activeCell="A1" sqref="A1"/>
      <selection pane="bottomLeft" activeCell="X2" sqref="A2:X101"/>
    </sheetView>
  </sheetViews>
  <sheetFormatPr defaultColWidth="9.140625" defaultRowHeight="12.75" customHeight="1"/>
  <cols>
    <col min="1" max="1" width="11.28125" style="0" bestFit="1" customWidth="1"/>
    <col min="2" max="2" width="18.57421875" style="0" bestFit="1" customWidth="1"/>
    <col min="3" max="3" width="16.8515625" style="0" bestFit="1" customWidth="1"/>
    <col min="4" max="4" width="11.8515625" style="0" bestFit="1" customWidth="1"/>
    <col min="5" max="5" width="19.00390625" style="0" bestFit="1" customWidth="1"/>
    <col min="6" max="6" width="20.140625" style="0" bestFit="1" customWidth="1"/>
    <col min="7" max="7" width="15.7109375" style="0" bestFit="1" customWidth="1"/>
    <col min="8" max="8" width="16.28125" style="0" bestFit="1" customWidth="1"/>
    <col min="9" max="9" width="13.00390625" style="0" bestFit="1" customWidth="1"/>
    <col min="10" max="10" width="14.140625" style="0" customWidth="1"/>
    <col min="11" max="11" width="15.00390625" style="0" customWidth="1"/>
    <col min="12" max="12" width="13.140625" style="0" bestFit="1" customWidth="1"/>
    <col min="13" max="13" width="30.140625" style="0" customWidth="1"/>
    <col min="14" max="14" width="19.57421875" style="0" bestFit="1" customWidth="1"/>
    <col min="15" max="15" width="22.140625" style="0" bestFit="1" customWidth="1"/>
    <col min="16" max="16" width="16.57421875" style="0" bestFit="1" customWidth="1"/>
    <col min="17" max="22" width="16.57421875" style="0" customWidth="1"/>
    <col min="23" max="23" width="24.00390625" style="0" bestFit="1" customWidth="1"/>
    <col min="24" max="24" width="14.421875" style="0" bestFit="1" customWidth="1"/>
  </cols>
  <sheetData>
    <row r="1" spans="1:24" s="1" customFormat="1" ht="12.75">
      <c r="A1" s="79" t="s">
        <v>72</v>
      </c>
      <c r="B1" s="79" t="s">
        <v>58</v>
      </c>
      <c r="C1" s="79" t="s">
        <v>73</v>
      </c>
      <c r="D1" s="79" t="s">
        <v>60</v>
      </c>
      <c r="E1" s="79" t="s">
        <v>74</v>
      </c>
      <c r="F1" s="79" t="s">
        <v>70</v>
      </c>
      <c r="G1" s="79" t="s">
        <v>12</v>
      </c>
      <c r="H1" s="79" t="s">
        <v>75</v>
      </c>
      <c r="I1" s="79" t="s">
        <v>62</v>
      </c>
      <c r="J1" s="79" t="s">
        <v>63</v>
      </c>
      <c r="K1" s="79" t="s">
        <v>64</v>
      </c>
      <c r="L1" s="79" t="s">
        <v>76</v>
      </c>
      <c r="M1" s="79" t="s">
        <v>65</v>
      </c>
      <c r="N1" s="79" t="s">
        <v>66</v>
      </c>
      <c r="O1" s="79" t="s">
        <v>77</v>
      </c>
      <c r="P1" s="79" t="s">
        <v>67</v>
      </c>
      <c r="Q1" s="79" t="s">
        <v>78</v>
      </c>
      <c r="R1" s="79" t="s">
        <v>79</v>
      </c>
      <c r="S1" s="79" t="s">
        <v>80</v>
      </c>
      <c r="T1" s="79" t="s">
        <v>81</v>
      </c>
      <c r="U1" s="79" t="s">
        <v>82</v>
      </c>
      <c r="V1" s="79" t="s">
        <v>83</v>
      </c>
      <c r="W1" s="79" t="s">
        <v>68</v>
      </c>
      <c r="X1" s="80" t="s">
        <v>69</v>
      </c>
    </row>
  </sheetData>
  <sheetProtection/>
  <autoFilter ref="A1:X100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A1:E131"/>
  <sheetViews>
    <sheetView workbookViewId="0" topLeftCell="A1">
      <selection activeCell="B28" sqref="B27:B28"/>
    </sheetView>
  </sheetViews>
  <sheetFormatPr defaultColWidth="9.140625" defaultRowHeight="12.75" customHeight="1"/>
  <cols>
    <col min="1" max="1" width="12.8515625" style="0" bestFit="1" customWidth="1"/>
    <col min="2" max="2" width="13.7109375" style="0" bestFit="1" customWidth="1"/>
    <col min="3" max="3" width="15.421875" style="0" bestFit="1" customWidth="1"/>
    <col min="4" max="4" width="15.421875" style="0" customWidth="1"/>
    <col min="5" max="5" width="31.57421875" style="0" bestFit="1" customWidth="1"/>
  </cols>
  <sheetData>
    <row r="1" spans="1:5" ht="18">
      <c r="A1" s="121" t="s">
        <v>97</v>
      </c>
      <c r="B1" s="121" t="s">
        <v>98</v>
      </c>
      <c r="C1" s="121" t="s">
        <v>99</v>
      </c>
      <c r="D1" s="121" t="s">
        <v>48</v>
      </c>
      <c r="E1" s="121" t="s">
        <v>100</v>
      </c>
    </row>
    <row r="2" spans="1:5" ht="15">
      <c r="A2" s="122">
        <v>0</v>
      </c>
      <c r="B2" s="122">
        <v>1000</v>
      </c>
      <c r="C2" s="122" t="s">
        <v>101</v>
      </c>
      <c r="D2" s="122">
        <f>'Score Factors'!$C$23</f>
        <v>-0.75</v>
      </c>
      <c r="E2" s="122"/>
    </row>
    <row r="3" spans="1:5" ht="15">
      <c r="A3" s="122">
        <v>1001</v>
      </c>
      <c r="B3" s="122">
        <v>2791</v>
      </c>
      <c r="C3" s="122" t="s">
        <v>11</v>
      </c>
      <c r="D3" s="122">
        <v>0.5</v>
      </c>
      <c r="E3" s="122" t="s">
        <v>102</v>
      </c>
    </row>
    <row r="4" spans="1:5" ht="15">
      <c r="A4" s="122">
        <v>2792</v>
      </c>
      <c r="B4" s="122">
        <v>2800</v>
      </c>
      <c r="C4" s="122" t="s">
        <v>101</v>
      </c>
      <c r="D4" s="122">
        <f>'Score Factors'!$C$23</f>
        <v>-0.75</v>
      </c>
      <c r="E4" s="122"/>
    </row>
    <row r="5" spans="1:5" ht="15">
      <c r="A5" s="122">
        <v>2801</v>
      </c>
      <c r="B5" s="122">
        <v>2940</v>
      </c>
      <c r="C5" s="122" t="s">
        <v>103</v>
      </c>
      <c r="D5" s="122">
        <v>-1</v>
      </c>
      <c r="E5" s="122" t="s">
        <v>104</v>
      </c>
    </row>
    <row r="6" spans="1:5" ht="15">
      <c r="A6" s="122">
        <v>2941</v>
      </c>
      <c r="B6" s="122">
        <v>3030</v>
      </c>
      <c r="C6" s="122" t="s">
        <v>101</v>
      </c>
      <c r="D6" s="122">
        <f>'Score Factors'!$C$23</f>
        <v>-0.75</v>
      </c>
      <c r="E6" s="122"/>
    </row>
    <row r="7" spans="1:5" ht="15">
      <c r="A7" s="122">
        <v>3031</v>
      </c>
      <c r="B7" s="122">
        <v>3897</v>
      </c>
      <c r="C7" s="122" t="s">
        <v>105</v>
      </c>
      <c r="D7" s="122">
        <v>0.5</v>
      </c>
      <c r="E7" s="122" t="s">
        <v>106</v>
      </c>
    </row>
    <row r="8" spans="1:5" ht="15">
      <c r="A8" s="122">
        <v>3898</v>
      </c>
      <c r="B8" s="122">
        <v>3900</v>
      </c>
      <c r="C8" s="122" t="s">
        <v>101</v>
      </c>
      <c r="D8" s="122">
        <f>'Score Factors'!$C$23</f>
        <v>-0.75</v>
      </c>
      <c r="E8" s="122"/>
    </row>
    <row r="9" spans="1:5" ht="15">
      <c r="A9" s="122">
        <v>3901</v>
      </c>
      <c r="B9" s="122">
        <v>4992</v>
      </c>
      <c r="C9" s="122" t="s">
        <v>84</v>
      </c>
      <c r="D9" s="122">
        <v>0.5</v>
      </c>
      <c r="E9" s="122" t="s">
        <v>107</v>
      </c>
    </row>
    <row r="10" spans="1:5" ht="15">
      <c r="A10" s="122">
        <v>4993</v>
      </c>
      <c r="B10" s="122">
        <v>5000</v>
      </c>
      <c r="C10" s="122" t="s">
        <v>101</v>
      </c>
      <c r="D10" s="122">
        <f>'Score Factors'!$C$23</f>
        <v>-0.75</v>
      </c>
      <c r="E10" s="122"/>
    </row>
    <row r="11" spans="1:5" ht="15">
      <c r="A11" s="122">
        <v>5001</v>
      </c>
      <c r="B11" s="122">
        <v>5495</v>
      </c>
      <c r="C11" s="122" t="s">
        <v>108</v>
      </c>
      <c r="D11" s="122">
        <v>0.5</v>
      </c>
      <c r="E11" s="122" t="s">
        <v>109</v>
      </c>
    </row>
    <row r="12" spans="1:5" ht="15">
      <c r="A12" s="122">
        <v>5496</v>
      </c>
      <c r="B12" s="122">
        <v>5500</v>
      </c>
      <c r="C12" s="122" t="s">
        <v>101</v>
      </c>
      <c r="D12" s="122">
        <f>'Score Factors'!$C$23</f>
        <v>-0.75</v>
      </c>
      <c r="E12" s="122"/>
    </row>
    <row r="13" spans="1:5" ht="15">
      <c r="A13" s="122">
        <v>5501</v>
      </c>
      <c r="B13" s="122">
        <v>5544</v>
      </c>
      <c r="C13" s="122" t="s">
        <v>11</v>
      </c>
      <c r="D13" s="122">
        <v>0.5</v>
      </c>
      <c r="E13" s="122" t="s">
        <v>110</v>
      </c>
    </row>
    <row r="14" spans="1:5" ht="15">
      <c r="A14" s="122">
        <v>5545</v>
      </c>
      <c r="B14" s="122">
        <v>5600</v>
      </c>
      <c r="C14" s="122" t="s">
        <v>101</v>
      </c>
      <c r="D14" s="122">
        <f>'Score Factors'!$C$23</f>
        <v>-0.75</v>
      </c>
      <c r="E14" s="122"/>
    </row>
    <row r="15" spans="1:5" ht="15">
      <c r="A15" s="122">
        <v>5601</v>
      </c>
      <c r="B15" s="122">
        <v>5907</v>
      </c>
      <c r="C15" s="122" t="s">
        <v>108</v>
      </c>
      <c r="D15" s="122">
        <v>0.5</v>
      </c>
      <c r="E15" s="122" t="s">
        <v>109</v>
      </c>
    </row>
    <row r="16" spans="1:5" ht="15">
      <c r="A16" s="122">
        <v>5908</v>
      </c>
      <c r="B16" s="122">
        <v>6000</v>
      </c>
      <c r="C16" s="122" t="s">
        <v>101</v>
      </c>
      <c r="D16" s="122">
        <f>'Score Factors'!$C$23</f>
        <v>-0.75</v>
      </c>
      <c r="E16" s="122"/>
    </row>
    <row r="17" spans="1:5" ht="15">
      <c r="A17" s="122">
        <v>6001</v>
      </c>
      <c r="B17" s="122">
        <v>6389</v>
      </c>
      <c r="C17" s="122" t="s">
        <v>111</v>
      </c>
      <c r="D17" s="122">
        <v>0.75</v>
      </c>
      <c r="E17" s="122" t="s">
        <v>112</v>
      </c>
    </row>
    <row r="18" spans="1:5" ht="15">
      <c r="A18" s="122">
        <v>6390</v>
      </c>
      <c r="B18" s="122">
        <v>6390</v>
      </c>
      <c r="C18" s="122" t="s">
        <v>113</v>
      </c>
      <c r="D18" s="122">
        <v>0.5</v>
      </c>
      <c r="E18" s="122" t="s">
        <v>114</v>
      </c>
    </row>
    <row r="19" spans="1:5" ht="15">
      <c r="A19" s="122">
        <v>6391</v>
      </c>
      <c r="B19" s="122">
        <v>6400</v>
      </c>
      <c r="C19" s="122" t="s">
        <v>101</v>
      </c>
      <c r="D19" s="122">
        <f>'Score Factors'!$C$23</f>
        <v>-0.75</v>
      </c>
      <c r="E19" s="122"/>
    </row>
    <row r="20" spans="1:5" ht="15">
      <c r="A20" s="122">
        <v>6401</v>
      </c>
      <c r="B20" s="122">
        <v>6928</v>
      </c>
      <c r="C20" s="122" t="s">
        <v>111</v>
      </c>
      <c r="D20" s="122">
        <v>0.75</v>
      </c>
      <c r="E20" s="122" t="s">
        <v>112</v>
      </c>
    </row>
    <row r="21" spans="1:5" ht="15">
      <c r="A21" s="122">
        <v>6929</v>
      </c>
      <c r="B21" s="122">
        <v>7000</v>
      </c>
      <c r="C21" s="122" t="s">
        <v>101</v>
      </c>
      <c r="D21" s="122">
        <f>'Score Factors'!$C$23</f>
        <v>-0.75</v>
      </c>
      <c r="E21" s="122"/>
    </row>
    <row r="22" spans="1:5" ht="15">
      <c r="A22" s="122">
        <v>7001</v>
      </c>
      <c r="B22" s="122">
        <v>8989</v>
      </c>
      <c r="C22" s="122" t="s">
        <v>115</v>
      </c>
      <c r="D22" s="122">
        <v>1</v>
      </c>
      <c r="E22" s="122" t="s">
        <v>116</v>
      </c>
    </row>
    <row r="23" spans="1:5" ht="15">
      <c r="A23" s="122">
        <v>8990</v>
      </c>
      <c r="B23" s="122">
        <v>10000</v>
      </c>
      <c r="C23" s="122" t="s">
        <v>101</v>
      </c>
      <c r="D23" s="122">
        <f>'Score Factors'!$C$23</f>
        <v>-0.75</v>
      </c>
      <c r="E23" s="122"/>
    </row>
    <row r="24" spans="1:5" ht="15">
      <c r="A24" s="122">
        <v>10001</v>
      </c>
      <c r="B24" s="122">
        <v>14975</v>
      </c>
      <c r="C24" s="122" t="s">
        <v>113</v>
      </c>
      <c r="D24" s="122">
        <v>0.5</v>
      </c>
      <c r="E24" s="122" t="s">
        <v>117</v>
      </c>
    </row>
    <row r="25" spans="1:5" ht="15">
      <c r="A25" s="122">
        <v>14976</v>
      </c>
      <c r="B25" s="122">
        <v>15000</v>
      </c>
      <c r="C25" s="122" t="s">
        <v>101</v>
      </c>
      <c r="D25" s="122">
        <f>'Score Factors'!$C$23</f>
        <v>-0.75</v>
      </c>
      <c r="E25" s="122"/>
    </row>
    <row r="26" spans="1:5" ht="15">
      <c r="A26" s="122">
        <v>15001</v>
      </c>
      <c r="B26" s="122">
        <v>19640</v>
      </c>
      <c r="C26" s="122" t="s">
        <v>118</v>
      </c>
      <c r="D26" s="122">
        <v>1</v>
      </c>
      <c r="E26" s="122" t="s">
        <v>119</v>
      </c>
    </row>
    <row r="27" spans="1:5" ht="15">
      <c r="A27" s="122">
        <v>19641</v>
      </c>
      <c r="B27" s="122">
        <v>19700</v>
      </c>
      <c r="C27" s="122" t="s">
        <v>101</v>
      </c>
      <c r="D27" s="122">
        <f>'Score Factors'!$C$23</f>
        <v>-0.75</v>
      </c>
      <c r="E27" s="122"/>
    </row>
    <row r="28" spans="1:5" ht="15">
      <c r="A28" s="122">
        <v>19701</v>
      </c>
      <c r="B28" s="122">
        <v>19980</v>
      </c>
      <c r="C28" s="122" t="s">
        <v>120</v>
      </c>
      <c r="D28" s="122">
        <v>1</v>
      </c>
      <c r="E28" s="122" t="s">
        <v>121</v>
      </c>
    </row>
    <row r="29" spans="1:5" ht="15">
      <c r="A29" s="122">
        <v>19981</v>
      </c>
      <c r="B29" s="122">
        <v>20000</v>
      </c>
      <c r="C29" s="122" t="s">
        <v>101</v>
      </c>
      <c r="D29" s="122">
        <f>'Score Factors'!$C$23</f>
        <v>-0.75</v>
      </c>
      <c r="E29" s="122"/>
    </row>
    <row r="30" spans="1:5" ht="15">
      <c r="A30" s="122">
        <v>20001</v>
      </c>
      <c r="B30" s="122">
        <v>20039</v>
      </c>
      <c r="C30" s="122" t="s">
        <v>122</v>
      </c>
      <c r="D30" s="122">
        <v>-1</v>
      </c>
      <c r="E30" s="122" t="s">
        <v>123</v>
      </c>
    </row>
    <row r="31" spans="1:5" ht="15">
      <c r="A31" s="122">
        <v>20040</v>
      </c>
      <c r="B31" s="122">
        <v>20167</v>
      </c>
      <c r="C31" s="122" t="s">
        <v>124</v>
      </c>
      <c r="D31" s="122">
        <v>0.5</v>
      </c>
      <c r="E31" s="122" t="s">
        <v>125</v>
      </c>
    </row>
    <row r="32" spans="1:5" ht="15">
      <c r="A32" s="122">
        <v>20168</v>
      </c>
      <c r="B32" s="122">
        <v>20599</v>
      </c>
      <c r="C32" s="122" t="s">
        <v>122</v>
      </c>
      <c r="D32" s="122">
        <v>-1</v>
      </c>
      <c r="E32" s="122" t="s">
        <v>123</v>
      </c>
    </row>
    <row r="33" spans="1:5" ht="15">
      <c r="A33" s="122">
        <v>20600</v>
      </c>
      <c r="B33" s="122">
        <v>20797</v>
      </c>
      <c r="C33" s="122" t="s">
        <v>126</v>
      </c>
      <c r="D33" s="122">
        <v>0.5</v>
      </c>
      <c r="E33" s="122" t="s">
        <v>127</v>
      </c>
    </row>
    <row r="34" spans="1:5" ht="15">
      <c r="A34" s="122">
        <v>20798</v>
      </c>
      <c r="B34" s="122">
        <v>20798</v>
      </c>
      <c r="C34" s="122" t="s">
        <v>101</v>
      </c>
      <c r="D34" s="122">
        <f>'Score Factors'!$C$23</f>
        <v>-0.75</v>
      </c>
      <c r="E34" s="122"/>
    </row>
    <row r="35" spans="1:5" ht="15">
      <c r="A35" s="122">
        <v>20799</v>
      </c>
      <c r="B35" s="122">
        <v>20799</v>
      </c>
      <c r="C35" s="122" t="s">
        <v>122</v>
      </c>
      <c r="D35" s="122">
        <v>-1</v>
      </c>
      <c r="E35" s="122" t="s">
        <v>123</v>
      </c>
    </row>
    <row r="36" spans="1:5" ht="15">
      <c r="A36" s="122">
        <v>20800</v>
      </c>
      <c r="B36" s="122">
        <v>20811</v>
      </c>
      <c r="C36" s="122" t="s">
        <v>101</v>
      </c>
      <c r="D36" s="122">
        <f>'Score Factors'!$C$23</f>
        <v>-0.75</v>
      </c>
      <c r="E36" s="122"/>
    </row>
    <row r="37" spans="1:5" ht="15">
      <c r="A37" s="122">
        <v>20812</v>
      </c>
      <c r="B37" s="122">
        <v>21930</v>
      </c>
      <c r="C37" s="122" t="s">
        <v>126</v>
      </c>
      <c r="D37" s="122">
        <v>0.5</v>
      </c>
      <c r="E37" s="122" t="s">
        <v>127</v>
      </c>
    </row>
    <row r="38" spans="1:5" ht="15">
      <c r="A38" s="122">
        <v>21931</v>
      </c>
      <c r="B38" s="122">
        <v>22000</v>
      </c>
      <c r="C38" s="122" t="s">
        <v>101</v>
      </c>
      <c r="D38" s="122">
        <f>'Score Factors'!$C$23</f>
        <v>-0.75</v>
      </c>
      <c r="E38" s="122"/>
    </row>
    <row r="39" spans="1:5" ht="15">
      <c r="A39" s="122">
        <v>22001</v>
      </c>
      <c r="B39" s="122">
        <v>24658</v>
      </c>
      <c r="C39" s="122" t="s">
        <v>124</v>
      </c>
      <c r="D39" s="122">
        <v>0.5</v>
      </c>
      <c r="E39" s="122" t="s">
        <v>125</v>
      </c>
    </row>
    <row r="40" spans="1:5" ht="15">
      <c r="A40" s="122">
        <v>24659</v>
      </c>
      <c r="B40" s="122">
        <v>24700</v>
      </c>
      <c r="C40" s="122" t="s">
        <v>101</v>
      </c>
      <c r="D40" s="122">
        <f>'Score Factors'!$C$23</f>
        <v>-0.75</v>
      </c>
      <c r="E40" s="122"/>
    </row>
    <row r="41" spans="1:5" ht="15">
      <c r="A41" s="122">
        <v>24701</v>
      </c>
      <c r="B41" s="122">
        <v>26886</v>
      </c>
      <c r="C41" s="122" t="s">
        <v>128</v>
      </c>
      <c r="D41" s="122">
        <v>0.5</v>
      </c>
      <c r="E41" s="122" t="s">
        <v>129</v>
      </c>
    </row>
    <row r="42" spans="1:5" ht="15">
      <c r="A42" s="122">
        <v>26887</v>
      </c>
      <c r="B42" s="122">
        <v>27005</v>
      </c>
      <c r="C42" s="122" t="s">
        <v>101</v>
      </c>
      <c r="D42" s="122">
        <f>'Score Factors'!$C$23</f>
        <v>-0.75</v>
      </c>
      <c r="E42" s="122"/>
    </row>
    <row r="43" spans="1:5" ht="15">
      <c r="A43" s="122">
        <v>27006</v>
      </c>
      <c r="B43" s="122">
        <v>28909</v>
      </c>
      <c r="C43" s="122" t="s">
        <v>130</v>
      </c>
      <c r="D43" s="122">
        <v>0.5</v>
      </c>
      <c r="E43" s="122" t="s">
        <v>131</v>
      </c>
    </row>
    <row r="44" spans="1:5" ht="15">
      <c r="A44" s="122">
        <v>28910</v>
      </c>
      <c r="B44" s="122">
        <v>29000</v>
      </c>
      <c r="C44" s="122" t="s">
        <v>101</v>
      </c>
      <c r="D44" s="122">
        <f>'Score Factors'!$C$23</f>
        <v>-0.75</v>
      </c>
      <c r="E44" s="122"/>
    </row>
    <row r="45" spans="1:5" ht="15">
      <c r="A45" s="122">
        <v>29001</v>
      </c>
      <c r="B45" s="122">
        <v>29948</v>
      </c>
      <c r="C45" s="122" t="s">
        <v>132</v>
      </c>
      <c r="D45" s="122">
        <v>0.5</v>
      </c>
      <c r="E45" s="122" t="s">
        <v>133</v>
      </c>
    </row>
    <row r="46" spans="1:5" ht="15">
      <c r="A46" s="122">
        <v>29949</v>
      </c>
      <c r="B46" s="122">
        <v>30000</v>
      </c>
      <c r="C46" s="122" t="s">
        <v>101</v>
      </c>
      <c r="D46" s="122">
        <f>'Score Factors'!$C$23</f>
        <v>-0.75</v>
      </c>
      <c r="E46" s="122"/>
    </row>
    <row r="47" spans="1:5" ht="15">
      <c r="A47" s="122">
        <v>30001</v>
      </c>
      <c r="B47" s="122">
        <v>31999</v>
      </c>
      <c r="C47" s="122" t="s">
        <v>134</v>
      </c>
      <c r="D47" s="122">
        <v>0.5</v>
      </c>
      <c r="E47" s="122" t="s">
        <v>135</v>
      </c>
    </row>
    <row r="48" spans="1:5" ht="15">
      <c r="A48" s="122">
        <v>32000</v>
      </c>
      <c r="B48" s="122">
        <v>32003</v>
      </c>
      <c r="C48" s="122" t="s">
        <v>101</v>
      </c>
      <c r="D48" s="122">
        <f>'Score Factors'!$C$23</f>
        <v>-0.75</v>
      </c>
      <c r="E48" s="122"/>
    </row>
    <row r="49" spans="1:5" ht="15">
      <c r="A49" s="122">
        <v>32004</v>
      </c>
      <c r="B49" s="122">
        <v>34997</v>
      </c>
      <c r="C49" s="122" t="s">
        <v>136</v>
      </c>
      <c r="D49" s="122">
        <v>1</v>
      </c>
      <c r="E49" s="122" t="s">
        <v>137</v>
      </c>
    </row>
    <row r="50" spans="1:5" ht="15">
      <c r="A50" s="122">
        <v>34998</v>
      </c>
      <c r="B50" s="122">
        <v>35003</v>
      </c>
      <c r="C50" s="122" t="s">
        <v>101</v>
      </c>
      <c r="D50" s="122">
        <f>'Score Factors'!$C$23</f>
        <v>-0.75</v>
      </c>
      <c r="E50" s="122"/>
    </row>
    <row r="51" spans="1:5" ht="15">
      <c r="A51" s="122">
        <v>35004</v>
      </c>
      <c r="B51" s="122">
        <v>36925</v>
      </c>
      <c r="C51" s="122" t="s">
        <v>138</v>
      </c>
      <c r="D51" s="122">
        <v>0.5</v>
      </c>
      <c r="E51" s="122" t="s">
        <v>139</v>
      </c>
    </row>
    <row r="52" spans="1:5" ht="15">
      <c r="A52" s="122">
        <v>36926</v>
      </c>
      <c r="B52" s="122">
        <v>37009</v>
      </c>
      <c r="C52" s="122" t="s">
        <v>101</v>
      </c>
      <c r="D52" s="122">
        <f>'Score Factors'!$C$23</f>
        <v>-0.75</v>
      </c>
      <c r="E52" s="122"/>
    </row>
    <row r="53" spans="1:5" ht="15">
      <c r="A53" s="122">
        <v>37010</v>
      </c>
      <c r="B53" s="122">
        <v>38589</v>
      </c>
      <c r="C53" s="122" t="s">
        <v>140</v>
      </c>
      <c r="D53" s="122">
        <v>0.5</v>
      </c>
      <c r="E53" s="122" t="s">
        <v>141</v>
      </c>
    </row>
    <row r="54" spans="1:5" ht="15">
      <c r="A54" s="122">
        <v>38590</v>
      </c>
      <c r="B54" s="122">
        <v>38600</v>
      </c>
      <c r="C54" s="122" t="s">
        <v>101</v>
      </c>
      <c r="D54" s="122">
        <f>'Score Factors'!$C$23</f>
        <v>-0.75</v>
      </c>
      <c r="E54" s="122"/>
    </row>
    <row r="55" spans="1:5" ht="15">
      <c r="A55" s="122">
        <v>38601</v>
      </c>
      <c r="B55" s="122">
        <v>39776</v>
      </c>
      <c r="C55" s="122" t="s">
        <v>142</v>
      </c>
      <c r="D55" s="122">
        <v>0.5</v>
      </c>
      <c r="E55" s="122" t="s">
        <v>143</v>
      </c>
    </row>
    <row r="56" spans="1:5" ht="15">
      <c r="A56" s="122">
        <v>39777</v>
      </c>
      <c r="B56" s="122">
        <v>39900</v>
      </c>
      <c r="C56" s="122" t="s">
        <v>101</v>
      </c>
      <c r="D56" s="122">
        <f>'Score Factors'!$C$23</f>
        <v>-0.75</v>
      </c>
      <c r="E56" s="122"/>
    </row>
    <row r="57" spans="1:5" ht="15">
      <c r="A57" s="122">
        <v>39901</v>
      </c>
      <c r="B57" s="122">
        <v>39901</v>
      </c>
      <c r="C57" s="122" t="s">
        <v>134</v>
      </c>
      <c r="D57" s="122">
        <v>0.5</v>
      </c>
      <c r="E57" s="122" t="s">
        <v>144</v>
      </c>
    </row>
    <row r="58" spans="1:5" ht="15">
      <c r="A58" s="122">
        <v>39902</v>
      </c>
      <c r="B58" s="122">
        <v>40002</v>
      </c>
      <c r="C58" s="122" t="s">
        <v>101</v>
      </c>
      <c r="D58" s="122">
        <f>'Score Factors'!$C$23</f>
        <v>-0.75</v>
      </c>
      <c r="E58" s="122"/>
    </row>
    <row r="59" spans="1:5" ht="15">
      <c r="A59" s="122">
        <v>40003</v>
      </c>
      <c r="B59" s="122">
        <v>42788</v>
      </c>
      <c r="C59" s="122" t="s">
        <v>145</v>
      </c>
      <c r="D59" s="122">
        <v>0.5</v>
      </c>
      <c r="E59" s="122" t="s">
        <v>146</v>
      </c>
    </row>
    <row r="60" spans="1:5" ht="15">
      <c r="A60" s="122">
        <v>42789</v>
      </c>
      <c r="B60" s="122">
        <v>43000</v>
      </c>
      <c r="C60" s="122" t="s">
        <v>101</v>
      </c>
      <c r="D60" s="122">
        <f>'Score Factors'!$C$23</f>
        <v>-0.75</v>
      </c>
      <c r="E60" s="122"/>
    </row>
    <row r="61" spans="1:5" ht="15">
      <c r="A61" s="122">
        <v>43001</v>
      </c>
      <c r="B61" s="122">
        <v>45999</v>
      </c>
      <c r="C61" s="122" t="s">
        <v>147</v>
      </c>
      <c r="D61" s="122">
        <v>1</v>
      </c>
      <c r="E61" s="122" t="s">
        <v>148</v>
      </c>
    </row>
    <row r="62" spans="1:5" ht="15">
      <c r="A62" s="122">
        <v>46000</v>
      </c>
      <c r="B62" s="122">
        <v>46000</v>
      </c>
      <c r="C62" s="122" t="s">
        <v>101</v>
      </c>
      <c r="D62" s="122">
        <f>'Score Factors'!$C$23</f>
        <v>-0.75</v>
      </c>
      <c r="E62" s="122"/>
    </row>
    <row r="63" spans="1:5" ht="15">
      <c r="A63" s="122">
        <v>46001</v>
      </c>
      <c r="B63" s="122">
        <v>47997</v>
      </c>
      <c r="C63" s="122" t="s">
        <v>149</v>
      </c>
      <c r="D63" s="122">
        <v>0.5</v>
      </c>
      <c r="E63" s="122" t="s">
        <v>150</v>
      </c>
    </row>
    <row r="64" spans="1:5" ht="15">
      <c r="A64" s="122">
        <v>47998</v>
      </c>
      <c r="B64" s="122">
        <v>48000</v>
      </c>
      <c r="C64" s="122" t="s">
        <v>101</v>
      </c>
      <c r="D64" s="122">
        <f>'Score Factors'!$C$23</f>
        <v>-0.75</v>
      </c>
      <c r="E64" s="122"/>
    </row>
    <row r="65" spans="1:5" ht="15">
      <c r="A65" s="122">
        <v>48001</v>
      </c>
      <c r="B65" s="122">
        <v>49971</v>
      </c>
      <c r="C65" s="122" t="s">
        <v>151</v>
      </c>
      <c r="D65" s="122">
        <v>0.75</v>
      </c>
      <c r="E65" s="122" t="s">
        <v>152</v>
      </c>
    </row>
    <row r="66" spans="1:5" ht="15">
      <c r="A66" s="122">
        <v>49972</v>
      </c>
      <c r="B66" s="122">
        <v>50000</v>
      </c>
      <c r="C66" s="122" t="s">
        <v>101</v>
      </c>
      <c r="D66" s="122">
        <f>'Score Factors'!$C$23</f>
        <v>-0.75</v>
      </c>
      <c r="E66" s="122"/>
    </row>
    <row r="67" spans="1:5" ht="15">
      <c r="A67" s="122">
        <v>50001</v>
      </c>
      <c r="B67" s="122">
        <v>52809</v>
      </c>
      <c r="C67" s="122" t="s">
        <v>153</v>
      </c>
      <c r="D67" s="122">
        <v>0.5</v>
      </c>
      <c r="E67" s="122" t="s">
        <v>154</v>
      </c>
    </row>
    <row r="68" spans="1:5" ht="15">
      <c r="A68" s="122">
        <v>52810</v>
      </c>
      <c r="B68" s="122">
        <v>53000</v>
      </c>
      <c r="C68" s="122" t="s">
        <v>101</v>
      </c>
      <c r="D68" s="122">
        <f>'Score Factors'!$C$23</f>
        <v>-0.75</v>
      </c>
      <c r="E68" s="122"/>
    </row>
    <row r="69" spans="1:5" ht="15">
      <c r="A69" s="122">
        <v>53001</v>
      </c>
      <c r="B69" s="122">
        <v>54990</v>
      </c>
      <c r="C69" s="122" t="s">
        <v>155</v>
      </c>
      <c r="D69" s="122">
        <v>0.5</v>
      </c>
      <c r="E69" s="122" t="s">
        <v>156</v>
      </c>
    </row>
    <row r="70" spans="1:5" ht="15">
      <c r="A70" s="122">
        <v>54991</v>
      </c>
      <c r="B70" s="122">
        <v>55000</v>
      </c>
      <c r="C70" s="122" t="s">
        <v>101</v>
      </c>
      <c r="D70" s="122">
        <f>'Score Factors'!$C$23</f>
        <v>-0.75</v>
      </c>
      <c r="E70" s="122"/>
    </row>
    <row r="71" spans="1:5" ht="15">
      <c r="A71" s="122">
        <v>55001</v>
      </c>
      <c r="B71" s="122">
        <v>56763</v>
      </c>
      <c r="C71" s="122" t="s">
        <v>157</v>
      </c>
      <c r="D71" s="122">
        <v>0.5</v>
      </c>
      <c r="E71" s="122" t="s">
        <v>158</v>
      </c>
    </row>
    <row r="72" spans="1:5" ht="15">
      <c r="A72" s="122">
        <v>56764</v>
      </c>
      <c r="B72" s="122">
        <v>57000</v>
      </c>
      <c r="C72" s="122" t="s">
        <v>101</v>
      </c>
      <c r="D72" s="122">
        <f>'Score Factors'!$C$23</f>
        <v>-0.75</v>
      </c>
      <c r="E72" s="122"/>
    </row>
    <row r="73" spans="1:5" ht="15">
      <c r="A73" s="122">
        <v>57001</v>
      </c>
      <c r="B73" s="122">
        <v>57799</v>
      </c>
      <c r="C73" s="122" t="s">
        <v>159</v>
      </c>
      <c r="D73" s="122">
        <v>0.5</v>
      </c>
      <c r="E73" s="122" t="s">
        <v>160</v>
      </c>
    </row>
    <row r="74" spans="1:5" ht="15">
      <c r="A74" s="122">
        <v>57800</v>
      </c>
      <c r="B74" s="122">
        <v>58000</v>
      </c>
      <c r="C74" s="122" t="s">
        <v>101</v>
      </c>
      <c r="D74" s="122">
        <f>'Score Factors'!$C$23</f>
        <v>-0.75</v>
      </c>
      <c r="E74" s="122"/>
    </row>
    <row r="75" spans="1:5" ht="15">
      <c r="A75" s="122">
        <v>58001</v>
      </c>
      <c r="B75" s="122">
        <v>58856</v>
      </c>
      <c r="C75" s="122" t="s">
        <v>161</v>
      </c>
      <c r="D75" s="122">
        <v>0.5</v>
      </c>
      <c r="E75" s="122" t="s">
        <v>162</v>
      </c>
    </row>
    <row r="76" spans="1:5" ht="15">
      <c r="A76" s="122">
        <v>58857</v>
      </c>
      <c r="B76" s="122">
        <v>59000</v>
      </c>
      <c r="C76" s="122" t="s">
        <v>101</v>
      </c>
      <c r="D76" s="122">
        <f>'Score Factors'!$C$23</f>
        <v>-0.75</v>
      </c>
      <c r="E76" s="122"/>
    </row>
    <row r="77" spans="1:5" ht="15">
      <c r="A77" s="122">
        <v>59001</v>
      </c>
      <c r="B77" s="122">
        <v>59937</v>
      </c>
      <c r="C77" s="122" t="s">
        <v>163</v>
      </c>
      <c r="D77" s="122">
        <v>-1</v>
      </c>
      <c r="E77" s="122" t="s">
        <v>164</v>
      </c>
    </row>
    <row r="78" spans="1:5" ht="15">
      <c r="A78" s="122">
        <v>59938</v>
      </c>
      <c r="B78" s="122">
        <v>60000</v>
      </c>
      <c r="C78" s="122" t="s">
        <v>101</v>
      </c>
      <c r="D78" s="122">
        <f>'Score Factors'!$C$23</f>
        <v>-0.75</v>
      </c>
      <c r="E78" s="122"/>
    </row>
    <row r="79" spans="1:5" ht="15">
      <c r="A79" s="122">
        <v>60001</v>
      </c>
      <c r="B79" s="122">
        <v>62999</v>
      </c>
      <c r="C79" s="122" t="s">
        <v>165</v>
      </c>
      <c r="D79" s="122">
        <v>1</v>
      </c>
      <c r="E79" s="122" t="s">
        <v>166</v>
      </c>
    </row>
    <row r="80" spans="1:5" ht="15">
      <c r="A80" s="122">
        <v>63000</v>
      </c>
      <c r="B80" s="122">
        <v>63000</v>
      </c>
      <c r="C80" s="122" t="s">
        <v>101</v>
      </c>
      <c r="D80" s="122">
        <f>'Score Factors'!$C$23</f>
        <v>-0.75</v>
      </c>
      <c r="E80" s="122"/>
    </row>
    <row r="81" spans="1:5" ht="15">
      <c r="A81" s="122">
        <v>63001</v>
      </c>
      <c r="B81" s="122">
        <v>65899</v>
      </c>
      <c r="C81" s="122" t="s">
        <v>167</v>
      </c>
      <c r="D81" s="122">
        <v>0.5</v>
      </c>
      <c r="E81" s="122" t="s">
        <v>168</v>
      </c>
    </row>
    <row r="82" spans="1:5" ht="15">
      <c r="A82" s="122">
        <v>65900</v>
      </c>
      <c r="B82" s="122">
        <v>66001</v>
      </c>
      <c r="C82" s="122" t="s">
        <v>101</v>
      </c>
      <c r="D82" s="122">
        <f>'Score Factors'!$C$23</f>
        <v>-0.75</v>
      </c>
      <c r="E82" s="122"/>
    </row>
    <row r="83" spans="1:5" ht="15">
      <c r="A83" s="122">
        <v>66002</v>
      </c>
      <c r="B83" s="122">
        <v>67954</v>
      </c>
      <c r="C83" s="122" t="s">
        <v>169</v>
      </c>
      <c r="D83" s="122">
        <v>0.5</v>
      </c>
      <c r="E83" s="122" t="s">
        <v>170</v>
      </c>
    </row>
    <row r="84" spans="1:5" ht="15">
      <c r="A84" s="122">
        <v>67955</v>
      </c>
      <c r="B84" s="122">
        <v>68000</v>
      </c>
      <c r="C84" s="122" t="s">
        <v>101</v>
      </c>
      <c r="D84" s="122">
        <f>'Score Factors'!$C$23</f>
        <v>-0.75</v>
      </c>
      <c r="E84" s="122"/>
    </row>
    <row r="85" spans="1:5" ht="15">
      <c r="A85" s="122">
        <v>68001</v>
      </c>
      <c r="B85" s="122">
        <v>68118</v>
      </c>
      <c r="C85" s="122" t="s">
        <v>171</v>
      </c>
      <c r="D85" s="122">
        <v>0.5</v>
      </c>
      <c r="E85" s="122" t="s">
        <v>172</v>
      </c>
    </row>
    <row r="86" spans="1:5" ht="15">
      <c r="A86" s="122">
        <v>68119</v>
      </c>
      <c r="B86" s="122">
        <v>68120</v>
      </c>
      <c r="C86" s="122" t="s">
        <v>153</v>
      </c>
      <c r="D86" s="122">
        <v>0.5</v>
      </c>
      <c r="E86" s="122" t="s">
        <v>173</v>
      </c>
    </row>
    <row r="87" spans="1:5" ht="15">
      <c r="A87" s="122">
        <v>68121</v>
      </c>
      <c r="B87" s="122">
        <v>68121</v>
      </c>
      <c r="C87" s="122" t="s">
        <v>101</v>
      </c>
      <c r="D87" s="122">
        <f>'Score Factors'!$C$23</f>
        <v>-0.75</v>
      </c>
      <c r="E87" s="122"/>
    </row>
    <row r="88" spans="1:5" ht="15">
      <c r="A88" s="122">
        <v>68122</v>
      </c>
      <c r="B88" s="122">
        <v>69367</v>
      </c>
      <c r="C88" s="122" t="s">
        <v>171</v>
      </c>
      <c r="D88" s="122">
        <v>0.5</v>
      </c>
      <c r="E88" s="122" t="s">
        <v>172</v>
      </c>
    </row>
    <row r="89" spans="1:5" ht="15">
      <c r="A89" s="122">
        <v>69368</v>
      </c>
      <c r="B89" s="122">
        <v>70000</v>
      </c>
      <c r="C89" s="122" t="s">
        <v>101</v>
      </c>
      <c r="D89" s="122">
        <f>'Score Factors'!$C$23</f>
        <v>-0.75</v>
      </c>
      <c r="E89" s="122"/>
    </row>
    <row r="90" spans="1:5" ht="15">
      <c r="A90" s="122">
        <v>70001</v>
      </c>
      <c r="B90" s="122">
        <v>71232</v>
      </c>
      <c r="C90" s="122" t="s">
        <v>174</v>
      </c>
      <c r="D90" s="122">
        <v>0.5</v>
      </c>
      <c r="E90" s="122" t="s">
        <v>175</v>
      </c>
    </row>
    <row r="91" spans="1:5" ht="15">
      <c r="A91" s="122">
        <v>71233</v>
      </c>
      <c r="B91" s="122">
        <v>71233</v>
      </c>
      <c r="C91" s="122" t="s">
        <v>142</v>
      </c>
      <c r="D91" s="122">
        <v>0.5</v>
      </c>
      <c r="E91" s="122" t="s">
        <v>176</v>
      </c>
    </row>
    <row r="92" spans="1:5" ht="15">
      <c r="A92" s="122">
        <v>71234</v>
      </c>
      <c r="B92" s="122">
        <v>71497</v>
      </c>
      <c r="C92" s="122" t="s">
        <v>174</v>
      </c>
      <c r="D92" s="122">
        <v>0.5</v>
      </c>
      <c r="E92" s="122" t="s">
        <v>175</v>
      </c>
    </row>
    <row r="93" spans="1:5" ht="15">
      <c r="A93" s="122">
        <v>71498</v>
      </c>
      <c r="B93" s="122">
        <v>71600</v>
      </c>
      <c r="C93" s="122" t="s">
        <v>101</v>
      </c>
      <c r="D93" s="122">
        <f>'Score Factors'!$C$23</f>
        <v>-0.75</v>
      </c>
      <c r="E93" s="122"/>
    </row>
    <row r="94" spans="1:5" ht="15">
      <c r="A94" s="122">
        <v>71601</v>
      </c>
      <c r="B94" s="122">
        <v>72959</v>
      </c>
      <c r="C94" s="122" t="s">
        <v>177</v>
      </c>
      <c r="D94" s="122">
        <v>0.5</v>
      </c>
      <c r="E94" s="122" t="s">
        <v>178</v>
      </c>
    </row>
    <row r="95" spans="1:5" ht="15">
      <c r="A95" s="122">
        <v>72960</v>
      </c>
      <c r="B95" s="122">
        <v>73000</v>
      </c>
      <c r="C95" s="122" t="s">
        <v>101</v>
      </c>
      <c r="D95" s="122">
        <f>'Score Factors'!$C$23</f>
        <v>-0.75</v>
      </c>
      <c r="E95" s="122"/>
    </row>
    <row r="96" spans="1:5" ht="15">
      <c r="A96" s="122">
        <v>73001</v>
      </c>
      <c r="B96" s="122">
        <v>73199</v>
      </c>
      <c r="C96" s="122" t="s">
        <v>179</v>
      </c>
      <c r="D96" s="122">
        <v>0.5</v>
      </c>
      <c r="E96" s="122" t="s">
        <v>180</v>
      </c>
    </row>
    <row r="97" spans="1:5" ht="15">
      <c r="A97" s="122">
        <v>73200</v>
      </c>
      <c r="B97" s="122">
        <v>73300</v>
      </c>
      <c r="C97" s="122" t="s">
        <v>101</v>
      </c>
      <c r="D97" s="122">
        <f>'Score Factors'!$C$23</f>
        <v>-0.75</v>
      </c>
      <c r="E97" s="122"/>
    </row>
    <row r="98" spans="1:5" ht="15">
      <c r="A98" s="122">
        <v>73301</v>
      </c>
      <c r="B98" s="122">
        <v>73301</v>
      </c>
      <c r="C98" s="122" t="s">
        <v>181</v>
      </c>
      <c r="D98" s="122">
        <v>0.5</v>
      </c>
      <c r="E98" s="122" t="s">
        <v>182</v>
      </c>
    </row>
    <row r="99" spans="1:5" ht="15">
      <c r="A99" s="122">
        <v>73302</v>
      </c>
      <c r="B99" s="122">
        <v>73400</v>
      </c>
      <c r="C99" s="122" t="s">
        <v>101</v>
      </c>
      <c r="D99" s="122">
        <f>'Score Factors'!$C$23</f>
        <v>-0.75</v>
      </c>
      <c r="E99" s="122"/>
    </row>
    <row r="100" spans="1:5" ht="15">
      <c r="A100" s="122">
        <v>73401</v>
      </c>
      <c r="B100" s="122">
        <v>74966</v>
      </c>
      <c r="C100" s="122" t="s">
        <v>179</v>
      </c>
      <c r="D100" s="122">
        <v>0.5</v>
      </c>
      <c r="E100" s="122" t="s">
        <v>180</v>
      </c>
    </row>
    <row r="101" spans="1:5" ht="15">
      <c r="A101" s="122">
        <v>74967</v>
      </c>
      <c r="B101" s="122">
        <v>75000</v>
      </c>
      <c r="C101" s="122" t="s">
        <v>101</v>
      </c>
      <c r="D101" s="122">
        <f>'Score Factors'!$C$23</f>
        <v>-0.75</v>
      </c>
      <c r="E101" s="122"/>
    </row>
    <row r="102" spans="1:5" ht="15">
      <c r="A102" s="122">
        <v>75001</v>
      </c>
      <c r="B102" s="122">
        <v>75501</v>
      </c>
      <c r="C102" s="122" t="s">
        <v>181</v>
      </c>
      <c r="D102" s="122">
        <v>0.5</v>
      </c>
      <c r="E102" s="122" t="s">
        <v>183</v>
      </c>
    </row>
    <row r="103" spans="1:5" ht="15">
      <c r="A103" s="122">
        <v>75502</v>
      </c>
      <c r="B103" s="122">
        <v>75502</v>
      </c>
      <c r="C103" s="122" t="s">
        <v>177</v>
      </c>
      <c r="D103" s="122">
        <v>0.5</v>
      </c>
      <c r="E103" s="122" t="s">
        <v>184</v>
      </c>
    </row>
    <row r="104" spans="1:5" ht="15">
      <c r="A104" s="122">
        <v>75503</v>
      </c>
      <c r="B104" s="122">
        <v>79999</v>
      </c>
      <c r="C104" s="122" t="s">
        <v>181</v>
      </c>
      <c r="D104" s="122">
        <v>0.5</v>
      </c>
      <c r="E104" s="122" t="s">
        <v>183</v>
      </c>
    </row>
    <row r="105" spans="1:5" ht="15">
      <c r="A105" s="122">
        <v>80000</v>
      </c>
      <c r="B105" s="122">
        <v>80000</v>
      </c>
      <c r="C105" s="122" t="s">
        <v>101</v>
      </c>
      <c r="D105" s="122">
        <f>'Score Factors'!$C$23</f>
        <v>-0.75</v>
      </c>
      <c r="E105" s="122"/>
    </row>
    <row r="106" spans="1:5" ht="15">
      <c r="A106" s="122">
        <v>80001</v>
      </c>
      <c r="B106" s="122">
        <v>81658</v>
      </c>
      <c r="C106" s="122" t="s">
        <v>185</v>
      </c>
      <c r="D106" s="122">
        <v>0.5</v>
      </c>
      <c r="E106" s="122" t="s">
        <v>186</v>
      </c>
    </row>
    <row r="107" spans="1:5" ht="15">
      <c r="A107" s="122">
        <v>81659</v>
      </c>
      <c r="B107" s="122">
        <v>82000</v>
      </c>
      <c r="C107" s="122" t="s">
        <v>101</v>
      </c>
      <c r="D107" s="122">
        <f>'Score Factors'!$C$23</f>
        <v>-0.75</v>
      </c>
      <c r="E107" s="122"/>
    </row>
    <row r="108" spans="1:5" ht="15">
      <c r="A108" s="122">
        <v>82001</v>
      </c>
      <c r="B108" s="122">
        <v>83128</v>
      </c>
      <c r="C108" s="122" t="s">
        <v>187</v>
      </c>
      <c r="D108" s="122">
        <v>0.5</v>
      </c>
      <c r="E108" s="122" t="s">
        <v>188</v>
      </c>
    </row>
    <row r="109" spans="1:5" ht="15">
      <c r="A109" s="122">
        <v>83129</v>
      </c>
      <c r="B109" s="122">
        <v>83200</v>
      </c>
      <c r="C109" s="122" t="s">
        <v>101</v>
      </c>
      <c r="D109" s="122">
        <f>'Score Factors'!$C$23</f>
        <v>-0.75</v>
      </c>
      <c r="E109" s="122"/>
    </row>
    <row r="110" spans="1:5" ht="15">
      <c r="A110" s="122">
        <v>83201</v>
      </c>
      <c r="B110" s="122">
        <v>83876</v>
      </c>
      <c r="C110" s="122" t="s">
        <v>72</v>
      </c>
      <c r="D110" s="122">
        <v>0.5</v>
      </c>
      <c r="E110" s="122" t="s">
        <v>189</v>
      </c>
    </row>
    <row r="111" spans="1:5" ht="15">
      <c r="A111" s="122">
        <v>83877</v>
      </c>
      <c r="B111" s="122">
        <v>84000</v>
      </c>
      <c r="C111" s="122" t="s">
        <v>101</v>
      </c>
      <c r="D111" s="122">
        <f>'Score Factors'!$C$23</f>
        <v>-0.75</v>
      </c>
      <c r="E111" s="122"/>
    </row>
    <row r="112" spans="1:5" ht="15">
      <c r="A112" s="122">
        <v>84001</v>
      </c>
      <c r="B112" s="122">
        <v>84784</v>
      </c>
      <c r="C112" s="122" t="s">
        <v>190</v>
      </c>
      <c r="D112" s="122">
        <v>0.5</v>
      </c>
      <c r="E112" s="122" t="s">
        <v>191</v>
      </c>
    </row>
    <row r="113" spans="1:5" ht="15">
      <c r="A113" s="122">
        <v>84785</v>
      </c>
      <c r="B113" s="122">
        <v>85000</v>
      </c>
      <c r="C113" s="122" t="s">
        <v>101</v>
      </c>
      <c r="D113" s="122">
        <f>'Score Factors'!$C$23</f>
        <v>-0.75</v>
      </c>
      <c r="E113" s="122"/>
    </row>
    <row r="114" spans="1:5" ht="15">
      <c r="A114" s="122">
        <v>85001</v>
      </c>
      <c r="B114" s="122">
        <v>86556</v>
      </c>
      <c r="C114" s="122" t="s">
        <v>192</v>
      </c>
      <c r="D114" s="122">
        <v>0.5</v>
      </c>
      <c r="E114" s="122" t="s">
        <v>193</v>
      </c>
    </row>
    <row r="115" spans="1:5" ht="15">
      <c r="A115" s="122">
        <v>86557</v>
      </c>
      <c r="B115" s="122">
        <v>87000</v>
      </c>
      <c r="C115" s="122" t="s">
        <v>101</v>
      </c>
      <c r="D115" s="122">
        <f>'Score Factors'!$C$23</f>
        <v>-0.75</v>
      </c>
      <c r="E115" s="122"/>
    </row>
    <row r="116" spans="1:5" ht="15">
      <c r="A116" s="122">
        <v>87001</v>
      </c>
      <c r="B116" s="122">
        <v>88441</v>
      </c>
      <c r="C116" s="122" t="s">
        <v>194</v>
      </c>
      <c r="D116" s="122">
        <v>0.5</v>
      </c>
      <c r="E116" s="122" t="s">
        <v>195</v>
      </c>
    </row>
    <row r="117" spans="1:5" ht="15">
      <c r="A117" s="122">
        <v>88442</v>
      </c>
      <c r="B117" s="122">
        <v>88509</v>
      </c>
      <c r="C117" s="122" t="s">
        <v>101</v>
      </c>
      <c r="D117" s="122">
        <f>'Score Factors'!$C$23</f>
        <v>-0.75</v>
      </c>
      <c r="E117" s="122"/>
    </row>
    <row r="118" spans="1:5" ht="15">
      <c r="A118" s="122">
        <v>88510</v>
      </c>
      <c r="B118" s="122">
        <v>88589</v>
      </c>
      <c r="C118" s="122" t="s">
        <v>181</v>
      </c>
      <c r="D118" s="122">
        <v>0.5</v>
      </c>
      <c r="E118" s="122" t="s">
        <v>196</v>
      </c>
    </row>
    <row r="119" spans="1:5" ht="15">
      <c r="A119" s="122">
        <v>88590</v>
      </c>
      <c r="B119" s="122">
        <v>88900</v>
      </c>
      <c r="C119" s="122" t="s">
        <v>101</v>
      </c>
      <c r="D119" s="122">
        <f>'Score Factors'!$C$23</f>
        <v>-0.75</v>
      </c>
      <c r="E119" s="122"/>
    </row>
    <row r="120" spans="1:5" ht="15">
      <c r="A120" s="122">
        <v>88901</v>
      </c>
      <c r="B120" s="122">
        <v>89883</v>
      </c>
      <c r="C120" s="122" t="s">
        <v>197</v>
      </c>
      <c r="D120" s="122">
        <v>0.5</v>
      </c>
      <c r="E120" s="122" t="s">
        <v>198</v>
      </c>
    </row>
    <row r="121" spans="1:5" ht="15">
      <c r="A121" s="122">
        <v>89884</v>
      </c>
      <c r="B121" s="122">
        <v>90000</v>
      </c>
      <c r="C121" s="122" t="s">
        <v>101</v>
      </c>
      <c r="D121" s="122">
        <f>'Score Factors'!$C$23</f>
        <v>-0.75</v>
      </c>
      <c r="E121" s="122"/>
    </row>
    <row r="122" spans="1:5" ht="15">
      <c r="A122" s="122">
        <v>90001</v>
      </c>
      <c r="B122" s="122">
        <v>96162</v>
      </c>
      <c r="C122" s="122" t="s">
        <v>199</v>
      </c>
      <c r="D122" s="122">
        <v>1</v>
      </c>
      <c r="E122" s="122" t="s">
        <v>200</v>
      </c>
    </row>
    <row r="123" spans="1:5" ht="15">
      <c r="A123" s="122">
        <v>96163</v>
      </c>
      <c r="B123" s="122">
        <v>96700</v>
      </c>
      <c r="C123" s="122" t="s">
        <v>101</v>
      </c>
      <c r="D123" s="122">
        <f>'Score Factors'!$C$23</f>
        <v>-0.75</v>
      </c>
      <c r="E123" s="122"/>
    </row>
    <row r="124" spans="1:5" ht="15">
      <c r="A124" s="122">
        <v>96701</v>
      </c>
      <c r="B124" s="122">
        <v>96898</v>
      </c>
      <c r="C124" s="122" t="s">
        <v>201</v>
      </c>
      <c r="D124" s="122">
        <v>0.5</v>
      </c>
      <c r="E124" s="122" t="s">
        <v>202</v>
      </c>
    </row>
    <row r="125" spans="1:5" ht="15">
      <c r="A125" s="122">
        <v>96899</v>
      </c>
      <c r="B125" s="122">
        <v>97000</v>
      </c>
      <c r="C125" s="122" t="s">
        <v>101</v>
      </c>
      <c r="D125" s="122">
        <f>'Score Factors'!$C$23</f>
        <v>-0.75</v>
      </c>
      <c r="E125" s="122"/>
    </row>
    <row r="126" spans="1:5" ht="15">
      <c r="A126" s="122">
        <v>97001</v>
      </c>
      <c r="B126" s="122">
        <v>97920</v>
      </c>
      <c r="C126" s="122" t="s">
        <v>203</v>
      </c>
      <c r="D126" s="122">
        <v>0.5</v>
      </c>
      <c r="E126" s="122" t="s">
        <v>204</v>
      </c>
    </row>
    <row r="127" spans="1:5" ht="15">
      <c r="A127" s="122">
        <v>97921</v>
      </c>
      <c r="B127" s="122">
        <v>98000</v>
      </c>
      <c r="C127" s="122" t="s">
        <v>101</v>
      </c>
      <c r="D127" s="122">
        <f>'Score Factors'!$C$23</f>
        <v>-0.75</v>
      </c>
      <c r="E127" s="122"/>
    </row>
    <row r="128" spans="1:5" ht="15">
      <c r="A128" s="122">
        <v>98001</v>
      </c>
      <c r="B128" s="122">
        <v>99403</v>
      </c>
      <c r="C128" s="122" t="s">
        <v>205</v>
      </c>
      <c r="D128" s="122">
        <v>0.5</v>
      </c>
      <c r="E128" s="122" t="s">
        <v>206</v>
      </c>
    </row>
    <row r="129" spans="1:5" ht="15">
      <c r="A129" s="122">
        <v>99404</v>
      </c>
      <c r="B129" s="122">
        <v>99500</v>
      </c>
      <c r="C129" s="122" t="s">
        <v>101</v>
      </c>
      <c r="D129" s="122">
        <f>'Score Factors'!$C$23</f>
        <v>-0.75</v>
      </c>
      <c r="E129" s="122"/>
    </row>
    <row r="130" spans="1:5" ht="15">
      <c r="A130" s="122">
        <v>99501</v>
      </c>
      <c r="B130" s="122">
        <v>99950</v>
      </c>
      <c r="C130" s="122" t="s">
        <v>207</v>
      </c>
      <c r="D130" s="122">
        <v>0.5</v>
      </c>
      <c r="E130" s="122" t="s">
        <v>208</v>
      </c>
    </row>
    <row r="131" spans="1:5" ht="15">
      <c r="A131" s="122">
        <v>99951</v>
      </c>
      <c r="B131" s="122">
        <v>99999</v>
      </c>
      <c r="C131" s="122" t="s">
        <v>101</v>
      </c>
      <c r="D131" s="122">
        <f>'Score Factors'!$C$23</f>
        <v>-0.75</v>
      </c>
      <c r="E131" s="1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9"/>
  </sheetPr>
  <dimension ref="A2:F44"/>
  <sheetViews>
    <sheetView workbookViewId="0" topLeftCell="A1">
      <selection activeCell="J10" sqref="J10"/>
    </sheetView>
  </sheetViews>
  <sheetFormatPr defaultColWidth="9.140625" defaultRowHeight="12.75" customHeight="1"/>
  <cols>
    <col min="1" max="1" width="22.8515625" style="0" bestFit="1" customWidth="1"/>
    <col min="2" max="2" width="24.140625" style="0" bestFit="1" customWidth="1"/>
    <col min="3" max="3" width="21.421875" style="0" bestFit="1" customWidth="1"/>
    <col min="4" max="4" width="17.28125" style="0" bestFit="1" customWidth="1"/>
    <col min="5" max="5" width="16.7109375" style="0" bestFit="1" customWidth="1"/>
    <col min="6" max="6" width="13.421875" style="0" customWidth="1"/>
  </cols>
  <sheetData>
    <row r="1" ht="13.5" thickBot="1"/>
    <row r="2" spans="1:3" ht="13.5" thickBot="1">
      <c r="A2" s="12"/>
      <c r="B2" s="17" t="s">
        <v>17</v>
      </c>
      <c r="C2" s="16" t="s">
        <v>18</v>
      </c>
    </row>
    <row r="3" spans="1:3" ht="13.5" thickBot="1">
      <c r="A3" s="71" t="s">
        <v>59</v>
      </c>
      <c r="B3" s="18">
        <v>0.75</v>
      </c>
      <c r="C3" s="14">
        <v>0</v>
      </c>
    </row>
    <row r="4" spans="1:6" ht="13.5" thickBot="1">
      <c r="A4" s="72" t="s">
        <v>60</v>
      </c>
      <c r="B4" s="19">
        <v>1</v>
      </c>
      <c r="C4" s="13">
        <v>-0.5</v>
      </c>
      <c r="E4" s="9" t="s">
        <v>26</v>
      </c>
      <c r="F4" s="12">
        <f>-ROUND(SUMIF($B$4:$D$45,"&lt;0"),0)+1</f>
        <v>10</v>
      </c>
    </row>
    <row r="5" spans="1:6" ht="12.75">
      <c r="A5" s="71" t="s">
        <v>61</v>
      </c>
      <c r="B5" s="19">
        <v>0.75</v>
      </c>
      <c r="C5" s="13">
        <v>0</v>
      </c>
      <c r="E5" s="24"/>
      <c r="F5" s="29"/>
    </row>
    <row r="6" spans="1:6" ht="12.75">
      <c r="A6" s="71" t="s">
        <v>75</v>
      </c>
      <c r="B6" s="19">
        <v>1</v>
      </c>
      <c r="C6" s="13">
        <v>0</v>
      </c>
      <c r="E6" s="83"/>
      <c r="F6" s="29"/>
    </row>
    <row r="7" spans="1:5" ht="12.75">
      <c r="A7" s="72" t="s">
        <v>64</v>
      </c>
      <c r="B7" s="19">
        <v>0.25</v>
      </c>
      <c r="C7" s="13">
        <v>0.5</v>
      </c>
      <c r="E7" s="53"/>
    </row>
    <row r="8" spans="1:3" ht="12.75">
      <c r="A8" s="71" t="s">
        <v>76</v>
      </c>
      <c r="B8" s="19">
        <v>1</v>
      </c>
      <c r="C8" s="13">
        <v>0</v>
      </c>
    </row>
    <row r="9" spans="1:6" ht="12.75">
      <c r="A9" s="71" t="s">
        <v>65</v>
      </c>
      <c r="B9" s="19">
        <v>1</v>
      </c>
      <c r="C9" s="13">
        <v>-1</v>
      </c>
      <c r="E9" s="54"/>
      <c r="F9" s="84"/>
    </row>
    <row r="10" spans="1:6" ht="12.75">
      <c r="A10" s="87" t="s">
        <v>66</v>
      </c>
      <c r="B10" s="74">
        <v>1</v>
      </c>
      <c r="C10" s="13">
        <v>-1</v>
      </c>
      <c r="F10" s="84"/>
    </row>
    <row r="11" spans="1:6" ht="12.75">
      <c r="A11" s="87" t="s">
        <v>77</v>
      </c>
      <c r="B11" s="73">
        <v>-0.25</v>
      </c>
      <c r="C11" s="57">
        <v>0.5</v>
      </c>
      <c r="F11" s="84"/>
    </row>
    <row r="12" spans="1:6" ht="12.75">
      <c r="A12" s="88" t="s">
        <v>78</v>
      </c>
      <c r="B12" s="74">
        <v>-0.5</v>
      </c>
      <c r="C12" s="89">
        <v>0</v>
      </c>
      <c r="F12" s="84"/>
    </row>
    <row r="13" spans="1:6" ht="12.75">
      <c r="A13" s="88" t="s">
        <v>79</v>
      </c>
      <c r="B13" s="74">
        <v>0.25</v>
      </c>
      <c r="C13" s="89">
        <v>0</v>
      </c>
      <c r="F13" s="84"/>
    </row>
    <row r="14" spans="1:6" ht="12.75">
      <c r="A14" s="88" t="s">
        <v>80</v>
      </c>
      <c r="B14" s="74">
        <v>0.75</v>
      </c>
      <c r="C14" s="89">
        <v>0</v>
      </c>
      <c r="F14" s="84"/>
    </row>
    <row r="15" spans="1:6" ht="12.75">
      <c r="A15" s="90" t="s">
        <v>81</v>
      </c>
      <c r="B15" s="74">
        <v>0.75</v>
      </c>
      <c r="C15" s="13">
        <v>0</v>
      </c>
      <c r="F15" s="84"/>
    </row>
    <row r="16" spans="1:6" ht="12.75">
      <c r="A16" s="91" t="s">
        <v>82</v>
      </c>
      <c r="B16" s="74">
        <v>1</v>
      </c>
      <c r="C16" s="89">
        <v>-0.25</v>
      </c>
      <c r="F16" s="84"/>
    </row>
    <row r="17" spans="1:6" ht="13.5" thickBot="1">
      <c r="A17" s="81" t="s">
        <v>83</v>
      </c>
      <c r="B17" s="26">
        <v>-0.5</v>
      </c>
      <c r="C17" s="11">
        <v>0.25</v>
      </c>
      <c r="F17" s="84"/>
    </row>
    <row r="18" spans="1:6" ht="13.5" thickBot="1">
      <c r="A18" s="51"/>
      <c r="B18" s="29"/>
      <c r="C18" s="29"/>
      <c r="F18" s="84"/>
    </row>
    <row r="19" spans="1:6" ht="13.5" thickBot="1">
      <c r="A19" s="20"/>
      <c r="B19" s="25" t="s">
        <v>85</v>
      </c>
      <c r="C19" s="8" t="s">
        <v>86</v>
      </c>
      <c r="D19" s="9" t="s">
        <v>71</v>
      </c>
      <c r="F19" s="84"/>
    </row>
    <row r="20" spans="1:6" ht="13.5" thickBot="1">
      <c r="A20" s="93" t="s">
        <v>58</v>
      </c>
      <c r="B20" s="26">
        <v>0.5</v>
      </c>
      <c r="C20" s="11">
        <v>-1</v>
      </c>
      <c r="D20" s="55">
        <v>1</v>
      </c>
      <c r="F20" s="84"/>
    </row>
    <row r="21" spans="1:6" ht="13.5" thickBot="1">
      <c r="A21" s="94"/>
      <c r="B21" s="29"/>
      <c r="C21" s="56"/>
      <c r="F21" s="84"/>
    </row>
    <row r="22" spans="1:6" ht="13.5" thickBot="1">
      <c r="A22" s="98"/>
      <c r="B22" s="25" t="s">
        <v>17</v>
      </c>
      <c r="C22" s="8" t="s">
        <v>209</v>
      </c>
      <c r="F22" s="84"/>
    </row>
    <row r="23" spans="1:6" ht="13.5" thickBot="1">
      <c r="A23" s="99" t="s">
        <v>70</v>
      </c>
      <c r="B23" s="125" t="s">
        <v>210</v>
      </c>
      <c r="C23" s="23">
        <v>-0.75</v>
      </c>
      <c r="F23" s="84"/>
    </row>
    <row r="24" spans="1:6" ht="12.75">
      <c r="A24" s="124"/>
      <c r="F24" s="84"/>
    </row>
    <row r="25" spans="1:6" ht="12.75">
      <c r="A25" s="102"/>
      <c r="F25" s="84"/>
    </row>
    <row r="26" spans="1:6" ht="13.5" thickBot="1">
      <c r="A26" s="94"/>
      <c r="B26" s="29"/>
      <c r="C26" s="29"/>
      <c r="F26" s="84"/>
    </row>
    <row r="27" spans="1:6" ht="13.5" thickBot="1">
      <c r="A27" s="95"/>
      <c r="B27" s="25" t="s">
        <v>54</v>
      </c>
      <c r="C27" s="8" t="s">
        <v>18</v>
      </c>
      <c r="D27" s="9" t="s">
        <v>71</v>
      </c>
      <c r="F27" s="85"/>
    </row>
    <row r="28" spans="1:6" ht="13.5" thickBot="1">
      <c r="A28" s="96" t="s">
        <v>12</v>
      </c>
      <c r="B28" s="52">
        <v>-0.25</v>
      </c>
      <c r="C28" s="58">
        <v>-0.5</v>
      </c>
      <c r="D28" s="55">
        <v>1</v>
      </c>
      <c r="F28" s="84"/>
    </row>
    <row r="29" spans="1:6" ht="12.75">
      <c r="A29" s="97"/>
      <c r="B29" s="92"/>
      <c r="C29" s="92"/>
      <c r="F29" s="84"/>
    </row>
    <row r="30" spans="1:6" ht="13.5" thickBot="1">
      <c r="A30" s="94"/>
      <c r="F30" s="84"/>
    </row>
    <row r="31" spans="1:6" ht="13.5" thickBot="1">
      <c r="A31" s="95"/>
      <c r="B31" s="17" t="s">
        <v>20</v>
      </c>
      <c r="C31" s="16" t="s">
        <v>19</v>
      </c>
      <c r="D31" s="29"/>
      <c r="F31" s="84"/>
    </row>
    <row r="32" spans="1:6" ht="13.5" thickBot="1">
      <c r="A32" s="93" t="s">
        <v>13</v>
      </c>
      <c r="B32" s="21">
        <v>0.5</v>
      </c>
      <c r="C32" s="22">
        <v>0</v>
      </c>
      <c r="F32" s="84"/>
    </row>
    <row r="33" spans="1:6" ht="13.5" thickBot="1">
      <c r="A33" s="100"/>
      <c r="F33" s="84"/>
    </row>
    <row r="34" spans="1:6" ht="13.5" thickBot="1">
      <c r="A34" s="95"/>
      <c r="B34" s="25" t="s">
        <v>21</v>
      </c>
      <c r="C34" s="15" t="s">
        <v>22</v>
      </c>
      <c r="F34" s="84"/>
    </row>
    <row r="35" spans="1:6" ht="13.5" thickBot="1">
      <c r="A35" s="93" t="s">
        <v>63</v>
      </c>
      <c r="B35" s="26" t="e">
        <f>ROUND(PERCENTILE('Data 2'!J:J,0.25),0)</f>
        <v>#NUM!</v>
      </c>
      <c r="C35" s="27">
        <v>1</v>
      </c>
      <c r="F35" s="84"/>
    </row>
    <row r="36" spans="1:6" ht="13.5" thickBot="1">
      <c r="A36" s="101"/>
      <c r="B36" s="15" t="s">
        <v>23</v>
      </c>
      <c r="C36" s="15" t="s">
        <v>24</v>
      </c>
      <c r="D36" s="9" t="s">
        <v>87</v>
      </c>
      <c r="F36" s="84"/>
    </row>
    <row r="37" spans="1:6" ht="13.5" thickBot="1">
      <c r="A37" s="101"/>
      <c r="B37" s="27" t="e">
        <f>ROUND(PERCENTILE('Data 2'!J:J,0.75),0)</f>
        <v>#NUM!</v>
      </c>
      <c r="C37" s="27">
        <v>-1</v>
      </c>
      <c r="D37" s="55">
        <v>-0.5</v>
      </c>
      <c r="F37" s="84"/>
    </row>
    <row r="38" spans="1:6" ht="12.75">
      <c r="A38" s="102"/>
      <c r="B38" s="24"/>
      <c r="C38" s="24"/>
      <c r="F38" s="86"/>
    </row>
    <row r="39" spans="1:3" ht="13.5" thickBot="1">
      <c r="A39" s="102"/>
      <c r="B39" s="43"/>
      <c r="C39" s="43"/>
    </row>
    <row r="40" spans="1:3" ht="13.5" thickBot="1">
      <c r="A40" s="98"/>
      <c r="B40" s="25" t="s">
        <v>20</v>
      </c>
      <c r="C40" s="8" t="s">
        <v>19</v>
      </c>
    </row>
    <row r="41" spans="1:3" ht="13.5" thickBot="1">
      <c r="A41" s="99" t="s">
        <v>67</v>
      </c>
      <c r="B41" s="52">
        <v>-0.5</v>
      </c>
      <c r="C41" s="23">
        <v>1</v>
      </c>
    </row>
    <row r="42" ht="13.5" thickBot="1">
      <c r="A42" s="101"/>
    </row>
    <row r="43" spans="1:3" ht="13.5" thickBot="1">
      <c r="A43" s="98"/>
      <c r="B43" s="25" t="s">
        <v>20</v>
      </c>
      <c r="C43" s="8" t="s">
        <v>19</v>
      </c>
    </row>
    <row r="44" spans="1:3" ht="13.5" thickBot="1">
      <c r="A44" s="99" t="s">
        <v>68</v>
      </c>
      <c r="B44" s="52">
        <v>-0.25</v>
      </c>
      <c r="C44" s="23">
        <v>0.5</v>
      </c>
    </row>
  </sheetData>
  <sheetProtection/>
  <printOptions/>
  <pageMargins left="0.75" right="0.75" top="1" bottom="1" header="0.5" footer="0.5"/>
  <pageSetup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49"/>
  </sheetPr>
  <dimension ref="A1:AI25"/>
  <sheetViews>
    <sheetView workbookViewId="0" topLeftCell="A1">
      <pane ySplit="1" topLeftCell="BM2" activePane="bottomLeft" state="frozen"/>
      <selection pane="topLeft" activeCell="H49" sqref="H49"/>
      <selection pane="bottomLeft" activeCell="AA31" sqref="A2:AA31"/>
    </sheetView>
  </sheetViews>
  <sheetFormatPr defaultColWidth="9.140625" defaultRowHeight="12.75" customHeight="1"/>
  <cols>
    <col min="1" max="1" width="11.421875" style="0" bestFit="1" customWidth="1"/>
    <col min="2" max="2" width="14.140625" style="0" bestFit="1" customWidth="1"/>
    <col min="3" max="3" width="17.57421875" style="0" bestFit="1" customWidth="1"/>
    <col min="4" max="4" width="17.00390625" style="0" bestFit="1" customWidth="1"/>
    <col min="5" max="5" width="16.28125" style="0" bestFit="1" customWidth="1"/>
    <col min="6" max="6" width="15.7109375" style="0" bestFit="1" customWidth="1"/>
    <col min="7" max="7" width="11.28125" style="0" bestFit="1" customWidth="1"/>
    <col min="8" max="8" width="11.8515625" style="0" bestFit="1" customWidth="1"/>
    <col min="9" max="10" width="11.7109375" style="0" customWidth="1"/>
    <col min="11" max="11" width="9.28125" style="0" bestFit="1" customWidth="1"/>
    <col min="12" max="16" width="9.28125" style="0" customWidth="1"/>
    <col min="17" max="17" width="11.8515625" style="0" customWidth="1"/>
    <col min="18" max="22" width="9.28125" style="0" customWidth="1"/>
    <col min="23" max="23" width="13.28125" style="0" customWidth="1"/>
    <col min="24" max="24" width="18.00390625" style="0" bestFit="1" customWidth="1"/>
    <col min="25" max="25" width="12.00390625" style="0" bestFit="1" customWidth="1"/>
    <col min="26" max="26" width="15.140625" style="0" bestFit="1" customWidth="1"/>
    <col min="27" max="27" width="10.421875" style="0" bestFit="1" customWidth="1"/>
  </cols>
  <sheetData>
    <row r="1" spans="1:27" ht="15.75">
      <c r="A1" s="79" t="s">
        <v>72</v>
      </c>
      <c r="B1" s="79" t="s">
        <v>58</v>
      </c>
      <c r="C1" s="79" t="s">
        <v>73</v>
      </c>
      <c r="D1" s="79" t="s">
        <v>60</v>
      </c>
      <c r="E1" s="79" t="s">
        <v>74</v>
      </c>
      <c r="F1" s="79" t="s">
        <v>70</v>
      </c>
      <c r="G1" s="79" t="s">
        <v>12</v>
      </c>
      <c r="H1" s="79" t="s">
        <v>75</v>
      </c>
      <c r="I1" s="79" t="s">
        <v>62</v>
      </c>
      <c r="J1" s="79" t="s">
        <v>63</v>
      </c>
      <c r="K1" s="79" t="s">
        <v>64</v>
      </c>
      <c r="L1" s="79" t="s">
        <v>76</v>
      </c>
      <c r="M1" s="79" t="s">
        <v>65</v>
      </c>
      <c r="N1" s="81" t="s">
        <v>66</v>
      </c>
      <c r="O1" s="79" t="s">
        <v>77</v>
      </c>
      <c r="P1" s="79" t="s">
        <v>67</v>
      </c>
      <c r="Q1" s="79" t="s">
        <v>78</v>
      </c>
      <c r="R1" s="79" t="s">
        <v>79</v>
      </c>
      <c r="S1" s="79" t="s">
        <v>80</v>
      </c>
      <c r="T1" s="79" t="s">
        <v>81</v>
      </c>
      <c r="U1" s="79" t="s">
        <v>82</v>
      </c>
      <c r="V1" s="79" t="s">
        <v>83</v>
      </c>
      <c r="W1" s="79" t="s">
        <v>68</v>
      </c>
      <c r="X1" s="3" t="s">
        <v>14</v>
      </c>
      <c r="Y1" s="123" t="s">
        <v>53</v>
      </c>
      <c r="Z1" s="1" t="s">
        <v>25</v>
      </c>
      <c r="AA1" s="126" t="s">
        <v>93</v>
      </c>
    </row>
    <row r="2" ht="12.75">
      <c r="AI2">
        <f>Data!Num</f>
        <v>0</v>
      </c>
    </row>
    <row r="4" spans="29:30" ht="12.75">
      <c r="AC4">
        <v>1</v>
      </c>
      <c r="AD4">
        <f>COUNTIF(AA:AA,AC4)</f>
        <v>0</v>
      </c>
    </row>
    <row r="5" spans="29:30" ht="12.75">
      <c r="AC5">
        <v>2</v>
      </c>
      <c r="AD5">
        <f aca="true" t="shared" si="0" ref="AD5:AD23">COUNTIF(AA$1:AA$65536,AC5)</f>
        <v>0</v>
      </c>
    </row>
    <row r="6" spans="29:30" ht="12.75">
      <c r="AC6">
        <v>3</v>
      </c>
      <c r="AD6">
        <f t="shared" si="0"/>
        <v>0</v>
      </c>
    </row>
    <row r="7" spans="29:30" ht="12.75">
      <c r="AC7">
        <v>4</v>
      </c>
      <c r="AD7">
        <f t="shared" si="0"/>
        <v>0</v>
      </c>
    </row>
    <row r="8" spans="29:30" ht="12.75">
      <c r="AC8">
        <v>5</v>
      </c>
      <c r="AD8">
        <f t="shared" si="0"/>
        <v>0</v>
      </c>
    </row>
    <row r="9" spans="29:30" ht="12.75">
      <c r="AC9">
        <v>6</v>
      </c>
      <c r="AD9">
        <f t="shared" si="0"/>
        <v>0</v>
      </c>
    </row>
    <row r="10" spans="29:30" ht="12.75">
      <c r="AC10">
        <v>7</v>
      </c>
      <c r="AD10">
        <f t="shared" si="0"/>
        <v>0</v>
      </c>
    </row>
    <row r="11" spans="29:30" ht="12.75">
      <c r="AC11">
        <v>8</v>
      </c>
      <c r="AD11">
        <f t="shared" si="0"/>
        <v>0</v>
      </c>
    </row>
    <row r="12" spans="29:30" ht="12.75">
      <c r="AC12">
        <v>9</v>
      </c>
      <c r="AD12">
        <f t="shared" si="0"/>
        <v>0</v>
      </c>
    </row>
    <row r="13" spans="29:30" ht="12.75">
      <c r="AC13">
        <v>10</v>
      </c>
      <c r="AD13">
        <f t="shared" si="0"/>
        <v>0</v>
      </c>
    </row>
    <row r="14" spans="29:30" ht="12.75">
      <c r="AC14">
        <v>11</v>
      </c>
      <c r="AD14">
        <f t="shared" si="0"/>
        <v>0</v>
      </c>
    </row>
    <row r="15" spans="29:30" ht="12.75">
      <c r="AC15">
        <v>12</v>
      </c>
      <c r="AD15">
        <f t="shared" si="0"/>
        <v>0</v>
      </c>
    </row>
    <row r="16" spans="29:30" ht="12.75">
      <c r="AC16">
        <v>13</v>
      </c>
      <c r="AD16">
        <f t="shared" si="0"/>
        <v>0</v>
      </c>
    </row>
    <row r="17" spans="29:30" ht="12.75">
      <c r="AC17">
        <v>14</v>
      </c>
      <c r="AD17">
        <f t="shared" si="0"/>
        <v>0</v>
      </c>
    </row>
    <row r="18" spans="29:30" ht="12.75">
      <c r="AC18">
        <v>15</v>
      </c>
      <c r="AD18">
        <f t="shared" si="0"/>
        <v>0</v>
      </c>
    </row>
    <row r="19" spans="29:30" ht="12.75">
      <c r="AC19">
        <v>16</v>
      </c>
      <c r="AD19">
        <f t="shared" si="0"/>
        <v>0</v>
      </c>
    </row>
    <row r="20" spans="29:30" ht="12.75">
      <c r="AC20">
        <v>17</v>
      </c>
      <c r="AD20">
        <f t="shared" si="0"/>
        <v>0</v>
      </c>
    </row>
    <row r="21" spans="29:30" ht="12.75">
      <c r="AC21">
        <v>18</v>
      </c>
      <c r="AD21">
        <f t="shared" si="0"/>
        <v>0</v>
      </c>
    </row>
    <row r="22" spans="29:30" ht="12.75">
      <c r="AC22">
        <v>19</v>
      </c>
      <c r="AD22">
        <f t="shared" si="0"/>
        <v>0</v>
      </c>
    </row>
    <row r="23" spans="29:30" ht="12.75">
      <c r="AC23">
        <v>20</v>
      </c>
      <c r="AD23">
        <f t="shared" si="0"/>
        <v>0</v>
      </c>
    </row>
    <row r="25" ht="12.75">
      <c r="AD25">
        <f>SUM(AD4:AD23)</f>
        <v>0</v>
      </c>
    </row>
  </sheetData>
  <sheetProtection/>
  <conditionalFormatting sqref="AD25">
    <cfRule type="cellIs" priority="1" dxfId="0" operator="notEqual" stopIfTrue="1">
      <formula>$AI$2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49"/>
  </sheetPr>
  <dimension ref="A1:M28"/>
  <sheetViews>
    <sheetView workbookViewId="0" topLeftCell="A1">
      <selection activeCell="M3" sqref="M3"/>
    </sheetView>
  </sheetViews>
  <sheetFormatPr defaultColWidth="9.140625" defaultRowHeight="12.75" customHeight="1"/>
  <cols>
    <col min="2" max="2" width="11.00390625" style="0" customWidth="1"/>
    <col min="3" max="3" width="13.8515625" style="0" bestFit="1" customWidth="1"/>
    <col min="4" max="4" width="16.8515625" style="0" bestFit="1" customWidth="1"/>
    <col min="5" max="5" width="19.28125" style="0" bestFit="1" customWidth="1"/>
    <col min="6" max="6" width="11.140625" style="0" bestFit="1" customWidth="1"/>
    <col min="9" max="9" width="12.421875" style="0" bestFit="1" customWidth="1"/>
    <col min="12" max="12" width="12.140625" style="0" bestFit="1" customWidth="1"/>
  </cols>
  <sheetData>
    <row r="1" spans="1:10" ht="13.5" thickBot="1">
      <c r="A1" s="70"/>
      <c r="B1" s="8"/>
      <c r="C1" s="9" t="s">
        <v>15</v>
      </c>
      <c r="D1" s="7" t="s">
        <v>16</v>
      </c>
      <c r="E1" s="59" t="s">
        <v>27</v>
      </c>
      <c r="F1" s="60" t="s">
        <v>55</v>
      </c>
      <c r="I1" t="s">
        <v>28</v>
      </c>
      <c r="J1" s="1" t="e">
        <f>MIN(Scoring!TotScore)</f>
        <v>#REF!</v>
      </c>
    </row>
    <row r="2" spans="1:13" ht="13.5" thickBot="1">
      <c r="A2" s="69">
        <v>1</v>
      </c>
      <c r="B2" s="10">
        <f>COUNTIF(Scoring!ADJScore,A2)</f>
        <v>0</v>
      </c>
      <c r="C2" s="103">
        <f>SUMIF(Scoring!ADJScore,A2,Scoring!Donations)</f>
        <v>0</v>
      </c>
      <c r="D2" s="105" t="str">
        <f aca="true" t="shared" si="0" ref="D2:D21">FIXED(IF(B2,C2/B2,0),2)</f>
        <v>0.00</v>
      </c>
      <c r="E2" s="75">
        <f aca="true" t="shared" si="1" ref="E2:E21">N(D2)+D2</f>
        <v>0</v>
      </c>
      <c r="F2" s="61">
        <f>IF(B2=0,0,((SUMPRODUCT((Scoring!ADJScore=$A2)*(Scoring!Donations&gt;0)))/$B2))</f>
        <v>0</v>
      </c>
      <c r="I2" t="s">
        <v>29</v>
      </c>
      <c r="J2" s="1" t="e">
        <f>MAX(Scoring!TotScore)+0.0001</f>
        <v>#REF!</v>
      </c>
      <c r="L2" t="s">
        <v>96</v>
      </c>
      <c r="M2">
        <v>20</v>
      </c>
    </row>
    <row r="3" spans="1:6" ht="13.5" thickBot="1">
      <c r="A3" s="69">
        <v>2</v>
      </c>
      <c r="B3" s="10">
        <f>COUNTIF(Scoring!ADJScore,A3)</f>
        <v>0</v>
      </c>
      <c r="C3" s="103">
        <f>SUMIF(Scoring!ADJScore,A3,Scoring!Donations)</f>
        <v>0</v>
      </c>
      <c r="D3" s="106" t="str">
        <f t="shared" si="0"/>
        <v>0.00</v>
      </c>
      <c r="E3" s="76">
        <f t="shared" si="1"/>
        <v>0</v>
      </c>
      <c r="F3" s="61">
        <f>IF(B3=0,0,((SUMPRODUCT((Scoring!ADJScore=$A3)*(Scoring!Donations&gt;0)))/$B3))</f>
        <v>0</v>
      </c>
    </row>
    <row r="4" spans="1:10" ht="13.5" thickBot="1">
      <c r="A4" s="70">
        <v>3</v>
      </c>
      <c r="B4" s="10">
        <f>COUNTIF(Scoring!ADJScore,A4)</f>
        <v>0</v>
      </c>
      <c r="C4" s="103">
        <f>SUMIF(Scoring!ADJScore,A4,Scoring!Donations)</f>
        <v>0</v>
      </c>
      <c r="D4" s="106" t="str">
        <f t="shared" si="0"/>
        <v>0.00</v>
      </c>
      <c r="E4" s="76">
        <f t="shared" si="1"/>
        <v>0</v>
      </c>
      <c r="F4" s="61">
        <f>IF(B4=0,0,((SUMPRODUCT((Scoring!ADJScore=$A4)*(Scoring!Donations&gt;0)))/$B4))</f>
        <v>0</v>
      </c>
      <c r="I4" t="s">
        <v>94</v>
      </c>
      <c r="J4">
        <f>MIN(Scoring!ADJScore)</f>
        <v>0</v>
      </c>
    </row>
    <row r="5" spans="1:10" ht="13.5" thickBot="1">
      <c r="A5" s="70">
        <v>4</v>
      </c>
      <c r="B5" s="10">
        <f>COUNTIF(Scoring!ADJScore,A5)</f>
        <v>0</v>
      </c>
      <c r="C5" s="103">
        <f>SUMIF(Scoring!ADJScore,A5,Scoring!Donations)</f>
        <v>0</v>
      </c>
      <c r="D5" s="106" t="str">
        <f t="shared" si="0"/>
        <v>0.00</v>
      </c>
      <c r="E5" s="76">
        <f t="shared" si="1"/>
        <v>0</v>
      </c>
      <c r="F5" s="61">
        <f>IF(B5=0,0,((SUMPRODUCT((Scoring!ADJScore=$A5)*(Scoring!Donations&gt;0)))/$B5))</f>
        <v>0</v>
      </c>
      <c r="I5" t="s">
        <v>95</v>
      </c>
      <c r="J5">
        <f>MAX(Scoring!ADJScore)</f>
        <v>0</v>
      </c>
    </row>
    <row r="6" spans="1:6" ht="13.5" thickBot="1">
      <c r="A6" s="70">
        <v>5</v>
      </c>
      <c r="B6" s="10">
        <f>COUNTIF(Scoring!ADJScore,A6)</f>
        <v>0</v>
      </c>
      <c r="C6" s="103">
        <f>SUMIF(Scoring!ADJScore,A6,Scoring!Donations)</f>
        <v>0</v>
      </c>
      <c r="D6" s="106" t="str">
        <f t="shared" si="0"/>
        <v>0.00</v>
      </c>
      <c r="E6" s="77">
        <f t="shared" si="1"/>
        <v>0</v>
      </c>
      <c r="F6" s="61">
        <f>IF(B6=0,0,((SUMPRODUCT((Scoring!ADJScore=$A6)*(Scoring!Donations&gt;0)))/$B6))</f>
        <v>0</v>
      </c>
    </row>
    <row r="7" spans="1:6" ht="13.5" thickBot="1">
      <c r="A7" s="69">
        <v>6</v>
      </c>
      <c r="B7" s="10">
        <f>COUNTIF(Scoring!ADJScore,A7)</f>
        <v>0</v>
      </c>
      <c r="C7" s="103">
        <f>SUMIF(Scoring!ADJScore,A7,Scoring!Donations)</f>
        <v>0</v>
      </c>
      <c r="D7" s="106" t="str">
        <f t="shared" si="0"/>
        <v>0.00</v>
      </c>
      <c r="E7" s="76">
        <f t="shared" si="1"/>
        <v>0</v>
      </c>
      <c r="F7" s="61">
        <f>IF(B7=0,0,((SUMPRODUCT((Scoring!ADJScore=$A7)*(Scoring!Donations&gt;0)))/$B7))</f>
        <v>0</v>
      </c>
    </row>
    <row r="8" spans="1:6" ht="13.5" thickBot="1">
      <c r="A8" s="69">
        <v>7</v>
      </c>
      <c r="B8" s="10">
        <f>COUNTIF(Scoring!ADJScore,A8)</f>
        <v>0</v>
      </c>
      <c r="C8" s="103">
        <f>SUMIF(Scoring!ADJScore,A8,Scoring!Donations)</f>
        <v>0</v>
      </c>
      <c r="D8" s="106" t="str">
        <f t="shared" si="0"/>
        <v>0.00</v>
      </c>
      <c r="E8" s="76">
        <f t="shared" si="1"/>
        <v>0</v>
      </c>
      <c r="F8" s="61">
        <f>IF(B8=0,0,((SUMPRODUCT((Scoring!ADJScore=$A8)*(Scoring!Donations&gt;0)))/$B8))</f>
        <v>0</v>
      </c>
    </row>
    <row r="9" spans="1:6" ht="13.5" thickBot="1">
      <c r="A9" s="69">
        <v>8</v>
      </c>
      <c r="B9" s="10">
        <f>COUNTIF(Scoring!ADJScore,A9)</f>
        <v>0</v>
      </c>
      <c r="C9" s="103">
        <f>SUMIF(Scoring!ADJScore,A9,Scoring!Donations)</f>
        <v>0</v>
      </c>
      <c r="D9" s="107" t="str">
        <f t="shared" si="0"/>
        <v>0.00</v>
      </c>
      <c r="E9" s="76">
        <f t="shared" si="1"/>
        <v>0</v>
      </c>
      <c r="F9" s="61">
        <f>IF(B9=0,0,((SUMPRODUCT((Scoring!ADJScore=$A9)*(Scoring!Donations&gt;0)))/$B9))</f>
        <v>0</v>
      </c>
    </row>
    <row r="10" spans="1:7" ht="13.5" thickBot="1">
      <c r="A10" s="69">
        <v>9</v>
      </c>
      <c r="B10" s="10">
        <f>COUNTIF(Scoring!ADJScore,A10)</f>
        <v>0</v>
      </c>
      <c r="C10" s="103">
        <f>SUMIF(Scoring!ADJScore,A10,Scoring!Donations)</f>
        <v>0</v>
      </c>
      <c r="D10" s="106" t="str">
        <f t="shared" si="0"/>
        <v>0.00</v>
      </c>
      <c r="E10" s="76">
        <f t="shared" si="1"/>
        <v>0</v>
      </c>
      <c r="F10" s="61">
        <f>IF(B10=0,0,((SUMPRODUCT((Scoring!ADJScore=$A10)*(Scoring!Donations&gt;0)))/$B10))</f>
        <v>0</v>
      </c>
      <c r="G10" s="120"/>
    </row>
    <row r="11" spans="1:6" ht="13.5" thickBot="1">
      <c r="A11" s="69">
        <v>10</v>
      </c>
      <c r="B11" s="10">
        <f>COUNTIF(Scoring!ADJScore,A11)</f>
        <v>0</v>
      </c>
      <c r="C11" s="103">
        <f>SUMIF(Scoring!ADJScore,A11,Scoring!Donations)</f>
        <v>0</v>
      </c>
      <c r="D11" s="106" t="str">
        <f t="shared" si="0"/>
        <v>0.00</v>
      </c>
      <c r="E11" s="76">
        <f t="shared" si="1"/>
        <v>0</v>
      </c>
      <c r="F11" s="61">
        <f>IF(B11=0,0,((SUMPRODUCT((Scoring!ADJScore=$A11)*(Scoring!Donations&gt;0)))/$B11))</f>
        <v>0</v>
      </c>
    </row>
    <row r="12" spans="1:6" ht="13.5" thickBot="1">
      <c r="A12" s="69">
        <v>11</v>
      </c>
      <c r="B12" s="10">
        <f>COUNTIF(Scoring!ADJScore,A12)</f>
        <v>0</v>
      </c>
      <c r="C12" s="103">
        <f>SUMIF(Scoring!ADJScore,A12,Scoring!Donations)</f>
        <v>0</v>
      </c>
      <c r="D12" s="106" t="str">
        <f t="shared" si="0"/>
        <v>0.00</v>
      </c>
      <c r="E12" s="76">
        <f t="shared" si="1"/>
        <v>0</v>
      </c>
      <c r="F12" s="61">
        <f>IF(B12=0,0,((SUMPRODUCT((Scoring!ADJScore=$A12)*(Scoring!Donations&gt;0)))/$B12))</f>
        <v>0</v>
      </c>
    </row>
    <row r="13" spans="1:6" ht="13.5" thickBot="1">
      <c r="A13" s="69">
        <v>12</v>
      </c>
      <c r="B13" s="10">
        <f>COUNTIF(Scoring!ADJScore,A13)</f>
        <v>0</v>
      </c>
      <c r="C13" s="103">
        <f>SUMIF(Scoring!ADJScore,A13,Scoring!Donations)</f>
        <v>0</v>
      </c>
      <c r="D13" s="108" t="str">
        <f t="shared" si="0"/>
        <v>0.00</v>
      </c>
      <c r="E13" s="76">
        <f t="shared" si="1"/>
        <v>0</v>
      </c>
      <c r="F13" s="61">
        <f>IF(B13=0,0,((SUMPRODUCT((Scoring!ADJScore=$A13)*(Scoring!Donations&gt;0)))/$B13))</f>
        <v>0</v>
      </c>
    </row>
    <row r="14" spans="1:6" ht="13.5" thickBot="1">
      <c r="A14" s="69">
        <v>13</v>
      </c>
      <c r="B14" s="10">
        <f>COUNTIF(Scoring!ADJScore,A14)</f>
        <v>0</v>
      </c>
      <c r="C14" s="103">
        <f>SUMIF(Scoring!ADJScore,A14,Scoring!Donations)</f>
        <v>0</v>
      </c>
      <c r="D14" s="108" t="str">
        <f t="shared" si="0"/>
        <v>0.00</v>
      </c>
      <c r="E14" s="76">
        <f t="shared" si="1"/>
        <v>0</v>
      </c>
      <c r="F14" s="61">
        <f>IF(B14=0,0,((SUMPRODUCT((Scoring!ADJScore=$A14)*(Scoring!Donations&gt;0)))/$B14))</f>
        <v>0</v>
      </c>
    </row>
    <row r="15" spans="1:6" ht="13.5" thickBot="1">
      <c r="A15" s="69">
        <v>14</v>
      </c>
      <c r="B15" s="10">
        <f>COUNTIF(Scoring!ADJScore,A15)</f>
        <v>0</v>
      </c>
      <c r="C15" s="103">
        <f>SUMIF(Scoring!ADJScore,A15,Scoring!Donations)</f>
        <v>0</v>
      </c>
      <c r="D15" s="108" t="str">
        <f t="shared" si="0"/>
        <v>0.00</v>
      </c>
      <c r="E15" s="76">
        <f t="shared" si="1"/>
        <v>0</v>
      </c>
      <c r="F15" s="61">
        <f>IF(B15=0,0,((SUMPRODUCT((Scoring!ADJScore=$A15)*(Scoring!Donations&gt;0)))/$B15))</f>
        <v>0</v>
      </c>
    </row>
    <row r="16" spans="1:6" ht="13.5" thickBot="1">
      <c r="A16" s="69">
        <v>15</v>
      </c>
      <c r="B16" s="10">
        <f>COUNTIF(Scoring!ADJScore,A16)</f>
        <v>0</v>
      </c>
      <c r="C16" s="103">
        <f>SUMIF(Scoring!ADJScore,A16,Scoring!Donations)</f>
        <v>0</v>
      </c>
      <c r="D16" s="109" t="str">
        <f t="shared" si="0"/>
        <v>0.00</v>
      </c>
      <c r="E16" s="78">
        <f t="shared" si="1"/>
        <v>0</v>
      </c>
      <c r="F16" s="61">
        <f>IF(B16=0,0,((SUMPRODUCT((Scoring!ADJScore=$A16)*(Scoring!Donations&gt;0)))/$B16))</f>
        <v>0</v>
      </c>
    </row>
    <row r="17" spans="1:6" ht="13.5" thickBot="1">
      <c r="A17" s="69">
        <v>16</v>
      </c>
      <c r="B17" s="10">
        <f>COUNTIF(Scoring!ADJScore,A17)</f>
        <v>0</v>
      </c>
      <c r="C17" s="103">
        <f>SUMIF(Scoring!ADJScore,A17,Scoring!Donations)</f>
        <v>0</v>
      </c>
      <c r="D17" s="110" t="str">
        <f t="shared" si="0"/>
        <v>0.00</v>
      </c>
      <c r="E17" s="76">
        <f t="shared" si="1"/>
        <v>0</v>
      </c>
      <c r="F17" s="61">
        <f>IF(B17=0,0,((SUMPRODUCT((Scoring!ADJScore=$A17)*(Scoring!Donations&gt;0)))/$B17))</f>
        <v>0</v>
      </c>
    </row>
    <row r="18" spans="1:6" ht="13.5" thickBot="1">
      <c r="A18" s="69">
        <v>17</v>
      </c>
      <c r="B18" s="10">
        <f>COUNTIF(Scoring!ADJScore,A18)</f>
        <v>0</v>
      </c>
      <c r="C18" s="103">
        <f>SUMIF(Scoring!ADJScore,A18,Scoring!Donations)</f>
        <v>0</v>
      </c>
      <c r="D18" s="110" t="str">
        <f t="shared" si="0"/>
        <v>0.00</v>
      </c>
      <c r="E18" s="76">
        <f t="shared" si="1"/>
        <v>0</v>
      </c>
      <c r="F18" s="61">
        <f>IF(B18=0,0,((SUMPRODUCT((Scoring!ADJScore=$A18)*(Scoring!Donations&gt;0)))/$B18))</f>
        <v>0</v>
      </c>
    </row>
    <row r="19" spans="1:6" ht="13.5" thickBot="1">
      <c r="A19" s="69">
        <v>18</v>
      </c>
      <c r="B19" s="10">
        <f>COUNTIF(Scoring!ADJScore,A19)</f>
        <v>0</v>
      </c>
      <c r="C19" s="103">
        <f>SUMIF(Scoring!ADJScore,A19,Scoring!Donations)</f>
        <v>0</v>
      </c>
      <c r="D19" s="110" t="str">
        <f t="shared" si="0"/>
        <v>0.00</v>
      </c>
      <c r="E19" s="76">
        <f t="shared" si="1"/>
        <v>0</v>
      </c>
      <c r="F19" s="61">
        <f>IF(B19=0,0,((SUMPRODUCT((Scoring!ADJScore=$A19)*(Scoring!Donations&gt;0)))/$B19))</f>
        <v>0</v>
      </c>
    </row>
    <row r="20" spans="1:6" ht="13.5" thickBot="1">
      <c r="A20" s="69">
        <v>19</v>
      </c>
      <c r="B20" s="10">
        <f>COUNTIF(Scoring!ADJScore,A20)</f>
        <v>0</v>
      </c>
      <c r="C20" s="103">
        <f>SUMIF(Scoring!ADJScore,A20,Scoring!Donations)</f>
        <v>0</v>
      </c>
      <c r="D20" s="110" t="str">
        <f t="shared" si="0"/>
        <v>0.00</v>
      </c>
      <c r="E20" s="76">
        <f t="shared" si="1"/>
        <v>0</v>
      </c>
      <c r="F20" s="61">
        <f>IF(B20=0,0,((SUMPRODUCT((Scoring!ADJScore=$A20)*(Scoring!Donations&gt;0)))/$B20))</f>
        <v>0</v>
      </c>
    </row>
    <row r="21" spans="1:6" ht="13.5" thickBot="1">
      <c r="A21" s="69">
        <v>20</v>
      </c>
      <c r="B21" s="10">
        <f>COUNTIF(Scoring!ADJScore,A21)</f>
        <v>0</v>
      </c>
      <c r="C21" s="103">
        <f>SUMIF(Scoring!ADJScore,A21,Scoring!Donations)</f>
        <v>0</v>
      </c>
      <c r="D21" s="111" t="str">
        <f t="shared" si="0"/>
        <v>0.00</v>
      </c>
      <c r="E21" s="75">
        <f t="shared" si="1"/>
        <v>0</v>
      </c>
      <c r="F21" s="61">
        <f>IF(B21=0,0,((SUMPRODUCT((Scoring!ADJScore=$A21)*(Scoring!Donations&gt;0)))/$B21))</f>
        <v>0</v>
      </c>
    </row>
    <row r="22" spans="1:5" ht="12.75">
      <c r="A22" s="119"/>
      <c r="B22" s="5"/>
      <c r="C22" s="104"/>
      <c r="D22" s="104"/>
      <c r="E22" s="29"/>
    </row>
    <row r="23" spans="1:6" ht="13.5" thickBot="1">
      <c r="A23" s="118"/>
      <c r="B23" s="6">
        <f>SUM(B2:B21)</f>
        <v>0</v>
      </c>
      <c r="C23" s="82">
        <f>SUM(C2:C21)</f>
        <v>0</v>
      </c>
      <c r="D23" s="112" t="e">
        <f>FIXED(C23/B23,2)</f>
        <v>#DIV/0!</v>
      </c>
      <c r="F23" s="62" t="e">
        <f>(COUNTIF(Scoring!Donations,"&gt;0"))/(Data!Num)</f>
        <v>#DIV/0!</v>
      </c>
    </row>
    <row r="24" ht="13.5" thickBot="1">
      <c r="A24" s="2"/>
    </row>
    <row r="25" spans="1:6" ht="13.5" thickTop="1">
      <c r="A25" s="2"/>
      <c r="E25" s="63"/>
      <c r="F25" s="64" t="s">
        <v>56</v>
      </c>
    </row>
    <row r="26" spans="1:6" ht="12.75">
      <c r="A26" s="2"/>
      <c r="E26" s="65">
        <v>0</v>
      </c>
      <c r="F26" s="66" t="e">
        <f>F23</f>
        <v>#DIV/0!</v>
      </c>
    </row>
    <row r="27" spans="1:6" ht="12.75">
      <c r="A27" s="2"/>
      <c r="E27" s="65">
        <v>1</v>
      </c>
      <c r="F27" s="66" t="e">
        <f>F23</f>
        <v>#DIV/0!</v>
      </c>
    </row>
    <row r="28" spans="1:6" ht="13.5" thickBot="1">
      <c r="A28" s="2"/>
      <c r="E28" s="67" t="s">
        <v>57</v>
      </c>
      <c r="F28" s="68"/>
    </row>
    <row r="29" ht="12.75" customHeight="1" thickTop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1:N124"/>
  <sheetViews>
    <sheetView workbookViewId="0" topLeftCell="B1">
      <selection activeCell="G44" sqref="G44"/>
    </sheetView>
  </sheetViews>
  <sheetFormatPr defaultColWidth="9.140625" defaultRowHeight="12.75" customHeight="1"/>
  <cols>
    <col min="1" max="1" width="22.421875" style="0" customWidth="1"/>
    <col min="2" max="2" width="12.8515625" style="0" bestFit="1" customWidth="1"/>
    <col min="3" max="3" width="17.28125" style="0" bestFit="1" customWidth="1"/>
    <col min="4" max="4" width="13.00390625" style="0" customWidth="1"/>
    <col min="5" max="5" width="13.57421875" style="0" bestFit="1" customWidth="1"/>
    <col min="6" max="6" width="19.28125" style="0" customWidth="1"/>
    <col min="7" max="7" width="16.28125" style="0" bestFit="1" customWidth="1"/>
    <col min="9" max="9" width="8.28125" style="0" customWidth="1"/>
    <col min="11" max="11" width="16.00390625" style="0" customWidth="1"/>
    <col min="12" max="12" width="8.28125" style="0" bestFit="1" customWidth="1"/>
  </cols>
  <sheetData>
    <row r="1" spans="1:14" ht="18">
      <c r="A1" s="36" t="s">
        <v>30</v>
      </c>
      <c r="B1" s="38"/>
      <c r="C1" s="37" t="s">
        <v>34</v>
      </c>
      <c r="D1" s="24"/>
      <c r="E1" s="38"/>
      <c r="F1" s="37" t="s">
        <v>40</v>
      </c>
      <c r="G1" s="38"/>
      <c r="H1" s="37" t="s">
        <v>88</v>
      </c>
      <c r="I1" s="24"/>
      <c r="J1" s="38"/>
      <c r="K1" s="37" t="s">
        <v>3</v>
      </c>
      <c r="L1" s="38"/>
      <c r="M1" s="36" t="s">
        <v>45</v>
      </c>
      <c r="N1" s="38"/>
    </row>
    <row r="2" spans="1:14" ht="15.75">
      <c r="A2" s="39" t="s">
        <v>31</v>
      </c>
      <c r="B2" s="41"/>
      <c r="C2" s="40" t="s">
        <v>6</v>
      </c>
      <c r="D2" s="29"/>
      <c r="E2" s="41"/>
      <c r="F2" s="40" t="s">
        <v>42</v>
      </c>
      <c r="G2" s="41"/>
      <c r="H2" s="40" t="s">
        <v>5</v>
      </c>
      <c r="I2" s="29"/>
      <c r="J2" s="41"/>
      <c r="K2" s="40" t="s">
        <v>4</v>
      </c>
      <c r="L2" s="41"/>
      <c r="M2" s="44"/>
      <c r="N2" s="41"/>
    </row>
    <row r="3" spans="1:14" ht="12.75">
      <c r="A3" s="42" t="s">
        <v>32</v>
      </c>
      <c r="B3" s="41"/>
      <c r="C3" s="43" t="s">
        <v>36</v>
      </c>
      <c r="D3" s="29"/>
      <c r="E3" s="41"/>
      <c r="F3" s="43" t="s">
        <v>41</v>
      </c>
      <c r="G3" s="41"/>
      <c r="H3" s="43" t="s">
        <v>36</v>
      </c>
      <c r="I3" s="29"/>
      <c r="J3" s="41"/>
      <c r="K3" s="43" t="s">
        <v>41</v>
      </c>
      <c r="L3" s="41"/>
      <c r="M3" s="44"/>
      <c r="N3" s="41"/>
    </row>
    <row r="4" spans="1:14" ht="12.75">
      <c r="A4" s="44"/>
      <c r="B4" s="41"/>
      <c r="C4" s="29"/>
      <c r="D4" s="29"/>
      <c r="E4" s="41"/>
      <c r="F4" s="29"/>
      <c r="G4" s="41"/>
      <c r="H4" s="29"/>
      <c r="I4" s="29"/>
      <c r="J4" s="41"/>
      <c r="K4" s="29"/>
      <c r="L4" s="41"/>
      <c r="M4" s="44"/>
      <c r="N4" s="41"/>
    </row>
    <row r="5" spans="1:14" ht="16.5" thickBot="1">
      <c r="A5" s="45" t="s">
        <v>39</v>
      </c>
      <c r="B5" s="48" t="e">
        <f>ROUND(C12,4)</f>
        <v>#REF!</v>
      </c>
      <c r="C5" s="46"/>
      <c r="D5" s="47" t="s">
        <v>0</v>
      </c>
      <c r="E5" s="49" t="e">
        <f>ROUND(G22,4)/1000</f>
        <v>#REF!</v>
      </c>
      <c r="F5" s="47" t="s">
        <v>43</v>
      </c>
      <c r="G5" s="49" t="e">
        <f>ROUND(G49,4)</f>
        <v>#REF!</v>
      </c>
      <c r="H5" s="46"/>
      <c r="I5" s="47" t="s">
        <v>7</v>
      </c>
      <c r="J5" s="49" t="e">
        <f>ROUND(G78,4)*10</f>
        <v>#REF!</v>
      </c>
      <c r="K5" s="47" t="s">
        <v>43</v>
      </c>
      <c r="L5" s="49" t="e">
        <f>ROUND(G105,4)</f>
        <v>#REF!</v>
      </c>
      <c r="M5" s="45" t="s">
        <v>44</v>
      </c>
      <c r="N5" s="49" t="e">
        <f>ROUND(SUM(B5,E5,G5,J5,L5),4)</f>
        <v>#REF!</v>
      </c>
    </row>
    <row r="6" spans="13:14" ht="18">
      <c r="M6" s="36" t="s">
        <v>8</v>
      </c>
      <c r="N6" s="38"/>
    </row>
    <row r="7" spans="5:14" ht="12.75">
      <c r="E7" s="34"/>
      <c r="F7" s="34"/>
      <c r="G7" s="34"/>
      <c r="H7" s="34"/>
      <c r="I7" s="34"/>
      <c r="M7" s="44" t="s">
        <v>9</v>
      </c>
      <c r="N7" s="41"/>
    </row>
    <row r="8" spans="1:14" ht="18">
      <c r="A8" s="30" t="s">
        <v>30</v>
      </c>
      <c r="M8" s="44" t="s">
        <v>10</v>
      </c>
      <c r="N8" s="41"/>
    </row>
    <row r="9" spans="1:14" ht="15.75">
      <c r="A9" s="31" t="s">
        <v>31</v>
      </c>
      <c r="M9" s="44"/>
      <c r="N9" s="41"/>
    </row>
    <row r="10" spans="1:14" ht="16.5" thickBot="1">
      <c r="A10" s="4" t="s">
        <v>32</v>
      </c>
      <c r="M10" s="45" t="s">
        <v>44</v>
      </c>
      <c r="N10" s="49" t="e">
        <f>B5+G5+L5</f>
        <v>#REF!</v>
      </c>
    </row>
    <row r="12" spans="1:3" ht="15.75">
      <c r="A12" s="4" t="s">
        <v>33</v>
      </c>
      <c r="B12" s="32" t="s">
        <v>39</v>
      </c>
      <c r="C12" s="31" t="e">
        <f>RSQ(Scoring!Donation,Scoring!Score)</f>
        <v>#REF!</v>
      </c>
    </row>
    <row r="13" ht="12.75">
      <c r="C13" t="e">
        <f>ROUND(C12,4)</f>
        <v>#REF!</v>
      </c>
    </row>
    <row r="15" spans="7:13" ht="12.75">
      <c r="G15" s="114" t="e">
        <f>C13</f>
        <v>#REF!</v>
      </c>
      <c r="H15" s="115" t="e">
        <f>G24</f>
        <v>#REF!</v>
      </c>
      <c r="I15" s="115" t="e">
        <f>G50</f>
        <v>#REF!</v>
      </c>
      <c r="J15" s="116" t="e">
        <f>G78</f>
        <v>#REF!</v>
      </c>
      <c r="K15" s="116" t="e">
        <f>G106</f>
        <v>#REF!</v>
      </c>
      <c r="L15" s="116" t="e">
        <f>N10</f>
        <v>#REF!</v>
      </c>
      <c r="M15" s="117" t="e">
        <f>N5</f>
        <v>#REF!</v>
      </c>
    </row>
    <row r="16" ht="18">
      <c r="A16" s="30" t="s">
        <v>34</v>
      </c>
    </row>
    <row r="17" ht="15.75">
      <c r="A17" s="31" t="s">
        <v>35</v>
      </c>
    </row>
    <row r="18" ht="12.75">
      <c r="A18" s="4" t="s">
        <v>36</v>
      </c>
    </row>
    <row r="20" spans="2:5" ht="12.75">
      <c r="B20" s="1" t="s">
        <v>46</v>
      </c>
      <c r="C20" s="1" t="s">
        <v>47</v>
      </c>
      <c r="D20" s="1" t="s">
        <v>50</v>
      </c>
      <c r="E20" s="1" t="s">
        <v>37</v>
      </c>
    </row>
    <row r="21" spans="2:5" ht="12.75">
      <c r="B21">
        <v>1</v>
      </c>
      <c r="C21" s="28">
        <f>'Scoring 2'!E3-'Scoring 2'!E2</f>
        <v>0</v>
      </c>
      <c r="D21" s="33">
        <f>'Scoring 2'!B2+'Scoring 2'!B3</f>
        <v>0</v>
      </c>
      <c r="E21" s="34" t="e">
        <f>(C21*D21)/(SUM($D$21:$D$40))</f>
        <v>#DIV/0!</v>
      </c>
    </row>
    <row r="22" spans="2:7" ht="15.75">
      <c r="B22">
        <v>2</v>
      </c>
      <c r="C22" s="28">
        <f>'Scoring 2'!E4-'Scoring 2'!E3</f>
        <v>0</v>
      </c>
      <c r="D22" s="33">
        <f>'Scoring 2'!B3+'Scoring 2'!B4</f>
        <v>0</v>
      </c>
      <c r="E22" s="34" t="e">
        <f aca="true" t="shared" si="0" ref="E22:E40">(C22*D22)/(SUM($D$21:$D$40))</f>
        <v>#DIV/0!</v>
      </c>
      <c r="F22" s="31" t="s">
        <v>38</v>
      </c>
      <c r="G22" s="35" t="e">
        <f>SUM(Metrics!Test2)</f>
        <v>#REF!</v>
      </c>
    </row>
    <row r="23" spans="2:5" ht="12.75">
      <c r="B23">
        <v>3</v>
      </c>
      <c r="C23" s="28">
        <f>'Scoring 2'!E5-'Scoring 2'!E4</f>
        <v>0</v>
      </c>
      <c r="D23" s="33">
        <f>'Scoring 2'!B4+'Scoring 2'!B5</f>
        <v>0</v>
      </c>
      <c r="E23" s="34" t="e">
        <f t="shared" si="0"/>
        <v>#DIV/0!</v>
      </c>
    </row>
    <row r="24" spans="2:7" ht="12.75">
      <c r="B24">
        <v>4</v>
      </c>
      <c r="C24" s="28">
        <f>'Scoring 2'!E6-'Scoring 2'!E5</f>
        <v>0</v>
      </c>
      <c r="D24" s="33">
        <f>'Scoring 2'!B5+'Scoring 2'!B6</f>
        <v>0</v>
      </c>
      <c r="E24" s="34" t="e">
        <f t="shared" si="0"/>
        <v>#DIV/0!</v>
      </c>
      <c r="G24" t="e">
        <f>ROUND(G22/1000,4)</f>
        <v>#REF!</v>
      </c>
    </row>
    <row r="25" spans="2:5" ht="12.75">
      <c r="B25">
        <v>5</v>
      </c>
      <c r="C25" s="28">
        <f>'Scoring 2'!E7-'Scoring 2'!E6</f>
        <v>0</v>
      </c>
      <c r="D25" s="33">
        <f>'Scoring 2'!B6+'Scoring 2'!B7</f>
        <v>0</v>
      </c>
      <c r="E25" s="34" t="e">
        <f t="shared" si="0"/>
        <v>#DIV/0!</v>
      </c>
    </row>
    <row r="26" spans="2:7" ht="12.75">
      <c r="B26">
        <v>6</v>
      </c>
      <c r="C26" s="28">
        <f>'Scoring 2'!E8-'Scoring 2'!E7</f>
        <v>0</v>
      </c>
      <c r="D26" s="33">
        <f>'Scoring 2'!B7+'Scoring 2'!B8</f>
        <v>0</v>
      </c>
      <c r="E26" s="34" t="e">
        <f t="shared" si="0"/>
        <v>#DIV/0!</v>
      </c>
      <c r="G26" s="34"/>
    </row>
    <row r="27" spans="2:7" ht="12.75">
      <c r="B27">
        <v>7</v>
      </c>
      <c r="C27" s="28">
        <f>'Scoring 2'!E9-'Scoring 2'!E8</f>
        <v>0</v>
      </c>
      <c r="D27" s="33">
        <f>'Scoring 2'!B8+'Scoring 2'!B9</f>
        <v>0</v>
      </c>
      <c r="E27" s="34" t="e">
        <f t="shared" si="0"/>
        <v>#DIV/0!</v>
      </c>
      <c r="G27" s="34"/>
    </row>
    <row r="28" spans="2:5" ht="12.75">
      <c r="B28">
        <v>8</v>
      </c>
      <c r="C28" s="28">
        <f>'Scoring 2'!E10-'Scoring 2'!E9</f>
        <v>0</v>
      </c>
      <c r="D28" s="33">
        <f>'Scoring 2'!B9+'Scoring 2'!B10</f>
        <v>0</v>
      </c>
      <c r="E28" s="34" t="e">
        <f t="shared" si="0"/>
        <v>#DIV/0!</v>
      </c>
    </row>
    <row r="29" spans="2:5" ht="12.75">
      <c r="B29">
        <v>9</v>
      </c>
      <c r="C29" s="28">
        <f>'Scoring 2'!E11-'Scoring 2'!E10</f>
        <v>0</v>
      </c>
      <c r="D29" s="33">
        <f>'Scoring 2'!B10+'Scoring 2'!B11</f>
        <v>0</v>
      </c>
      <c r="E29" s="34" t="e">
        <f t="shared" si="0"/>
        <v>#DIV/0!</v>
      </c>
    </row>
    <row r="30" spans="2:5" ht="12.75">
      <c r="B30">
        <v>10</v>
      </c>
      <c r="C30" s="28">
        <f>'Scoring 2'!E12-'Scoring 2'!E11</f>
        <v>0</v>
      </c>
      <c r="D30" s="33">
        <f>'Scoring 2'!B11+'Scoring 2'!B12</f>
        <v>0</v>
      </c>
      <c r="E30" s="34" t="e">
        <f t="shared" si="0"/>
        <v>#DIV/0!</v>
      </c>
    </row>
    <row r="31" spans="2:5" ht="12.75">
      <c r="B31">
        <v>11</v>
      </c>
      <c r="C31" s="28">
        <f>'Scoring 2'!E13-'Scoring 2'!E12</f>
        <v>0</v>
      </c>
      <c r="D31" s="33">
        <f>'Scoring 2'!B12+'Scoring 2'!B13</f>
        <v>0</v>
      </c>
      <c r="E31" s="34" t="e">
        <f t="shared" si="0"/>
        <v>#DIV/0!</v>
      </c>
    </row>
    <row r="32" spans="2:5" ht="12.75">
      <c r="B32">
        <v>12</v>
      </c>
      <c r="C32" s="28">
        <f>'Scoring 2'!E14-'Scoring 2'!E13</f>
        <v>0</v>
      </c>
      <c r="D32" s="33">
        <f>'Scoring 2'!B13+'Scoring 2'!B14</f>
        <v>0</v>
      </c>
      <c r="E32" s="34" t="e">
        <f t="shared" si="0"/>
        <v>#DIV/0!</v>
      </c>
    </row>
    <row r="33" spans="2:5" ht="12.75">
      <c r="B33">
        <v>13</v>
      </c>
      <c r="C33" s="28">
        <f>'Scoring 2'!E15-'Scoring 2'!E14</f>
        <v>0</v>
      </c>
      <c r="D33" s="33">
        <f>'Scoring 2'!B14+'Scoring 2'!B15</f>
        <v>0</v>
      </c>
      <c r="E33" s="34" t="e">
        <f t="shared" si="0"/>
        <v>#DIV/0!</v>
      </c>
    </row>
    <row r="34" spans="2:5" ht="12.75">
      <c r="B34">
        <v>14</v>
      </c>
      <c r="C34" s="28">
        <f>'Scoring 2'!E16-'Scoring 2'!E15</f>
        <v>0</v>
      </c>
      <c r="D34" s="33">
        <f>'Scoring 2'!B15+'Scoring 2'!B16</f>
        <v>0</v>
      </c>
      <c r="E34" s="34" t="e">
        <f t="shared" si="0"/>
        <v>#DIV/0!</v>
      </c>
    </row>
    <row r="35" spans="2:5" ht="12.75">
      <c r="B35">
        <v>15</v>
      </c>
      <c r="C35" s="28">
        <f>'Scoring 2'!E17-'Scoring 2'!E16</f>
        <v>0</v>
      </c>
      <c r="D35" s="33">
        <f>'Scoring 2'!B16+'Scoring 2'!B17</f>
        <v>0</v>
      </c>
      <c r="E35" s="34" t="e">
        <f t="shared" si="0"/>
        <v>#DIV/0!</v>
      </c>
    </row>
    <row r="36" spans="2:5" ht="12.75">
      <c r="B36">
        <v>16</v>
      </c>
      <c r="C36" s="28">
        <f>'Scoring 2'!E18-'Scoring 2'!E17</f>
        <v>0</v>
      </c>
      <c r="D36" s="33">
        <f>'Scoring 2'!B17+'Scoring 2'!B18</f>
        <v>0</v>
      </c>
      <c r="E36" s="34" t="e">
        <f t="shared" si="0"/>
        <v>#DIV/0!</v>
      </c>
    </row>
    <row r="37" spans="2:5" ht="12.75">
      <c r="B37">
        <v>17</v>
      </c>
      <c r="C37" s="28">
        <f>'Scoring 2'!E19-'Scoring 2'!E18</f>
        <v>0</v>
      </c>
      <c r="D37" s="33">
        <f>'Scoring 2'!B18+'Scoring 2'!B19</f>
        <v>0</v>
      </c>
      <c r="E37" s="34" t="e">
        <f t="shared" si="0"/>
        <v>#DIV/0!</v>
      </c>
    </row>
    <row r="38" spans="2:5" ht="12.75">
      <c r="B38">
        <v>18</v>
      </c>
      <c r="C38" s="28">
        <f>'Scoring 2'!E20-'Scoring 2'!E19</f>
        <v>0</v>
      </c>
      <c r="D38" s="33">
        <f>'Scoring 2'!B19+'Scoring 2'!B20</f>
        <v>0</v>
      </c>
      <c r="E38" s="34" t="e">
        <f t="shared" si="0"/>
        <v>#DIV/0!</v>
      </c>
    </row>
    <row r="39" spans="2:5" ht="12.75">
      <c r="B39">
        <v>19</v>
      </c>
      <c r="C39" s="28">
        <f>'Scoring 2'!E21-'Scoring 2'!E20</f>
        <v>0</v>
      </c>
      <c r="D39" s="33">
        <f>'Scoring 2'!B20+'Scoring 2'!B21</f>
        <v>0</v>
      </c>
      <c r="E39" s="34" t="e">
        <f t="shared" si="0"/>
        <v>#DIV/0!</v>
      </c>
    </row>
    <row r="40" spans="2:5" ht="12.75">
      <c r="B40">
        <v>20</v>
      </c>
      <c r="C40" s="28">
        <f>'Scoring 2'!E22-'Scoring 2'!E21</f>
        <v>0</v>
      </c>
      <c r="D40" s="33">
        <f>'Scoring 2'!B21+'Scoring 2'!B22</f>
        <v>0</v>
      </c>
      <c r="E40" s="34" t="e">
        <f t="shared" si="0"/>
        <v>#DIV/0!</v>
      </c>
    </row>
    <row r="41" ht="12.75">
      <c r="D41" s="33"/>
    </row>
    <row r="44" ht="18">
      <c r="A44" s="30" t="s">
        <v>40</v>
      </c>
    </row>
    <row r="45" ht="15.75">
      <c r="A45" s="31" t="s">
        <v>42</v>
      </c>
    </row>
    <row r="46" ht="12.75">
      <c r="A46" s="4" t="s">
        <v>41</v>
      </c>
    </row>
    <row r="48" spans="1:4" ht="12.75">
      <c r="A48" s="50" t="s">
        <v>48</v>
      </c>
      <c r="B48" s="1" t="s">
        <v>51</v>
      </c>
      <c r="C48" s="1" t="s">
        <v>52</v>
      </c>
      <c r="D48" s="4" t="s">
        <v>49</v>
      </c>
    </row>
    <row r="49" spans="1:7" ht="15.75">
      <c r="A49">
        <v>1</v>
      </c>
      <c r="B49" s="28">
        <f>'Scoring 2'!E2</f>
        <v>0</v>
      </c>
      <c r="F49" s="31" t="s">
        <v>43</v>
      </c>
      <c r="G49" s="35" t="e">
        <f>SUM(Metrics!Test1)/(Data!Num-'Scoring 2'!B2-'Scoring 2'!B3)</f>
        <v>#REF!</v>
      </c>
    </row>
    <row r="50" spans="1:7" ht="12.75">
      <c r="A50">
        <v>2</v>
      </c>
      <c r="B50" s="28">
        <f>'Scoring 2'!E3</f>
        <v>0</v>
      </c>
      <c r="G50" s="34" t="e">
        <f>ROUND(G49,4)</f>
        <v>#REF!</v>
      </c>
    </row>
    <row r="51" spans="1:4" ht="12.75">
      <c r="A51">
        <v>3</v>
      </c>
      <c r="B51" s="28">
        <f>'Scoring 2'!E4</f>
        <v>0</v>
      </c>
      <c r="C51">
        <f>(B50+B49)/2</f>
        <v>0</v>
      </c>
      <c r="D51">
        <f>IF(C51&lt;B51,1,IF((C51*0.9)&gt;(B51),-1,0))*'Scoring 2'!B4</f>
        <v>0</v>
      </c>
    </row>
    <row r="52" spans="1:4" ht="12.75">
      <c r="A52">
        <v>4</v>
      </c>
      <c r="B52" s="28">
        <f>'Scoring 2'!E5</f>
        <v>0</v>
      </c>
      <c r="C52">
        <f>(B51+B50)/2</f>
        <v>0</v>
      </c>
      <c r="D52">
        <f>IF(C52&lt;B52,1,IF((C52*0.9)&gt;(B52),-1,0))*'Scoring 2'!B5</f>
        <v>0</v>
      </c>
    </row>
    <row r="53" spans="1:4" ht="12.75">
      <c r="A53">
        <v>5</v>
      </c>
      <c r="B53" s="28">
        <f>'Scoring 2'!E6</f>
        <v>0</v>
      </c>
      <c r="C53">
        <f aca="true" t="shared" si="1" ref="C53:C68">(B52+B51)/2</f>
        <v>0</v>
      </c>
      <c r="D53">
        <f>IF(C53&lt;B53,1,IF((C53*0.9)&gt;(B53),-1,0))*'Scoring 2'!B6</f>
        <v>0</v>
      </c>
    </row>
    <row r="54" spans="1:4" ht="12.75">
      <c r="A54">
        <v>6</v>
      </c>
      <c r="B54" s="28">
        <f>'Scoring 2'!E7</f>
        <v>0</v>
      </c>
      <c r="C54">
        <f t="shared" si="1"/>
        <v>0</v>
      </c>
      <c r="D54">
        <f>IF(C54&lt;B54,1,IF((C54*0.9)&gt;(B54),-1,0))*'Scoring 2'!B7</f>
        <v>0</v>
      </c>
    </row>
    <row r="55" spans="1:4" ht="12.75">
      <c r="A55">
        <v>7</v>
      </c>
      <c r="B55" s="28">
        <f>'Scoring 2'!E8</f>
        <v>0</v>
      </c>
      <c r="C55">
        <f t="shared" si="1"/>
        <v>0</v>
      </c>
      <c r="D55">
        <f>IF(C55&lt;B55,1,IF((C55*0.9)&gt;(B55),-1,0))*'Scoring 2'!B8</f>
        <v>0</v>
      </c>
    </row>
    <row r="56" spans="1:4" ht="12.75">
      <c r="A56">
        <v>8</v>
      </c>
      <c r="B56" s="28">
        <f>'Scoring 2'!E9</f>
        <v>0</v>
      </c>
      <c r="C56">
        <f t="shared" si="1"/>
        <v>0</v>
      </c>
      <c r="D56">
        <f>IF(C56&lt;B56,1,IF((C56*0.9)&gt;(B56),-1,0))*'Scoring 2'!B9</f>
        <v>0</v>
      </c>
    </row>
    <row r="57" spans="1:4" ht="12.75">
      <c r="A57">
        <v>9</v>
      </c>
      <c r="B57" s="28">
        <f>'Scoring 2'!E10</f>
        <v>0</v>
      </c>
      <c r="C57">
        <f t="shared" si="1"/>
        <v>0</v>
      </c>
      <c r="D57">
        <f>IF(C57&lt;B57,1,IF((C57*0.9)&gt;(B57),-1,0))*'Scoring 2'!B10</f>
        <v>0</v>
      </c>
    </row>
    <row r="58" spans="1:4" ht="12.75">
      <c r="A58">
        <v>10</v>
      </c>
      <c r="B58" s="28">
        <f>'Scoring 2'!E11</f>
        <v>0</v>
      </c>
      <c r="C58">
        <f t="shared" si="1"/>
        <v>0</v>
      </c>
      <c r="D58">
        <f>IF(C58&lt;B58,1,IF((C58*0.9)&gt;(B58),-1,0))*'Scoring 2'!B11</f>
        <v>0</v>
      </c>
    </row>
    <row r="59" spans="1:4" ht="12.75">
      <c r="A59">
        <v>11</v>
      </c>
      <c r="B59" s="28">
        <f>'Scoring 2'!E12</f>
        <v>0</v>
      </c>
      <c r="C59">
        <f t="shared" si="1"/>
        <v>0</v>
      </c>
      <c r="D59">
        <f>IF(C59&lt;B59,1,IF((C59*0.9)&gt;(B59),-1,0))*'Scoring 2'!B12</f>
        <v>0</v>
      </c>
    </row>
    <row r="60" spans="1:4" ht="12.75">
      <c r="A60">
        <v>12</v>
      </c>
      <c r="B60" s="28">
        <f>'Scoring 2'!E13</f>
        <v>0</v>
      </c>
      <c r="C60">
        <f t="shared" si="1"/>
        <v>0</v>
      </c>
      <c r="D60">
        <f>IF(C60&lt;B60,1,IF((C60*0.9)&gt;(B60),-1,0))*'Scoring 2'!B13</f>
        <v>0</v>
      </c>
    </row>
    <row r="61" spans="1:4" ht="12.75">
      <c r="A61">
        <v>13</v>
      </c>
      <c r="B61" s="28">
        <f>'Scoring 2'!E14</f>
        <v>0</v>
      </c>
      <c r="C61">
        <f t="shared" si="1"/>
        <v>0</v>
      </c>
      <c r="D61">
        <f>IF(C61&lt;B61,1,IF((C61*0.9)&gt;(B61),-1,0))*'Scoring 2'!B14</f>
        <v>0</v>
      </c>
    </row>
    <row r="62" spans="1:4" ht="12.75">
      <c r="A62">
        <v>14</v>
      </c>
      <c r="B62" s="28">
        <f>'Scoring 2'!E15</f>
        <v>0</v>
      </c>
      <c r="C62">
        <f t="shared" si="1"/>
        <v>0</v>
      </c>
      <c r="D62">
        <f>IF(C62&lt;B62,1,IF((C62*0.9)&gt;(B62),-1,0))*'Scoring 2'!B15</f>
        <v>0</v>
      </c>
    </row>
    <row r="63" spans="1:4" ht="12.75">
      <c r="A63">
        <v>15</v>
      </c>
      <c r="B63" s="28">
        <f>'Scoring 2'!E16</f>
        <v>0</v>
      </c>
      <c r="C63">
        <f t="shared" si="1"/>
        <v>0</v>
      </c>
      <c r="D63">
        <f>IF(C63&lt;B63,1,IF((C63*0.9)&gt;(B63),-1,0))*'Scoring 2'!B16</f>
        <v>0</v>
      </c>
    </row>
    <row r="64" spans="1:4" ht="12.75">
      <c r="A64">
        <v>16</v>
      </c>
      <c r="B64" s="28">
        <f>'Scoring 2'!E17</f>
        <v>0</v>
      </c>
      <c r="C64">
        <f t="shared" si="1"/>
        <v>0</v>
      </c>
      <c r="D64">
        <f>IF(C64&lt;B64,1,IF((C64*0.9)&gt;(B64),-1,0))*'Scoring 2'!B17</f>
        <v>0</v>
      </c>
    </row>
    <row r="65" spans="1:4" ht="12.75">
      <c r="A65">
        <v>17</v>
      </c>
      <c r="B65" s="28">
        <f>'Scoring 2'!E18</f>
        <v>0</v>
      </c>
      <c r="C65">
        <f t="shared" si="1"/>
        <v>0</v>
      </c>
      <c r="D65">
        <f>IF(C65&lt;B65,1,IF((C65*0.9)&gt;(B65),-1,0))*'Scoring 2'!B18</f>
        <v>0</v>
      </c>
    </row>
    <row r="66" spans="1:4" ht="12.75">
      <c r="A66">
        <v>18</v>
      </c>
      <c r="B66" s="28">
        <f>'Scoring 2'!E19</f>
        <v>0</v>
      </c>
      <c r="C66">
        <f t="shared" si="1"/>
        <v>0</v>
      </c>
      <c r="D66">
        <f>IF(C66&lt;B66,1,IF((C66*0.9)&gt;(B66),-1,0))*'Scoring 2'!B19</f>
        <v>0</v>
      </c>
    </row>
    <row r="67" spans="1:4" ht="12.75">
      <c r="A67">
        <v>19</v>
      </c>
      <c r="B67" s="28">
        <f>'Scoring 2'!E20</f>
        <v>0</v>
      </c>
      <c r="C67">
        <f t="shared" si="1"/>
        <v>0</v>
      </c>
      <c r="D67">
        <f>IF(C67&lt;B67,1,IF((C67*0.9)&gt;(B67),-1,0))*'Scoring 2'!B20</f>
        <v>0</v>
      </c>
    </row>
    <row r="68" spans="1:4" ht="12.75">
      <c r="A68">
        <v>20</v>
      </c>
      <c r="B68" s="28">
        <f>'Scoring 2'!E21</f>
        <v>0</v>
      </c>
      <c r="C68">
        <f t="shared" si="1"/>
        <v>0</v>
      </c>
      <c r="D68">
        <f>IF(C68&lt;B68,1,IF((C68*0.9)&gt;(B68),-1,0))*'Scoring 2'!B21</f>
        <v>0</v>
      </c>
    </row>
    <row r="69" ht="12.75">
      <c r="B69" s="28"/>
    </row>
    <row r="70" ht="12.75">
      <c r="B70" s="28"/>
    </row>
    <row r="72" ht="18">
      <c r="A72" s="30" t="s">
        <v>88</v>
      </c>
    </row>
    <row r="73" ht="15.75">
      <c r="A73" s="31" t="s">
        <v>89</v>
      </c>
    </row>
    <row r="74" ht="12.75">
      <c r="A74" s="4" t="s">
        <v>36</v>
      </c>
    </row>
    <row r="76" spans="2:5" ht="12.75">
      <c r="B76" s="1" t="s">
        <v>46</v>
      </c>
      <c r="C76" s="1" t="s">
        <v>47</v>
      </c>
      <c r="D76" s="1" t="s">
        <v>50</v>
      </c>
      <c r="E76" s="1" t="s">
        <v>37</v>
      </c>
    </row>
    <row r="77" spans="2:5" ht="12.75">
      <c r="B77">
        <v>1</v>
      </c>
      <c r="C77" s="28">
        <f>'Scoring 2'!F3-'Scoring 2'!F2</f>
        <v>0</v>
      </c>
      <c r="D77" s="33">
        <f>'Scoring 2'!B2+'Scoring 2'!B3</f>
        <v>0</v>
      </c>
      <c r="E77" s="34" t="e">
        <f>(C77*D77)/SUM($D$77:$D$96)</f>
        <v>#DIV/0!</v>
      </c>
    </row>
    <row r="78" spans="2:7" ht="15.75">
      <c r="B78">
        <v>2</v>
      </c>
      <c r="C78" s="28">
        <f>'Scoring 2'!F4-'Scoring 2'!F3</f>
        <v>0</v>
      </c>
      <c r="D78" s="33">
        <f>'Scoring 2'!B3+'Scoring 2'!B4</f>
        <v>0</v>
      </c>
      <c r="E78" s="34" t="e">
        <f aca="true" t="shared" si="2" ref="E78:E96">(C78*D78)/SUM($D$77:$D$96)</f>
        <v>#DIV/0!</v>
      </c>
      <c r="F78" s="31" t="s">
        <v>38</v>
      </c>
      <c r="G78" s="35" t="e">
        <f>SUM(Metrics!Test4)</f>
        <v>#REF!</v>
      </c>
    </row>
    <row r="79" spans="2:5" ht="12.75">
      <c r="B79">
        <v>3</v>
      </c>
      <c r="C79" s="28">
        <f>'Scoring 2'!F5-'Scoring 2'!F4</f>
        <v>0</v>
      </c>
      <c r="D79" s="33">
        <f>'Scoring 2'!B4+'Scoring 2'!B5</f>
        <v>0</v>
      </c>
      <c r="E79" s="34" t="e">
        <f t="shared" si="2"/>
        <v>#DIV/0!</v>
      </c>
    </row>
    <row r="80" spans="2:5" ht="12.75">
      <c r="B80">
        <v>4</v>
      </c>
      <c r="C80" s="28">
        <f>'Scoring 2'!F6-'Scoring 2'!F5</f>
        <v>0</v>
      </c>
      <c r="D80" s="33">
        <f>'Scoring 2'!B5+'Scoring 2'!B6</f>
        <v>0</v>
      </c>
      <c r="E80" s="34" t="e">
        <f t="shared" si="2"/>
        <v>#DIV/0!</v>
      </c>
    </row>
    <row r="81" spans="2:5" ht="12.75">
      <c r="B81">
        <v>5</v>
      </c>
      <c r="C81" s="28">
        <f>'Scoring 2'!F7-'Scoring 2'!F6</f>
        <v>0</v>
      </c>
      <c r="D81" s="33">
        <f>'Scoring 2'!B6+'Scoring 2'!B7</f>
        <v>0</v>
      </c>
      <c r="E81" s="34" t="e">
        <f t="shared" si="2"/>
        <v>#DIV/0!</v>
      </c>
    </row>
    <row r="82" spans="2:7" ht="12.75">
      <c r="B82">
        <v>6</v>
      </c>
      <c r="C82" s="28">
        <f>'Scoring 2'!F8-'Scoring 2'!F7</f>
        <v>0</v>
      </c>
      <c r="D82" s="33">
        <f>'Scoring 2'!B7+'Scoring 2'!B8</f>
        <v>0</v>
      </c>
      <c r="E82" s="34" t="e">
        <f t="shared" si="2"/>
        <v>#DIV/0!</v>
      </c>
      <c r="G82" s="34"/>
    </row>
    <row r="83" spans="2:7" ht="12.75">
      <c r="B83">
        <v>7</v>
      </c>
      <c r="C83" s="28">
        <f>'Scoring 2'!F9-'Scoring 2'!F8</f>
        <v>0</v>
      </c>
      <c r="D83" s="33">
        <f>'Scoring 2'!B8+'Scoring 2'!B9</f>
        <v>0</v>
      </c>
      <c r="E83" s="34" t="e">
        <f t="shared" si="2"/>
        <v>#DIV/0!</v>
      </c>
      <c r="G83" s="34"/>
    </row>
    <row r="84" spans="2:5" ht="12.75">
      <c r="B84">
        <v>8</v>
      </c>
      <c r="C84" s="28">
        <f>'Scoring 2'!F10-'Scoring 2'!F9</f>
        <v>0</v>
      </c>
      <c r="D84" s="33">
        <f>'Scoring 2'!B9+'Scoring 2'!B10</f>
        <v>0</v>
      </c>
      <c r="E84" s="34" t="e">
        <f t="shared" si="2"/>
        <v>#DIV/0!</v>
      </c>
    </row>
    <row r="85" spans="2:5" ht="12.75">
      <c r="B85">
        <v>9</v>
      </c>
      <c r="C85" s="28">
        <f>'Scoring 2'!F11-'Scoring 2'!F10</f>
        <v>0</v>
      </c>
      <c r="D85" s="33">
        <f>'Scoring 2'!B10+'Scoring 2'!B11</f>
        <v>0</v>
      </c>
      <c r="E85" s="34" t="e">
        <f t="shared" si="2"/>
        <v>#DIV/0!</v>
      </c>
    </row>
    <row r="86" spans="2:5" ht="12.75">
      <c r="B86">
        <v>10</v>
      </c>
      <c r="C86" s="28">
        <f>'Scoring 2'!F12-'Scoring 2'!F11</f>
        <v>0</v>
      </c>
      <c r="D86" s="33">
        <f>'Scoring 2'!B11+'Scoring 2'!B12</f>
        <v>0</v>
      </c>
      <c r="E86" s="34" t="e">
        <f t="shared" si="2"/>
        <v>#DIV/0!</v>
      </c>
    </row>
    <row r="87" spans="2:5" ht="12.75">
      <c r="B87">
        <v>11</v>
      </c>
      <c r="C87" s="28">
        <f>'Scoring 2'!F13-'Scoring 2'!F12</f>
        <v>0</v>
      </c>
      <c r="D87" s="33">
        <f>'Scoring 2'!B12+'Scoring 2'!B13</f>
        <v>0</v>
      </c>
      <c r="E87" s="34" t="e">
        <f t="shared" si="2"/>
        <v>#DIV/0!</v>
      </c>
    </row>
    <row r="88" spans="2:5" ht="12.75">
      <c r="B88">
        <v>12</v>
      </c>
      <c r="C88" s="28">
        <f>'Scoring 2'!F14-'Scoring 2'!F13</f>
        <v>0</v>
      </c>
      <c r="D88" s="33">
        <f>'Scoring 2'!B13+'Scoring 2'!B14</f>
        <v>0</v>
      </c>
      <c r="E88" s="34" t="e">
        <f t="shared" si="2"/>
        <v>#DIV/0!</v>
      </c>
    </row>
    <row r="89" spans="2:5" ht="12.75">
      <c r="B89">
        <v>13</v>
      </c>
      <c r="C89" s="28">
        <f>'Scoring 2'!F15-'Scoring 2'!F14</f>
        <v>0</v>
      </c>
      <c r="D89" s="33">
        <f>'Scoring 2'!B14+'Scoring 2'!B15</f>
        <v>0</v>
      </c>
      <c r="E89" s="34" t="e">
        <f t="shared" si="2"/>
        <v>#DIV/0!</v>
      </c>
    </row>
    <row r="90" spans="2:5" ht="12.75">
      <c r="B90">
        <v>14</v>
      </c>
      <c r="C90" s="28">
        <f>'Scoring 2'!F16-'Scoring 2'!F15</f>
        <v>0</v>
      </c>
      <c r="D90" s="33">
        <f>'Scoring 2'!B15+'Scoring 2'!B16</f>
        <v>0</v>
      </c>
      <c r="E90" s="34" t="e">
        <f t="shared" si="2"/>
        <v>#DIV/0!</v>
      </c>
    </row>
    <row r="91" spans="2:5" ht="12.75">
      <c r="B91">
        <v>15</v>
      </c>
      <c r="C91" s="28">
        <f>'Scoring 2'!F17-'Scoring 2'!F16</f>
        <v>0</v>
      </c>
      <c r="D91" s="33">
        <f>'Scoring 2'!B16+'Scoring 2'!B17</f>
        <v>0</v>
      </c>
      <c r="E91" s="34" t="e">
        <f t="shared" si="2"/>
        <v>#DIV/0!</v>
      </c>
    </row>
    <row r="92" spans="2:5" ht="12.75">
      <c r="B92">
        <v>16</v>
      </c>
      <c r="C92" s="28">
        <f>'Scoring 2'!F18-'Scoring 2'!F17</f>
        <v>0</v>
      </c>
      <c r="D92" s="33">
        <f>'Scoring 2'!B17+'Scoring 2'!B18</f>
        <v>0</v>
      </c>
      <c r="E92" s="34" t="e">
        <f t="shared" si="2"/>
        <v>#DIV/0!</v>
      </c>
    </row>
    <row r="93" spans="2:5" ht="12.75">
      <c r="B93">
        <v>17</v>
      </c>
      <c r="C93" s="28">
        <f>'Scoring 2'!F19-'Scoring 2'!F18</f>
        <v>0</v>
      </c>
      <c r="D93" s="33">
        <f>'Scoring 2'!B18+'Scoring 2'!B19</f>
        <v>0</v>
      </c>
      <c r="E93" s="34" t="e">
        <f t="shared" si="2"/>
        <v>#DIV/0!</v>
      </c>
    </row>
    <row r="94" spans="2:5" ht="12.75">
      <c r="B94">
        <v>18</v>
      </c>
      <c r="C94" s="28">
        <f>'Scoring 2'!F20-'Scoring 2'!F19</f>
        <v>0</v>
      </c>
      <c r="D94" s="33">
        <f>'Scoring 2'!B19+'Scoring 2'!B20</f>
        <v>0</v>
      </c>
      <c r="E94" s="34" t="e">
        <f t="shared" si="2"/>
        <v>#DIV/0!</v>
      </c>
    </row>
    <row r="95" spans="2:5" ht="12.75">
      <c r="B95">
        <v>19</v>
      </c>
      <c r="C95" s="28">
        <f>'Scoring 2'!F21-'Scoring 2'!F20</f>
        <v>0</v>
      </c>
      <c r="D95" s="33">
        <f>'Scoring 2'!B20+'Scoring 2'!B21</f>
        <v>0</v>
      </c>
      <c r="E95" s="34" t="e">
        <f t="shared" si="2"/>
        <v>#DIV/0!</v>
      </c>
    </row>
    <row r="96" spans="2:5" ht="12.75">
      <c r="B96">
        <v>20</v>
      </c>
      <c r="C96" s="28">
        <f>'Scoring 2'!F22-'Scoring 2'!F21</f>
        <v>0</v>
      </c>
      <c r="D96" s="33">
        <f>'Scoring 2'!B21+'Scoring 2'!B22</f>
        <v>0</v>
      </c>
      <c r="E96" s="34" t="e">
        <f t="shared" si="2"/>
        <v>#DIV/0!</v>
      </c>
    </row>
    <row r="97" ht="12.75">
      <c r="E97" s="34"/>
    </row>
    <row r="98" ht="12.75">
      <c r="E98" s="34"/>
    </row>
    <row r="99" ht="12.75">
      <c r="E99" s="34"/>
    </row>
    <row r="100" ht="18">
      <c r="A100" s="30" t="s">
        <v>3</v>
      </c>
    </row>
    <row r="101" ht="15.75">
      <c r="A101" s="31" t="s">
        <v>42</v>
      </c>
    </row>
    <row r="102" ht="12.75">
      <c r="A102" s="4" t="s">
        <v>41</v>
      </c>
    </row>
    <row r="104" spans="1:6" ht="12.75">
      <c r="A104" t="s">
        <v>48</v>
      </c>
      <c r="B104" s="4" t="s">
        <v>1</v>
      </c>
      <c r="C104" s="4" t="s">
        <v>2</v>
      </c>
      <c r="D104" s="4" t="s">
        <v>49</v>
      </c>
      <c r="E104" s="4"/>
      <c r="F104" s="4"/>
    </row>
    <row r="105" spans="1:7" ht="15.75">
      <c r="A105">
        <v>1</v>
      </c>
      <c r="B105" s="113">
        <f>'Scoring 2'!F2</f>
        <v>0</v>
      </c>
      <c r="F105" s="31" t="s">
        <v>43</v>
      </c>
      <c r="G105" s="35" t="e">
        <f>SUM(Metrics!Test5)/(Data!Num-'Scoring 2'!B2-'Scoring 2'!B3)</f>
        <v>#REF!</v>
      </c>
    </row>
    <row r="106" spans="1:7" ht="12.75">
      <c r="A106">
        <v>2</v>
      </c>
      <c r="B106" s="113">
        <f>'Scoring 2'!F3</f>
        <v>0</v>
      </c>
      <c r="G106" s="34" t="e">
        <f>ROUND(G105,4)</f>
        <v>#REF!</v>
      </c>
    </row>
    <row r="107" spans="1:4" ht="12.75">
      <c r="A107">
        <v>3</v>
      </c>
      <c r="B107" s="113">
        <f>'Scoring 2'!F4</f>
        <v>0</v>
      </c>
      <c r="C107">
        <f>(B106+B105)/2</f>
        <v>0</v>
      </c>
      <c r="D107">
        <f>IF(C107&lt;B107,1,IF((C107*0.9)&gt;(B107),-1,0))*'Scoring 2'!B4</f>
        <v>0</v>
      </c>
    </row>
    <row r="108" spans="1:4" ht="12.75">
      <c r="A108">
        <v>4</v>
      </c>
      <c r="B108" s="113">
        <f>'Scoring 2'!F5</f>
        <v>0</v>
      </c>
      <c r="C108">
        <f>(B107+B106)/2</f>
        <v>0</v>
      </c>
      <c r="D108">
        <f>IF(C108&lt;B108,1,IF((C108*0.9)&gt;(B108),-1,0))*'Scoring 2'!B5</f>
        <v>0</v>
      </c>
    </row>
    <row r="109" spans="1:4" ht="12.75">
      <c r="A109">
        <v>5</v>
      </c>
      <c r="B109" s="113">
        <f>'Scoring 2'!F6</f>
        <v>0</v>
      </c>
      <c r="C109">
        <f aca="true" t="shared" si="3" ref="C109:C124">(B108+B107)/2</f>
        <v>0</v>
      </c>
      <c r="D109">
        <f>IF(C109&lt;B109,1,IF((C109*0.9)&gt;(B109),-1,0))*'Scoring 2'!B6</f>
        <v>0</v>
      </c>
    </row>
    <row r="110" spans="1:4" ht="12.75">
      <c r="A110">
        <v>6</v>
      </c>
      <c r="B110" s="113">
        <f>'Scoring 2'!F7</f>
        <v>0</v>
      </c>
      <c r="C110">
        <f t="shared" si="3"/>
        <v>0</v>
      </c>
      <c r="D110">
        <f>IF(C110&lt;B110,1,IF((C110*0.9)&gt;(B110),-1,0))*'Scoring 2'!B7</f>
        <v>0</v>
      </c>
    </row>
    <row r="111" spans="1:4" ht="12.75">
      <c r="A111">
        <v>7</v>
      </c>
      <c r="B111" s="113">
        <f>'Scoring 2'!F8</f>
        <v>0</v>
      </c>
      <c r="C111">
        <f t="shared" si="3"/>
        <v>0</v>
      </c>
      <c r="D111">
        <f>IF(C111&lt;B111,1,IF((C111*0.9)&gt;(B111),-1,0))*'Scoring 2'!B8</f>
        <v>0</v>
      </c>
    </row>
    <row r="112" spans="1:4" ht="12.75">
      <c r="A112">
        <v>8</v>
      </c>
      <c r="B112" s="113">
        <f>'Scoring 2'!F9</f>
        <v>0</v>
      </c>
      <c r="C112">
        <f t="shared" si="3"/>
        <v>0</v>
      </c>
      <c r="D112">
        <f>IF(C112&lt;B112,1,IF((C112*0.9)&gt;(B112),-1,0))*'Scoring 2'!B9</f>
        <v>0</v>
      </c>
    </row>
    <row r="113" spans="1:4" ht="12.75">
      <c r="A113">
        <v>9</v>
      </c>
      <c r="B113" s="113">
        <f>'Scoring 2'!F10</f>
        <v>0</v>
      </c>
      <c r="C113">
        <f t="shared" si="3"/>
        <v>0</v>
      </c>
      <c r="D113">
        <f>IF(C113&lt;B113,1,IF((C113*0.9)&gt;(B113),-1,0))*'Scoring 2'!B10</f>
        <v>0</v>
      </c>
    </row>
    <row r="114" spans="1:4" ht="12.75">
      <c r="A114">
        <v>10</v>
      </c>
      <c r="B114" s="113">
        <f>'Scoring 2'!F11</f>
        <v>0</v>
      </c>
      <c r="C114">
        <f t="shared" si="3"/>
        <v>0</v>
      </c>
      <c r="D114">
        <f>IF(C114&lt;B114,1,IF((C114*0.9)&gt;(B114),-1,0))*'Scoring 2'!B11</f>
        <v>0</v>
      </c>
    </row>
    <row r="115" spans="1:4" ht="12.75">
      <c r="A115">
        <v>11</v>
      </c>
      <c r="B115" s="113">
        <f>'Scoring 2'!F12</f>
        <v>0</v>
      </c>
      <c r="C115">
        <f t="shared" si="3"/>
        <v>0</v>
      </c>
      <c r="D115">
        <f>IF(C115&lt;B115,1,IF((C115*0.9)&gt;(B115),-1,0))*'Scoring 2'!B12</f>
        <v>0</v>
      </c>
    </row>
    <row r="116" spans="1:4" ht="12.75">
      <c r="A116">
        <v>12</v>
      </c>
      <c r="B116" s="113">
        <f>'Scoring 2'!F13</f>
        <v>0</v>
      </c>
      <c r="C116">
        <f t="shared" si="3"/>
        <v>0</v>
      </c>
      <c r="D116">
        <f>IF(C116&lt;B116,1,IF((C116*0.9)&gt;(B116),-1,0))*'Scoring 2'!B13</f>
        <v>0</v>
      </c>
    </row>
    <row r="117" spans="1:4" ht="12.75">
      <c r="A117">
        <v>13</v>
      </c>
      <c r="B117" s="113">
        <f>'Scoring 2'!F14</f>
        <v>0</v>
      </c>
      <c r="C117">
        <f t="shared" si="3"/>
        <v>0</v>
      </c>
      <c r="D117">
        <f>IF(C117&lt;B117,1,IF((C117*0.9)&gt;(B117),-1,0))*'Scoring 2'!B14</f>
        <v>0</v>
      </c>
    </row>
    <row r="118" spans="1:4" ht="12.75">
      <c r="A118">
        <v>14</v>
      </c>
      <c r="B118" s="113">
        <f>'Scoring 2'!F15</f>
        <v>0</v>
      </c>
      <c r="C118">
        <f t="shared" si="3"/>
        <v>0</v>
      </c>
      <c r="D118">
        <f>IF(C118&lt;B118,1,IF((C118*0.9)&gt;(B118),-1,0))*'Scoring 2'!B15</f>
        <v>0</v>
      </c>
    </row>
    <row r="119" spans="1:4" ht="12.75">
      <c r="A119">
        <v>15</v>
      </c>
      <c r="B119" s="113">
        <f>'Scoring 2'!F16</f>
        <v>0</v>
      </c>
      <c r="C119">
        <f t="shared" si="3"/>
        <v>0</v>
      </c>
      <c r="D119">
        <f>IF(C119&lt;B119,1,IF((C119*0.9)&gt;(B119),-1,0))*'Scoring 2'!B16</f>
        <v>0</v>
      </c>
    </row>
    <row r="120" spans="1:4" ht="12.75">
      <c r="A120">
        <v>16</v>
      </c>
      <c r="B120" s="113">
        <f>'Scoring 2'!F17</f>
        <v>0</v>
      </c>
      <c r="C120">
        <f t="shared" si="3"/>
        <v>0</v>
      </c>
      <c r="D120">
        <f>IF(C120&lt;B120,1,IF((C120*0.9)&gt;(B120),-1,0))*'Scoring 2'!B17</f>
        <v>0</v>
      </c>
    </row>
    <row r="121" spans="1:4" ht="12.75">
      <c r="A121">
        <v>17</v>
      </c>
      <c r="B121" s="113">
        <f>'Scoring 2'!F18</f>
        <v>0</v>
      </c>
      <c r="C121">
        <f t="shared" si="3"/>
        <v>0</v>
      </c>
      <c r="D121">
        <f>IF(C121&lt;B121,1,IF((C121*0.9)&gt;(B121),-1,0))*'Scoring 2'!B18</f>
        <v>0</v>
      </c>
    </row>
    <row r="122" spans="1:4" ht="12.75">
      <c r="A122">
        <v>18</v>
      </c>
      <c r="B122" s="113">
        <f>'Scoring 2'!F19</f>
        <v>0</v>
      </c>
      <c r="C122">
        <f t="shared" si="3"/>
        <v>0</v>
      </c>
      <c r="D122">
        <f>IF(C122&lt;B122,1,IF((C122*0.9)&gt;(B122),-1,0))*'Scoring 2'!B19</f>
        <v>0</v>
      </c>
    </row>
    <row r="123" spans="1:4" ht="12.75">
      <c r="A123">
        <v>19</v>
      </c>
      <c r="B123" s="113">
        <f>'Scoring 2'!F20</f>
        <v>0</v>
      </c>
      <c r="C123">
        <f t="shared" si="3"/>
        <v>0</v>
      </c>
      <c r="D123">
        <f>IF(C123&lt;B123,1,IF((C123*0.9)&gt;(B123),-1,0))*'Scoring 2'!B20</f>
        <v>0</v>
      </c>
    </row>
    <row r="124" spans="1:4" ht="12.75">
      <c r="A124">
        <v>20</v>
      </c>
      <c r="B124" s="113">
        <f>'Scoring 2'!F21</f>
        <v>0</v>
      </c>
      <c r="C124">
        <f t="shared" si="3"/>
        <v>0</v>
      </c>
      <c r="D124">
        <f>IF(C124&lt;B124,1,IF((C124*0.9)&gt;(B124),-1,0))*'Scoring 2'!B21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Onalie</dc:creator>
  <cp:keywords/>
  <dc:description/>
  <cp:lastModifiedBy>heinrich</cp:lastModifiedBy>
  <cp:lastPrinted>2007-01-25T22:35:15Z</cp:lastPrinted>
  <dcterms:created xsi:type="dcterms:W3CDTF">2006-09-21T03:41:50Z</dcterms:created>
  <dcterms:modified xsi:type="dcterms:W3CDTF">2007-04-25T22:12:37Z</dcterms:modified>
  <cp:category/>
  <cp:version/>
  <cp:contentType/>
  <cp:contentStatus/>
</cp:coreProperties>
</file>