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riff\OneDrive\Documents\Archived\MQP\"/>
    </mc:Choice>
  </mc:AlternateContent>
  <xr:revisionPtr revIDLastSave="0" documentId="8_{690641F3-04D8-43F1-B5B4-8CC9A7A9D6CE}" xr6:coauthVersionLast="47" xr6:coauthVersionMax="47" xr10:uidLastSave="{00000000-0000-0000-0000-000000000000}"/>
  <bookViews>
    <workbookView xWindow="-93" yWindow="-93" windowWidth="25786" windowHeight="13866" xr2:uid="{721A3037-BE76-4BDD-A33B-F517D83AFFF3}"/>
  </bookViews>
  <sheets>
    <sheet name="Balance" sheetId="2" r:id="rId1"/>
    <sheet name="Balance (2)" sheetId="3" state="hidden" r:id="rId2"/>
  </sheets>
  <definedNames>
    <definedName name="solver_adj" localSheetId="0" hidden="1">Balance!$G$18:$G$24</definedName>
    <definedName name="solver_adj" localSheetId="1" hidden="1">'Balance (2)'!$G$18:$G$24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2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Balance!$G$21</definedName>
    <definedName name="solver_lhs1" localSheetId="1" hidden="1">'Balance (2)'!$G$21</definedName>
    <definedName name="solver_lhs2" localSheetId="0" hidden="1">Balance!$G$23</definedName>
    <definedName name="solver_lhs2" localSheetId="1" hidden="1">'Balance (2)'!$G$23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Balance!$I$25</definedName>
    <definedName name="solver_opt" localSheetId="1" hidden="1">'Balance (2)'!$I$25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2</definedName>
    <definedName name="solver_rel1" localSheetId="0" hidden="1">3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hs1" localSheetId="0" hidden="1">Balance!$C$21</definedName>
    <definedName name="solver_rhs1" localSheetId="1" hidden="1">'Balance (2)'!$C$21</definedName>
    <definedName name="solver_rhs2" localSheetId="0" hidden="1">Balance!$C$23</definedName>
    <definedName name="solver_rhs2" localSheetId="1" hidden="1">'Balance (2)'!$C$23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4" i="3" l="1"/>
  <c r="N22" i="3"/>
  <c r="S23" i="3" s="1"/>
  <c r="U6" i="3" s="1"/>
  <c r="H22" i="3" s="1"/>
  <c r="I22" i="3" s="1"/>
  <c r="N21" i="3"/>
  <c r="N19" i="3"/>
  <c r="S20" i="3" s="1"/>
  <c r="U3" i="3" s="1"/>
  <c r="N18" i="3"/>
  <c r="X17" i="3"/>
  <c r="L10" i="3"/>
  <c r="L10" i="2"/>
  <c r="N25" i="3" l="1"/>
  <c r="N27" i="3"/>
  <c r="H19" i="3"/>
  <c r="I19" i="3" s="1"/>
  <c r="L12" i="3"/>
  <c r="L12" i="2"/>
  <c r="N23" i="3" l="1"/>
  <c r="S24" i="3" s="1"/>
  <c r="N20" i="3"/>
  <c r="N24" i="3"/>
  <c r="S25" i="3" s="1"/>
  <c r="N26" i="3" l="1"/>
  <c r="S26" i="3" s="1"/>
  <c r="S19" i="3" s="1"/>
  <c r="N9" i="3"/>
  <c r="S27" i="3" l="1"/>
  <c r="S21" i="3" s="1"/>
  <c r="R9" i="3" s="1"/>
  <c r="R10" i="3"/>
  <c r="X13" i="3" s="1"/>
  <c r="U2" i="3" s="1"/>
  <c r="H18" i="3" s="1"/>
  <c r="I18" i="3" s="1"/>
  <c r="S28" i="3"/>
  <c r="S22" i="3" s="1"/>
  <c r="X18" i="3"/>
  <c r="U7" i="3" s="1"/>
  <c r="H23" i="3" s="1"/>
  <c r="I23" i="3" s="1"/>
  <c r="X19" i="3"/>
  <c r="X16" i="3" l="1"/>
  <c r="U5" i="3" s="1"/>
  <c r="H21" i="3" s="1"/>
  <c r="I21" i="3" s="1"/>
  <c r="X15" i="3"/>
  <c r="U8" i="3"/>
  <c r="H24" i="3" s="1"/>
  <c r="I24" i="3" s="1"/>
  <c r="X22" i="3"/>
  <c r="U4" i="3" l="1"/>
  <c r="H20" i="3" s="1"/>
  <c r="I20" i="3" s="1"/>
  <c r="I25" i="3" s="1"/>
  <c r="X21" i="3"/>
  <c r="U2" i="2" l="1"/>
  <c r="U3" i="2"/>
  <c r="U4" i="2"/>
  <c r="U5" i="2"/>
  <c r="U6" i="2"/>
  <c r="U7" i="2"/>
  <c r="U8" i="2"/>
  <c r="X13" i="2"/>
  <c r="X14" i="2"/>
  <c r="X15" i="2"/>
  <c r="X16" i="2"/>
  <c r="X17" i="2"/>
  <c r="G18" i="2"/>
  <c r="H18" i="2"/>
  <c r="I18" i="2"/>
  <c r="N18" i="2"/>
  <c r="X18" i="2"/>
  <c r="G19" i="2"/>
  <c r="H19" i="2"/>
  <c r="I19" i="2"/>
  <c r="N19" i="2"/>
  <c r="S19" i="2"/>
  <c r="X19" i="2"/>
  <c r="G20" i="2"/>
  <c r="H20" i="2"/>
  <c r="I20" i="2"/>
  <c r="N20" i="2"/>
  <c r="S20" i="2"/>
  <c r="G21" i="2"/>
  <c r="H21" i="2"/>
  <c r="I21" i="2"/>
  <c r="N21" i="2"/>
  <c r="S21" i="2"/>
  <c r="X21" i="2"/>
  <c r="G22" i="2"/>
  <c r="H22" i="2"/>
  <c r="I22" i="2"/>
  <c r="N22" i="2"/>
  <c r="S22" i="2"/>
  <c r="X22" i="2"/>
  <c r="G23" i="2"/>
  <c r="H23" i="2"/>
  <c r="I23" i="2"/>
  <c r="N23" i="2"/>
  <c r="S23" i="2"/>
  <c r="X23" i="2"/>
  <c r="G24" i="2"/>
  <c r="H24" i="2"/>
  <c r="I24" i="2"/>
  <c r="N24" i="2"/>
  <c r="S24" i="2"/>
  <c r="I25" i="2"/>
  <c r="N25" i="2"/>
  <c r="S25" i="2"/>
  <c r="N26" i="2"/>
  <c r="S26" i="2"/>
  <c r="N27" i="2"/>
  <c r="S27" i="2"/>
  <c r="S28" i="2"/>
</calcChain>
</file>

<file path=xl/sharedStrings.xml><?xml version="1.0" encoding="utf-8"?>
<sst xmlns="http://schemas.openxmlformats.org/spreadsheetml/2006/main" count="128" uniqueCount="33">
  <si>
    <r>
      <t>n</t>
    </r>
    <r>
      <rPr>
        <vertAlign val="subscript"/>
        <sz val="11"/>
        <color theme="1"/>
        <rFont val="Calibri"/>
        <family val="2"/>
        <scheme val="minor"/>
      </rPr>
      <t>styrene</t>
    </r>
  </si>
  <si>
    <t xml:space="preserve">Recycle Ratio </t>
  </si>
  <si>
    <r>
      <t>n</t>
    </r>
    <r>
      <rPr>
        <vertAlign val="subscript"/>
        <sz val="11"/>
        <color theme="1"/>
        <rFont val="Calibri"/>
        <family val="2"/>
        <scheme val="minor"/>
      </rPr>
      <t>anisole</t>
    </r>
  </si>
  <si>
    <r>
      <t>n</t>
    </r>
    <r>
      <rPr>
        <vertAlign val="subscript"/>
        <sz val="11"/>
        <color theme="1"/>
        <rFont val="Calibri"/>
        <family val="2"/>
        <scheme val="minor"/>
      </rPr>
      <t>RPE</t>
    </r>
  </si>
  <si>
    <r>
      <t>n</t>
    </r>
    <r>
      <rPr>
        <vertAlign val="subscript"/>
        <sz val="11"/>
        <color theme="1"/>
        <rFont val="Calibri"/>
        <family val="2"/>
        <scheme val="minor"/>
      </rPr>
      <t>SPE</t>
    </r>
  </si>
  <si>
    <r>
      <t>n</t>
    </r>
    <r>
      <rPr>
        <vertAlign val="subscript"/>
        <sz val="11"/>
        <color theme="1"/>
        <rFont val="Calibri"/>
        <family val="2"/>
        <scheme val="minor"/>
      </rPr>
      <t>toluene</t>
    </r>
  </si>
  <si>
    <r>
      <t>n</t>
    </r>
    <r>
      <rPr>
        <vertAlign val="subscript"/>
        <sz val="11"/>
        <color theme="1"/>
        <rFont val="Calibri"/>
        <family val="2"/>
        <scheme val="minor"/>
      </rPr>
      <t>VA</t>
    </r>
  </si>
  <si>
    <r>
      <t>n</t>
    </r>
    <r>
      <rPr>
        <vertAlign val="subscript"/>
        <sz val="11"/>
        <color theme="1"/>
        <rFont val="Calibri"/>
        <family val="2"/>
        <scheme val="minor"/>
      </rPr>
      <t>Rester</t>
    </r>
  </si>
  <si>
    <t>X1</t>
  </si>
  <si>
    <t>k1</t>
  </si>
  <si>
    <t>v2</t>
  </si>
  <si>
    <t>W</t>
  </si>
  <si>
    <t>Error</t>
  </si>
  <si>
    <t>Balance</t>
  </si>
  <si>
    <t>Guess</t>
  </si>
  <si>
    <t>W2</t>
  </si>
  <si>
    <t>k2</t>
  </si>
  <si>
    <r>
      <t>C</t>
    </r>
    <r>
      <rPr>
        <vertAlign val="subscript"/>
        <sz val="11"/>
        <color theme="1"/>
        <rFont val="Calibri"/>
        <family val="2"/>
        <scheme val="minor"/>
      </rPr>
      <t>styrene</t>
    </r>
  </si>
  <si>
    <r>
      <t>C</t>
    </r>
    <r>
      <rPr>
        <vertAlign val="subscript"/>
        <sz val="11"/>
        <color theme="1"/>
        <rFont val="Calibri"/>
        <family val="2"/>
        <scheme val="minor"/>
      </rPr>
      <t>RPE</t>
    </r>
  </si>
  <si>
    <r>
      <t>C</t>
    </r>
    <r>
      <rPr>
        <vertAlign val="subscript"/>
        <sz val="11"/>
        <color theme="1"/>
        <rFont val="Calibri"/>
        <family val="2"/>
        <scheme val="minor"/>
      </rPr>
      <t>SPE</t>
    </r>
  </si>
  <si>
    <r>
      <t>X</t>
    </r>
    <r>
      <rPr>
        <vertAlign val="subscript"/>
        <sz val="11"/>
        <color theme="1"/>
        <rFont val="Calibri"/>
        <family val="2"/>
        <scheme val="minor"/>
      </rPr>
      <t>RSPE</t>
    </r>
  </si>
  <si>
    <r>
      <t>Yield</t>
    </r>
    <r>
      <rPr>
        <vertAlign val="subscript"/>
        <sz val="11"/>
        <color theme="1"/>
        <rFont val="Calibri"/>
        <family val="2"/>
        <scheme val="minor"/>
      </rPr>
      <t>Ester</t>
    </r>
  </si>
  <si>
    <t>v1 [mL/min]</t>
  </si>
  <si>
    <t>e2</t>
  </si>
  <si>
    <t>e3</t>
  </si>
  <si>
    <t>e1</t>
  </si>
  <si>
    <t>%EE</t>
  </si>
  <si>
    <r>
      <t>n</t>
    </r>
    <r>
      <rPr>
        <vertAlign val="subscript"/>
        <sz val="11"/>
        <color theme="1"/>
        <rFont val="Calibri"/>
        <family val="2"/>
        <scheme val="minor"/>
      </rPr>
      <t>side product</t>
    </r>
  </si>
  <si>
    <r>
      <t>k'</t>
    </r>
    <r>
      <rPr>
        <vertAlign val="subscript"/>
        <sz val="11"/>
        <color theme="1"/>
        <rFont val="Calibri"/>
        <family val="2"/>
        <scheme val="minor"/>
      </rPr>
      <t xml:space="preserve">KR </t>
    </r>
  </si>
  <si>
    <t>V [mL/min]</t>
  </si>
  <si>
    <t>W [g]</t>
  </si>
  <si>
    <r>
      <t>X</t>
    </r>
    <r>
      <rPr>
        <vertAlign val="subscript"/>
        <sz val="11"/>
        <color theme="1"/>
        <rFont val="Calibri"/>
        <family val="2"/>
        <scheme val="minor"/>
      </rPr>
      <t xml:space="preserve">KR </t>
    </r>
  </si>
  <si>
    <r>
      <t>C</t>
    </r>
    <r>
      <rPr>
        <vertAlign val="subscript"/>
        <sz val="11"/>
        <color theme="1"/>
        <rFont val="Calibri"/>
        <family val="2"/>
        <scheme val="minor"/>
      </rPr>
      <t>side product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</si>
</sst>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3" fillId="4" borderId="3" applyNumberFormat="0" applyAlignment="0" applyProtection="0"/>
    <xf numFmtId="9" fontId="8" fillId="0" borderId="0" applyFont="0" applyFill="0" applyBorder="0" applyAlignment="0" applyProtection="0"/>
    <xf numFmtId="0" fontId="2" fillId="3" borderId="2" applyNumberFormat="0" applyAlignment="0" applyProtection="0"/>
  </cellStyleXfs>
  <cellXfs count="14">
    <xf numFmtId="0" fontId="0" fillId="0" borderId="0" xfId="0"/>
    <xf numFmtId="0" fontId="1" fillId="2" borderId="1" xfId="1" applyNumberFormat="1"/>
    <xf numFmtId="11" fontId="0" fillId="5" borderId="0" xfId="0" applyNumberFormat="1" applyFill="1"/>
    <xf numFmtId="11" fontId="1" fillId="2" borderId="1" xfId="1" applyNumberFormat="1"/>
    <xf numFmtId="11" fontId="5" fillId="5" borderId="0" xfId="0" applyNumberFormat="1" applyFont="1" applyFill="1"/>
    <xf numFmtId="11" fontId="0" fillId="0" borderId="0" xfId="0" applyNumberFormat="1"/>
    <xf numFmtId="11" fontId="3" fillId="4" borderId="3" xfId="2" applyNumberFormat="1"/>
    <xf numFmtId="0" fontId="0" fillId="5" borderId="0" xfId="0" applyFill="1"/>
    <xf numFmtId="9" fontId="2" fillId="3" borderId="2" xfId="3" applyFont="1" applyFill="1" applyBorder="1"/>
    <xf numFmtId="0" fontId="6" fillId="5" borderId="0" xfId="0" applyFont="1" applyFill="1" applyAlignment="1">
      <alignment vertical="center"/>
    </xf>
    <xf numFmtId="9" fontId="0" fillId="5" borderId="0" xfId="3" applyFont="1" applyFill="1"/>
    <xf numFmtId="11" fontId="6" fillId="5" borderId="0" xfId="0" applyNumberFormat="1" applyFont="1" applyFill="1" applyAlignment="1">
      <alignment vertical="center"/>
    </xf>
    <xf numFmtId="0" fontId="9" fillId="5" borderId="0" xfId="0" applyFont="1" applyFill="1"/>
    <xf numFmtId="9" fontId="2" fillId="3" borderId="2" xfId="4" applyNumberFormat="1"/>
  </cellXfs>
  <cellStyles count="5">
    <cellStyle name="Check Cell" xfId="2" builtinId="23"/>
    <cellStyle name="Input" xfId="1" builtinId="20"/>
    <cellStyle name="Normal" xfId="0" builtinId="0"/>
    <cellStyle name="Output" xfId="4" builtin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173567</xdr:colOff>
      <xdr:row>13</xdr:row>
      <xdr:rowOff>59267</xdr:rowOff>
    </xdr:from>
    <xdr:to>
      <xdr:col>11</xdr:col>
      <xdr:colOff>546100</xdr:colOff>
      <xdr:row>17</xdr:row>
      <xdr:rowOff>63500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46800" y="2628900"/>
          <a:ext cx="1502833" cy="83396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KR</a:t>
          </a:r>
          <a:r>
            <a:rPr lang="en-US" sz="1100" baseline="0"/>
            <a:t> Reactor</a:t>
          </a:r>
          <a:endParaRPr lang="en-US" sz="1100"/>
        </a:p>
      </xdr:txBody>
    </xdr:sp>
    <xdr:clientData/>
  </xdr:twoCellAnchor>
  <xdr:twoCellAnchor>
    <xdr:from>
      <xdr:col>14</xdr:col>
      <xdr:colOff>440267</xdr:colOff>
      <xdr:row>13</xdr:row>
      <xdr:rowOff>33868</xdr:rowOff>
    </xdr:from>
    <xdr:to>
      <xdr:col>17</xdr:col>
      <xdr:colOff>313267</xdr:colOff>
      <xdr:row>17</xdr:row>
      <xdr:rowOff>38101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75600" y="2082801"/>
          <a:ext cx="1816100" cy="83396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Racemization Reactor</a:t>
          </a:r>
        </a:p>
      </xdr:txBody>
    </xdr:sp>
    <xdr:clientData/>
  </xdr:twoCellAnchor>
  <xdr:twoCellAnchor>
    <xdr:from>
      <xdr:col>2</xdr:col>
      <xdr:colOff>431801</xdr:colOff>
      <xdr:row>15</xdr:row>
      <xdr:rowOff>48684</xdr:rowOff>
    </xdr:from>
    <xdr:to>
      <xdr:col>9</xdr:col>
      <xdr:colOff>173567</xdr:colOff>
      <xdr:row>15</xdr:row>
      <xdr:rowOff>61384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endCxn id="2" idx="1"/>
        </xdr:cNvCxnSpPr>
      </xdr:nvCxnSpPr>
      <xdr:spPr>
        <a:xfrm flipV="1">
          <a:off x="1824568" y="3033184"/>
          <a:ext cx="4322232" cy="1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546100</xdr:colOff>
      <xdr:row>15</xdr:row>
      <xdr:rowOff>35985</xdr:rowOff>
    </xdr:from>
    <xdr:to>
      <xdr:col>14</xdr:col>
      <xdr:colOff>440267</xdr:colOff>
      <xdr:row>15</xdr:row>
      <xdr:rowOff>61384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2" idx="3"/>
          <a:endCxn id="3" idx="1"/>
        </xdr:cNvCxnSpPr>
      </xdr:nvCxnSpPr>
      <xdr:spPr>
        <a:xfrm flipV="1">
          <a:off x="7649633" y="3020485"/>
          <a:ext cx="2027767" cy="253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313267</xdr:colOff>
      <xdr:row>15</xdr:row>
      <xdr:rowOff>35985</xdr:rowOff>
    </xdr:from>
    <xdr:to>
      <xdr:col>21</xdr:col>
      <xdr:colOff>71967</xdr:colOff>
      <xdr:row>15</xdr:row>
      <xdr:rowOff>42334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stCxn id="3" idx="3"/>
        </xdr:cNvCxnSpPr>
      </xdr:nvCxnSpPr>
      <xdr:spPr>
        <a:xfrm>
          <a:off x="9791700" y="2499785"/>
          <a:ext cx="2256367" cy="6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575734</xdr:colOff>
      <xdr:row>6</xdr:row>
      <xdr:rowOff>71966</xdr:rowOff>
    </xdr:from>
    <xdr:to>
      <xdr:col>18</xdr:col>
      <xdr:colOff>588434</xdr:colOff>
      <xdr:row>15</xdr:row>
      <xdr:rowOff>29633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10701867" y="1291166"/>
          <a:ext cx="12700" cy="12022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427566</xdr:colOff>
      <xdr:row>6</xdr:row>
      <xdr:rowOff>29633</xdr:rowOff>
    </xdr:from>
    <xdr:to>
      <xdr:col>18</xdr:col>
      <xdr:colOff>575733</xdr:colOff>
      <xdr:row>6</xdr:row>
      <xdr:rowOff>55033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 flipV="1">
          <a:off x="3348566" y="1239157"/>
          <a:ext cx="8862786" cy="2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6</xdr:row>
      <xdr:rowOff>25400</xdr:rowOff>
    </xdr:from>
    <xdr:to>
      <xdr:col>4</xdr:col>
      <xdr:colOff>419100</xdr:colOff>
      <xdr:row>15</xdr:row>
      <xdr:rowOff>12700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246967" y="1244600"/>
          <a:ext cx="0" cy="1231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173567</xdr:colOff>
      <xdr:row>13</xdr:row>
      <xdr:rowOff>59267</xdr:rowOff>
    </xdr:from>
    <xdr:to>
      <xdr:col>11</xdr:col>
      <xdr:colOff>546100</xdr:colOff>
      <xdr:row>17</xdr:row>
      <xdr:rowOff>63500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146800" y="2628900"/>
          <a:ext cx="1502833" cy="83396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KR</a:t>
          </a:r>
          <a:r>
            <a:rPr lang="en-US" sz="1100" baseline="0"/>
            <a:t> Reactor</a:t>
          </a:r>
          <a:endParaRPr lang="en-US" sz="1100"/>
        </a:p>
      </xdr:txBody>
    </xdr:sp>
    <xdr:clientData/>
  </xdr:twoCellAnchor>
  <xdr:twoCellAnchor>
    <xdr:from>
      <xdr:col>14</xdr:col>
      <xdr:colOff>440267</xdr:colOff>
      <xdr:row>13</xdr:row>
      <xdr:rowOff>33868</xdr:rowOff>
    </xdr:from>
    <xdr:to>
      <xdr:col>17</xdr:col>
      <xdr:colOff>313267</xdr:colOff>
      <xdr:row>17</xdr:row>
      <xdr:rowOff>38101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677400" y="2603501"/>
          <a:ext cx="1943100" cy="83396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Racemization Reactor</a:t>
          </a:r>
        </a:p>
      </xdr:txBody>
    </xdr:sp>
    <xdr:clientData/>
  </xdr:twoCellAnchor>
  <xdr:twoCellAnchor>
    <xdr:from>
      <xdr:col>2</xdr:col>
      <xdr:colOff>431801</xdr:colOff>
      <xdr:row>15</xdr:row>
      <xdr:rowOff>48684</xdr:rowOff>
    </xdr:from>
    <xdr:to>
      <xdr:col>9</xdr:col>
      <xdr:colOff>173567</xdr:colOff>
      <xdr:row>15</xdr:row>
      <xdr:rowOff>61384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endCxn id="2" idx="1"/>
        </xdr:cNvCxnSpPr>
      </xdr:nvCxnSpPr>
      <xdr:spPr>
        <a:xfrm flipV="1">
          <a:off x="1824568" y="3033184"/>
          <a:ext cx="4322232" cy="1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546100</xdr:colOff>
      <xdr:row>15</xdr:row>
      <xdr:rowOff>35985</xdr:rowOff>
    </xdr:from>
    <xdr:to>
      <xdr:col>14</xdr:col>
      <xdr:colOff>440267</xdr:colOff>
      <xdr:row>15</xdr:row>
      <xdr:rowOff>61384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2" idx="3"/>
          <a:endCxn id="3" idx="1"/>
        </xdr:cNvCxnSpPr>
      </xdr:nvCxnSpPr>
      <xdr:spPr>
        <a:xfrm flipV="1">
          <a:off x="7649633" y="3020485"/>
          <a:ext cx="2027767" cy="253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313267</xdr:colOff>
      <xdr:row>15</xdr:row>
      <xdr:rowOff>35985</xdr:rowOff>
    </xdr:from>
    <xdr:to>
      <xdr:col>21</xdr:col>
      <xdr:colOff>71967</xdr:colOff>
      <xdr:row>15</xdr:row>
      <xdr:rowOff>42334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stCxn id="3" idx="3"/>
        </xdr:cNvCxnSpPr>
      </xdr:nvCxnSpPr>
      <xdr:spPr>
        <a:xfrm>
          <a:off x="11620500" y="3020485"/>
          <a:ext cx="2493434" cy="6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575734</xdr:colOff>
      <xdr:row>6</xdr:row>
      <xdr:rowOff>71966</xdr:rowOff>
    </xdr:from>
    <xdr:to>
      <xdr:col>18</xdr:col>
      <xdr:colOff>588434</xdr:colOff>
      <xdr:row>15</xdr:row>
      <xdr:rowOff>29633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 flipV="1">
          <a:off x="12530667" y="1291166"/>
          <a:ext cx="12700" cy="17229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427566</xdr:colOff>
      <xdr:row>6</xdr:row>
      <xdr:rowOff>29633</xdr:rowOff>
    </xdr:from>
    <xdr:to>
      <xdr:col>18</xdr:col>
      <xdr:colOff>575733</xdr:colOff>
      <xdr:row>6</xdr:row>
      <xdr:rowOff>55033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 flipV="1">
          <a:off x="3352799" y="1248833"/>
          <a:ext cx="9177867" cy="2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6</xdr:row>
      <xdr:rowOff>25400</xdr:rowOff>
    </xdr:from>
    <xdr:to>
      <xdr:col>4</xdr:col>
      <xdr:colOff>419100</xdr:colOff>
      <xdr:row>15</xdr:row>
      <xdr:rowOff>12700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3344333" y="1244600"/>
          <a:ext cx="0" cy="1752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</xdr:row>
          <xdr:rowOff>67733</xdr:rowOff>
        </xdr:from>
        <xdr:to>
          <xdr:col>3</xdr:col>
          <xdr:colOff>486833</xdr:colOff>
          <xdr:row>8</xdr:row>
          <xdr:rowOff>21167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Solve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41A9D-FD3B-4F01-B775-96F7C57E1596}">
  <sheetPr codeName="Sheet1"/>
  <dimension ref="B2:X303"/>
  <sheetViews>
    <sheetView tabSelected="1" zoomScale="85" zoomScaleNormal="85" zoomScalePageLayoutView="40" workbookViewId="0">
      <selection activeCell="E5" sqref="E5"/>
    </sheetView>
  </sheetViews>
  <sheetFormatPr defaultColWidth="9" defaultRowHeight="14.35" x14ac:dyDescent="0.5"/>
  <cols>
    <col min="1" max="1" width="9" style="2"/>
    <col min="2" max="2" width="10.29296875" style="2" bestFit="1" customWidth="1"/>
    <col min="3" max="3" width="12.41015625" style="2" bestFit="1" customWidth="1"/>
    <col min="4" max="4" width="10.1171875" style="2" bestFit="1" customWidth="1"/>
    <col min="5" max="5" width="6" style="2" bestFit="1" customWidth="1"/>
    <col min="6" max="6" width="8.5859375" style="2" bestFit="1" customWidth="1"/>
    <col min="7" max="8" width="9.76171875" style="2" bestFit="1" customWidth="1"/>
    <col min="9" max="9" width="10.29296875" style="2" bestFit="1" customWidth="1"/>
    <col min="10" max="10" width="6.703125" style="2" customWidth="1"/>
    <col min="11" max="11" width="9" style="2"/>
    <col min="12" max="13" width="9.1171875" style="2" bestFit="1" customWidth="1"/>
    <col min="14" max="14" width="11.8203125" style="2" bestFit="1" customWidth="1"/>
    <col min="15" max="16" width="9" style="2"/>
    <col min="17" max="17" width="10.8203125" style="2" bestFit="1" customWidth="1"/>
    <col min="18" max="18" width="9.1171875" style="2" bestFit="1" customWidth="1"/>
    <col min="19" max="19" width="11.8203125" style="2" bestFit="1" customWidth="1"/>
    <col min="20" max="20" width="9.1171875" style="2" bestFit="1" customWidth="1"/>
    <col min="21" max="21" width="9.76171875" style="2" bestFit="1" customWidth="1"/>
    <col min="22" max="22" width="6.29296875" style="2" customWidth="1"/>
    <col min="23" max="23" width="9" style="2"/>
    <col min="24" max="24" width="9.76171875" style="2" bestFit="1" customWidth="1"/>
    <col min="25" max="16384" width="9" style="2"/>
  </cols>
  <sheetData>
    <row r="2" spans="3:24" ht="16.350000000000001" x14ac:dyDescent="0.65">
      <c r="T2" s="2" t="s">
        <v>27</v>
      </c>
      <c r="U2" s="2">
        <f ca="1">$C$4*X13</f>
        <v>1.7357935688712465E-5</v>
      </c>
    </row>
    <row r="3" spans="3:24" ht="16.350000000000001" x14ac:dyDescent="0.65">
      <c r="C3" s="2" t="s">
        <v>1</v>
      </c>
      <c r="T3" s="2" t="s">
        <v>2</v>
      </c>
      <c r="U3" s="2">
        <f ca="1">$C$4*X14</f>
        <v>3.9450000000000005E-4</v>
      </c>
    </row>
    <row r="4" spans="3:24" ht="16.350000000000001" x14ac:dyDescent="0.65">
      <c r="C4" s="1">
        <v>50</v>
      </c>
      <c r="T4" s="2" t="s">
        <v>3</v>
      </c>
      <c r="U4" s="2">
        <f t="shared" ref="U4:U8" ca="1" si="0">$C$4*X15</f>
        <v>8.0219473674675721E-6</v>
      </c>
    </row>
    <row r="5" spans="3:24" ht="16.350000000000001" x14ac:dyDescent="0.65">
      <c r="C5"/>
      <c r="T5" s="2" t="s">
        <v>4</v>
      </c>
      <c r="U5" s="2">
        <f t="shared" ca="1" si="0"/>
        <v>2.8818522092029366E-4</v>
      </c>
    </row>
    <row r="6" spans="3:24" ht="16.350000000000001" x14ac:dyDescent="0.65">
      <c r="M6" s="12">
        <v>6</v>
      </c>
      <c r="T6" s="2" t="s">
        <v>5</v>
      </c>
      <c r="U6" s="2">
        <f ca="1">$C$4*X17</f>
        <v>2.505000000001718E-2</v>
      </c>
    </row>
    <row r="7" spans="3:24" ht="16.350000000000001" x14ac:dyDescent="0.65">
      <c r="T7" s="2" t="s">
        <v>6</v>
      </c>
      <c r="U7" s="2">
        <f ca="1">$C$4*X18</f>
        <v>6.0600625369643774E-4</v>
      </c>
    </row>
    <row r="8" spans="3:24" ht="16.350000000000001" x14ac:dyDescent="0.65">
      <c r="Q8" s="4"/>
      <c r="T8" s="2" t="s">
        <v>7</v>
      </c>
      <c r="U8" s="2">
        <f t="shared" ca="1" si="0"/>
        <v>3.8399374630356442E-4</v>
      </c>
    </row>
    <row r="9" spans="3:24" ht="16.350000000000001" x14ac:dyDescent="0.65">
      <c r="K9" s="2" t="s">
        <v>28</v>
      </c>
      <c r="L9" s="1">
        <v>3.6</v>
      </c>
      <c r="P9" s="2" t="s">
        <v>30</v>
      </c>
      <c r="Q9" s="1">
        <v>2.145</v>
      </c>
    </row>
    <row r="10" spans="3:24" x14ac:dyDescent="0.5">
      <c r="K10" s="2" t="s">
        <v>29</v>
      </c>
      <c r="L10">
        <f>C25*(1+C4)</f>
        <v>3.0089999999999999</v>
      </c>
      <c r="P10" s="2" t="s">
        <v>9</v>
      </c>
      <c r="Q10" s="3">
        <v>4.25E-6</v>
      </c>
    </row>
    <row r="11" spans="3:24" x14ac:dyDescent="0.5">
      <c r="K11" s="2" t="s">
        <v>30</v>
      </c>
      <c r="L11" s="1">
        <v>0.6</v>
      </c>
      <c r="P11" s="2" t="s">
        <v>16</v>
      </c>
      <c r="Q11" s="3">
        <v>1.7E-6</v>
      </c>
    </row>
    <row r="12" spans="3:24" ht="16.350000000000001" x14ac:dyDescent="0.65">
      <c r="K12" s="2" t="s">
        <v>31</v>
      </c>
      <c r="L12" s="7">
        <f>1-1/(EXP((L9*L11/L10)))</f>
        <v>0.51219837436370796</v>
      </c>
      <c r="Q12" s="4"/>
    </row>
    <row r="13" spans="3:24" ht="16.350000000000001" x14ac:dyDescent="0.65">
      <c r="W13" s="2" t="s">
        <v>27</v>
      </c>
      <c r="X13" s="2">
        <f ca="1">S19/(1+$C$4)</f>
        <v>3.658003860081524E-7</v>
      </c>
    </row>
    <row r="14" spans="3:24" ht="16.350000000000001" x14ac:dyDescent="0.65">
      <c r="W14" s="2" t="s">
        <v>2</v>
      </c>
      <c r="X14" s="2">
        <f t="shared" ref="X14:X19" ca="1" si="1">S20/(1+$C$4)</f>
        <v>7.8899999992744119E-6</v>
      </c>
    </row>
    <row r="15" spans="3:24" ht="16.350000000000001" x14ac:dyDescent="0.65">
      <c r="C15" s="12">
        <v>1</v>
      </c>
      <c r="D15" s="7"/>
      <c r="E15" s="7"/>
      <c r="F15" s="12">
        <v>2</v>
      </c>
      <c r="M15" s="12">
        <v>3</v>
      </c>
      <c r="R15" s="12">
        <v>4</v>
      </c>
      <c r="T15" s="12">
        <v>5</v>
      </c>
      <c r="W15" s="2" t="s">
        <v>3</v>
      </c>
      <c r="X15" s="2">
        <f t="shared" ca="1" si="1"/>
        <v>1.6044048971551475E-7</v>
      </c>
    </row>
    <row r="16" spans="3:24" ht="16.350000000000001" x14ac:dyDescent="0.65">
      <c r="W16" s="2" t="s">
        <v>4</v>
      </c>
      <c r="X16" s="2">
        <f ca="1">S22/(1+$C$4)</f>
        <v>5.7639651780541287E-6</v>
      </c>
    </row>
    <row r="17" spans="2:24" ht="16.350000000000001" x14ac:dyDescent="0.65">
      <c r="G17" s="2" t="s">
        <v>14</v>
      </c>
      <c r="H17" s="2" t="s">
        <v>13</v>
      </c>
      <c r="I17" s="2" t="s">
        <v>12</v>
      </c>
      <c r="W17" s="2" t="s">
        <v>5</v>
      </c>
      <c r="X17" s="2">
        <f t="shared" ca="1" si="1"/>
        <v>5.0100000000034405E-4</v>
      </c>
    </row>
    <row r="18" spans="2:24" ht="16.350000000000001" x14ac:dyDescent="0.65">
      <c r="B18" s="2" t="s">
        <v>27</v>
      </c>
      <c r="C18" s="3">
        <v>0</v>
      </c>
      <c r="F18" s="2" t="s">
        <v>27</v>
      </c>
      <c r="G18" s="2">
        <f ca="1">C18+U2</f>
        <v>1.7357935688712465E-5</v>
      </c>
      <c r="H18" s="2">
        <f ca="1">C18+U2</f>
        <v>1.7357935688712465E-5</v>
      </c>
      <c r="I18" s="2">
        <f ca="1">ABS(H18-G18)</f>
        <v>0</v>
      </c>
      <c r="M18" s="2" t="s">
        <v>27</v>
      </c>
      <c r="N18" s="2">
        <f ca="1">G18</f>
        <v>1.7357935688712465E-5</v>
      </c>
      <c r="W18" s="2" t="s">
        <v>6</v>
      </c>
      <c r="X18" s="2">
        <f t="shared" ca="1" si="1"/>
        <v>1.2120102804914811E-5</v>
      </c>
    </row>
    <row r="19" spans="2:24" ht="16.350000000000001" x14ac:dyDescent="0.65">
      <c r="B19" s="2" t="s">
        <v>2</v>
      </c>
      <c r="C19" s="3">
        <v>7.8900000000000007E-6</v>
      </c>
      <c r="F19" s="2" t="s">
        <v>2</v>
      </c>
      <c r="G19" s="2">
        <f t="shared" ref="G19:G23" ca="1" si="2">C19+U3</f>
        <v>4.0239000000000003E-4</v>
      </c>
      <c r="H19" s="2">
        <f t="shared" ref="H19:H24" ca="1" si="3">C19+U3</f>
        <v>4.0239000000000003E-4</v>
      </c>
      <c r="I19" s="2">
        <f t="shared" ref="I19:I24" ca="1" si="4">ABS(H19-G19)</f>
        <v>0</v>
      </c>
      <c r="M19" s="2" t="s">
        <v>2</v>
      </c>
      <c r="N19" s="2">
        <f ca="1">G19</f>
        <v>4.0239000000000003E-4</v>
      </c>
      <c r="R19" s="2" t="s">
        <v>27</v>
      </c>
      <c r="S19" s="2">
        <f ca="1">S26*L10/1000</f>
        <v>1.8657964253027527E-5</v>
      </c>
      <c r="W19" s="2" t="s">
        <v>7</v>
      </c>
      <c r="X19" s="2">
        <f t="shared" ca="1" si="1"/>
        <v>7.6798971932644287E-6</v>
      </c>
    </row>
    <row r="20" spans="2:24" ht="16.350000000000001" x14ac:dyDescent="0.65">
      <c r="B20" s="2" t="s">
        <v>3</v>
      </c>
      <c r="C20" s="3">
        <v>6.99E-6</v>
      </c>
      <c r="F20" s="2" t="s">
        <v>3</v>
      </c>
      <c r="G20" s="2">
        <f t="shared" ca="1" si="2"/>
        <v>1.5011947367467571E-5</v>
      </c>
      <c r="H20" s="2">
        <f t="shared" ca="1" si="3"/>
        <v>1.5011947367467571E-5</v>
      </c>
      <c r="I20" s="2">
        <f t="shared" ca="1" si="4"/>
        <v>0</v>
      </c>
      <c r="M20" s="2" t="s">
        <v>3</v>
      </c>
      <c r="N20" s="2">
        <f ca="1">G20-G20*L12</f>
        <v>7.3228523298171361E-6</v>
      </c>
      <c r="R20" s="2" t="s">
        <v>2</v>
      </c>
      <c r="S20" s="2">
        <f ca="1">N19</f>
        <v>4.0239000000000003E-4</v>
      </c>
      <c r="X20" s="5"/>
    </row>
    <row r="21" spans="2:24" ht="16.350000000000001" x14ac:dyDescent="0.65">
      <c r="B21" s="2" t="s">
        <v>4</v>
      </c>
      <c r="C21" s="3">
        <v>6.99E-6</v>
      </c>
      <c r="F21" s="2" t="s">
        <v>4</v>
      </c>
      <c r="G21" s="2">
        <f t="shared" ca="1" si="2"/>
        <v>2.9517522092029367E-4</v>
      </c>
      <c r="H21" s="2">
        <f t="shared" ca="1" si="3"/>
        <v>2.9517522092029367E-4</v>
      </c>
      <c r="I21" s="2">
        <f t="shared" ca="1" si="4"/>
        <v>0</v>
      </c>
      <c r="M21" s="2" t="s">
        <v>4</v>
      </c>
      <c r="N21" s="2">
        <f ca="1">G21</f>
        <v>2.9517522092029367E-4</v>
      </c>
      <c r="R21" s="2" t="s">
        <v>3</v>
      </c>
      <c r="S21" s="2">
        <f ca="1">S27*L10/1000</f>
        <v>8.1671999993398144E-6</v>
      </c>
      <c r="W21" s="2" t="s">
        <v>20</v>
      </c>
      <c r="X21" s="8">
        <f ca="1">((C20+C21)-(X15+X16))/(C20+C21)</f>
        <v>0.57622277054580506</v>
      </c>
    </row>
    <row r="22" spans="2:24" ht="16.350000000000001" x14ac:dyDescent="0.65">
      <c r="B22" s="2" t="s">
        <v>5</v>
      </c>
      <c r="C22" s="3">
        <v>5.0100000000000003E-4</v>
      </c>
      <c r="F22" s="2" t="s">
        <v>5</v>
      </c>
      <c r="G22" s="2">
        <f t="shared" ca="1" si="2"/>
        <v>2.5551000000017181E-2</v>
      </c>
      <c r="H22" s="2">
        <f ca="1">C22+U6</f>
        <v>2.5551000000017181E-2</v>
      </c>
      <c r="I22" s="2">
        <f t="shared" ca="1" si="4"/>
        <v>0</v>
      </c>
      <c r="M22" s="2" t="s">
        <v>5</v>
      </c>
      <c r="N22" s="2">
        <f ca="1">G22</f>
        <v>2.5551000000017181E-2</v>
      </c>
      <c r="R22" s="2" t="s">
        <v>4</v>
      </c>
      <c r="S22" s="2">
        <f ca="1">S28*L10/1000</f>
        <v>2.9138145570891587E-4</v>
      </c>
      <c r="W22" s="2" t="s">
        <v>21</v>
      </c>
      <c r="X22" s="8">
        <f ca="1">(X19)/(C20+C21)</f>
        <v>0.54934886933221949</v>
      </c>
    </row>
    <row r="23" spans="2:24" ht="16.350000000000001" x14ac:dyDescent="0.65">
      <c r="B23" s="2" t="s">
        <v>6</v>
      </c>
      <c r="C23" s="3">
        <v>1.98E-5</v>
      </c>
      <c r="F23" s="2" t="s">
        <v>6</v>
      </c>
      <c r="G23" s="2">
        <f t="shared" ca="1" si="2"/>
        <v>6.2580625369643779E-4</v>
      </c>
      <c r="H23" s="2">
        <f t="shared" ca="1" si="3"/>
        <v>6.2580625369643779E-4</v>
      </c>
      <c r="I23" s="2">
        <f t="shared" ca="1" si="4"/>
        <v>0</v>
      </c>
      <c r="M23" s="2" t="s">
        <v>6</v>
      </c>
      <c r="N23" s="2">
        <f ca="1">G23-G20*L12</f>
        <v>6.1811715865878734E-4</v>
      </c>
      <c r="R23" s="2" t="s">
        <v>5</v>
      </c>
      <c r="S23" s="2">
        <f ca="1">N22</f>
        <v>2.5551000000017181E-2</v>
      </c>
      <c r="W23" s="2" t="s">
        <v>26</v>
      </c>
      <c r="X23" s="13">
        <f ca="1">(ABS((X15+X19)-(X16)))/(X15+X16+X19)</f>
        <v>0.15262615998303256</v>
      </c>
    </row>
    <row r="24" spans="2:24" ht="16.7" thickBot="1" x14ac:dyDescent="0.7">
      <c r="B24" s="2" t="s">
        <v>7</v>
      </c>
      <c r="C24" s="3">
        <v>0</v>
      </c>
      <c r="F24" s="2" t="s">
        <v>7</v>
      </c>
      <c r="G24" s="2">
        <f ca="1">C24+U8</f>
        <v>3.8399374630356442E-4</v>
      </c>
      <c r="H24" s="2">
        <f t="shared" ca="1" si="3"/>
        <v>3.8399374630356442E-4</v>
      </c>
      <c r="I24" s="2">
        <f t="shared" ca="1" si="4"/>
        <v>0</v>
      </c>
      <c r="M24" s="2" t="s">
        <v>7</v>
      </c>
      <c r="N24" s="2">
        <f ca="1">G24+G20*L12</f>
        <v>3.9168284134121487E-4</v>
      </c>
      <c r="R24" s="2" t="s">
        <v>6</v>
      </c>
      <c r="S24" s="2">
        <f ca="1">N23</f>
        <v>6.1811715865878734E-4</v>
      </c>
    </row>
    <row r="25" spans="2:24" ht="17" thickTop="1" thickBot="1" x14ac:dyDescent="0.7">
      <c r="B25" s="2" t="s">
        <v>29</v>
      </c>
      <c r="C25" s="3">
        <v>5.8999999999999997E-2</v>
      </c>
      <c r="D25" s="5"/>
      <c r="I25" s="6">
        <f ca="1">SUM(I18:I24)*1000</f>
        <v>0</v>
      </c>
      <c r="M25" s="2" t="s">
        <v>32</v>
      </c>
      <c r="N25" s="7">
        <f ca="1">N18/(L10/1000)</f>
        <v>5.7686725452683503E-3</v>
      </c>
      <c r="R25" s="2" t="s">
        <v>7</v>
      </c>
      <c r="S25" s="2">
        <f ca="1">N24</f>
        <v>3.9168284134121487E-4</v>
      </c>
    </row>
    <row r="26" spans="2:24" ht="16.7" thickTop="1" x14ac:dyDescent="0.65">
      <c r="M26" s="2" t="s">
        <v>18</v>
      </c>
      <c r="N26" s="7">
        <f ca="1">N20/(L10/1000)</f>
        <v>2.433649827124339E-3</v>
      </c>
      <c r="R26" s="2" t="s">
        <v>32</v>
      </c>
      <c r="S26" s="2">
        <f ca="1">N26+N27+N25-EXP(-(Q11*Q9)/(L10/1000))*(N26+N27)</f>
        <v>5.8893908620024082E-3</v>
      </c>
    </row>
    <row r="27" spans="2:24" ht="16.350000000000001" x14ac:dyDescent="0.65">
      <c r="M27" s="2" t="s">
        <v>19</v>
      </c>
      <c r="N27" s="7">
        <f ca="1">N21/(L10/1000)</f>
        <v>9.8097447962875936E-2</v>
      </c>
      <c r="R27" s="2" t="s">
        <v>18</v>
      </c>
      <c r="S27" s="11">
        <f ca="1">EXP(-(Q9*(2*Q10+Q11))/(L10/1000))*(N26/2-N27/2)+(EXP(-(Q11*Q9)/(L10/1000))*(N26+N27))/2</f>
        <v>2.7193049681413367E-3</v>
      </c>
    </row>
    <row r="28" spans="2:24" ht="16.350000000000001" x14ac:dyDescent="0.65">
      <c r="R28" s="2" t="s">
        <v>19</v>
      </c>
      <c r="S28" s="11">
        <f ca="1">(EXP(-(Q11*Q9)/(L10/1000))*(N26+N27))/2-EXP(-(Q9*(2*Q10+Q11))/(L10/1000))*(N26/2-N27/2)</f>
        <v>9.7690036553617743E-2</v>
      </c>
    </row>
    <row r="35" spans="4:6" s="7" customFormat="1" x14ac:dyDescent="0.5"/>
    <row r="36" spans="4:6" s="7" customFormat="1" x14ac:dyDescent="0.5"/>
    <row r="37" spans="4:6" s="7" customFormat="1" x14ac:dyDescent="0.5"/>
    <row r="38" spans="4:6" s="7" customFormat="1" x14ac:dyDescent="0.5"/>
    <row r="39" spans="4:6" s="7" customFormat="1" x14ac:dyDescent="0.5">
      <c r="D39" s="10"/>
      <c r="E39" s="10"/>
      <c r="F39" s="10"/>
    </row>
    <row r="40" spans="4:6" s="7" customFormat="1" x14ac:dyDescent="0.5">
      <c r="D40" s="10"/>
      <c r="E40" s="10"/>
      <c r="F40" s="10"/>
    </row>
    <row r="41" spans="4:6" s="7" customFormat="1" x14ac:dyDescent="0.5">
      <c r="D41" s="10"/>
      <c r="E41" s="10"/>
      <c r="F41" s="10"/>
    </row>
    <row r="42" spans="4:6" s="7" customFormat="1" x14ac:dyDescent="0.5">
      <c r="D42" s="10"/>
      <c r="E42" s="10"/>
      <c r="F42" s="10"/>
    </row>
    <row r="43" spans="4:6" s="7" customFormat="1" x14ac:dyDescent="0.5">
      <c r="D43" s="10"/>
      <c r="E43" s="10"/>
      <c r="F43" s="10"/>
    </row>
    <row r="44" spans="4:6" s="7" customFormat="1" x14ac:dyDescent="0.5">
      <c r="D44" s="10"/>
      <c r="E44" s="10"/>
      <c r="F44" s="10"/>
    </row>
    <row r="45" spans="4:6" s="7" customFormat="1" x14ac:dyDescent="0.5">
      <c r="D45" s="10"/>
      <c r="E45" s="10"/>
      <c r="F45" s="10"/>
    </row>
    <row r="46" spans="4:6" s="7" customFormat="1" x14ac:dyDescent="0.5">
      <c r="D46" s="10"/>
      <c r="E46" s="10"/>
      <c r="F46" s="10"/>
    </row>
    <row r="47" spans="4:6" s="7" customFormat="1" x14ac:dyDescent="0.5">
      <c r="D47" s="10"/>
      <c r="E47" s="10"/>
    </row>
    <row r="48" spans="4:6" s="7" customFormat="1" x14ac:dyDescent="0.5">
      <c r="D48" s="10"/>
      <c r="E48" s="10"/>
    </row>
    <row r="49" spans="4:5" s="7" customFormat="1" x14ac:dyDescent="0.5">
      <c r="D49" s="10"/>
      <c r="E49" s="10"/>
    </row>
    <row r="50" spans="4:5" s="7" customFormat="1" x14ac:dyDescent="0.5"/>
    <row r="51" spans="4:5" s="7" customFormat="1" x14ac:dyDescent="0.5"/>
    <row r="52" spans="4:5" s="7" customFormat="1" x14ac:dyDescent="0.5"/>
    <row r="53" spans="4:5" s="7" customFormat="1" x14ac:dyDescent="0.5"/>
    <row r="54" spans="4:5" s="7" customFormat="1" x14ac:dyDescent="0.5"/>
    <row r="55" spans="4:5" s="7" customFormat="1" x14ac:dyDescent="0.5"/>
    <row r="56" spans="4:5" s="7" customFormat="1" x14ac:dyDescent="0.5"/>
    <row r="57" spans="4:5" s="7" customFormat="1" x14ac:dyDescent="0.5"/>
    <row r="58" spans="4:5" s="7" customFormat="1" x14ac:dyDescent="0.5"/>
    <row r="59" spans="4:5" s="7" customFormat="1" x14ac:dyDescent="0.5"/>
    <row r="60" spans="4:5" s="7" customFormat="1" x14ac:dyDescent="0.5"/>
    <row r="61" spans="4:5" s="7" customFormat="1" x14ac:dyDescent="0.5"/>
    <row r="62" spans="4:5" s="7" customFormat="1" x14ac:dyDescent="0.5"/>
    <row r="63" spans="4:5" s="7" customFormat="1" x14ac:dyDescent="0.5"/>
    <row r="64" spans="4:5" s="7" customFormat="1" x14ac:dyDescent="0.5"/>
    <row r="65" s="7" customFormat="1" x14ac:dyDescent="0.5"/>
    <row r="66" s="7" customFormat="1" x14ac:dyDescent="0.5"/>
    <row r="67" s="7" customFormat="1" x14ac:dyDescent="0.5"/>
    <row r="68" s="7" customFormat="1" x14ac:dyDescent="0.5"/>
    <row r="69" s="7" customFormat="1" x14ac:dyDescent="0.5"/>
    <row r="70" s="7" customFormat="1" x14ac:dyDescent="0.5"/>
    <row r="71" s="7" customFormat="1" x14ac:dyDescent="0.5"/>
    <row r="72" s="7" customFormat="1" x14ac:dyDescent="0.5"/>
    <row r="73" s="7" customFormat="1" x14ac:dyDescent="0.5"/>
    <row r="74" s="7" customFormat="1" x14ac:dyDescent="0.5"/>
    <row r="75" s="7" customFormat="1" x14ac:dyDescent="0.5"/>
    <row r="76" s="7" customFormat="1" x14ac:dyDescent="0.5"/>
    <row r="77" s="7" customFormat="1" x14ac:dyDescent="0.5"/>
    <row r="78" s="7" customFormat="1" x14ac:dyDescent="0.5"/>
    <row r="79" s="7" customFormat="1" x14ac:dyDescent="0.5"/>
    <row r="80" s="7" customFormat="1" x14ac:dyDescent="0.5"/>
    <row r="81" s="7" customFormat="1" x14ac:dyDescent="0.5"/>
    <row r="82" s="7" customFormat="1" x14ac:dyDescent="0.5"/>
    <row r="83" s="7" customFormat="1" x14ac:dyDescent="0.5"/>
    <row r="84" s="7" customFormat="1" x14ac:dyDescent="0.5"/>
    <row r="85" s="7" customFormat="1" x14ac:dyDescent="0.5"/>
    <row r="86" s="7" customFormat="1" x14ac:dyDescent="0.5"/>
    <row r="87" s="7" customFormat="1" x14ac:dyDescent="0.5"/>
    <row r="88" s="7" customFormat="1" x14ac:dyDescent="0.5"/>
    <row r="89" s="7" customFormat="1" x14ac:dyDescent="0.5"/>
    <row r="90" s="7" customFormat="1" x14ac:dyDescent="0.5"/>
    <row r="91" s="7" customFormat="1" x14ac:dyDescent="0.5"/>
    <row r="92" s="7" customFormat="1" x14ac:dyDescent="0.5"/>
    <row r="93" s="7" customFormat="1" x14ac:dyDescent="0.5"/>
    <row r="94" s="7" customFormat="1" x14ac:dyDescent="0.5"/>
    <row r="95" s="7" customFormat="1" x14ac:dyDescent="0.5"/>
    <row r="96" s="7" customFormat="1" x14ac:dyDescent="0.5"/>
    <row r="97" s="7" customFormat="1" x14ac:dyDescent="0.5"/>
    <row r="98" s="7" customFormat="1" x14ac:dyDescent="0.5"/>
    <row r="99" s="7" customFormat="1" x14ac:dyDescent="0.5"/>
    <row r="100" s="7" customFormat="1" x14ac:dyDescent="0.5"/>
    <row r="101" s="7" customFormat="1" x14ac:dyDescent="0.5"/>
    <row r="102" s="7" customFormat="1" x14ac:dyDescent="0.5"/>
    <row r="103" s="7" customFormat="1" x14ac:dyDescent="0.5"/>
    <row r="104" s="7" customFormat="1" x14ac:dyDescent="0.5"/>
    <row r="105" s="7" customFormat="1" x14ac:dyDescent="0.5"/>
    <row r="106" s="7" customFormat="1" x14ac:dyDescent="0.5"/>
    <row r="107" s="7" customFormat="1" x14ac:dyDescent="0.5"/>
    <row r="108" s="7" customFormat="1" x14ac:dyDescent="0.5"/>
    <row r="109" s="7" customFormat="1" x14ac:dyDescent="0.5"/>
    <row r="110" s="7" customFormat="1" x14ac:dyDescent="0.5"/>
    <row r="111" s="7" customFormat="1" x14ac:dyDescent="0.5"/>
    <row r="112" s="7" customFormat="1" x14ac:dyDescent="0.5"/>
    <row r="113" s="7" customFormat="1" x14ac:dyDescent="0.5"/>
    <row r="114" s="7" customFormat="1" x14ac:dyDescent="0.5"/>
    <row r="115" s="7" customFormat="1" x14ac:dyDescent="0.5"/>
    <row r="116" s="7" customFormat="1" x14ac:dyDescent="0.5"/>
    <row r="117" s="7" customFormat="1" x14ac:dyDescent="0.5"/>
    <row r="118" s="7" customFormat="1" x14ac:dyDescent="0.5"/>
    <row r="119" s="7" customFormat="1" x14ac:dyDescent="0.5"/>
    <row r="120" s="7" customFormat="1" x14ac:dyDescent="0.5"/>
    <row r="121" s="7" customFormat="1" x14ac:dyDescent="0.5"/>
    <row r="122" s="7" customFormat="1" x14ac:dyDescent="0.5"/>
    <row r="123" s="7" customFormat="1" x14ac:dyDescent="0.5"/>
    <row r="124" s="7" customFormat="1" x14ac:dyDescent="0.5"/>
    <row r="125" s="7" customFormat="1" x14ac:dyDescent="0.5"/>
    <row r="126" s="7" customFormat="1" x14ac:dyDescent="0.5"/>
    <row r="127" s="7" customFormat="1" x14ac:dyDescent="0.5"/>
    <row r="128" s="7" customFormat="1" x14ac:dyDescent="0.5"/>
    <row r="129" s="7" customFormat="1" x14ac:dyDescent="0.5"/>
    <row r="130" s="7" customFormat="1" x14ac:dyDescent="0.5"/>
    <row r="131" s="7" customFormat="1" x14ac:dyDescent="0.5"/>
    <row r="132" s="7" customFormat="1" x14ac:dyDescent="0.5"/>
    <row r="133" s="7" customFormat="1" x14ac:dyDescent="0.5"/>
    <row r="134" s="7" customFormat="1" x14ac:dyDescent="0.5"/>
    <row r="135" s="7" customFormat="1" x14ac:dyDescent="0.5"/>
    <row r="136" s="7" customFormat="1" x14ac:dyDescent="0.5"/>
    <row r="137" s="7" customFormat="1" x14ac:dyDescent="0.5"/>
    <row r="138" s="7" customFormat="1" x14ac:dyDescent="0.5"/>
    <row r="139" s="7" customFormat="1" x14ac:dyDescent="0.5"/>
    <row r="140" s="7" customFormat="1" x14ac:dyDescent="0.5"/>
    <row r="141" s="7" customFormat="1" x14ac:dyDescent="0.5"/>
    <row r="142" s="7" customFormat="1" x14ac:dyDescent="0.5"/>
    <row r="143" s="7" customFormat="1" x14ac:dyDescent="0.5"/>
    <row r="144" s="7" customFormat="1" x14ac:dyDescent="0.5"/>
    <row r="145" s="7" customFormat="1" x14ac:dyDescent="0.5"/>
    <row r="146" s="7" customFormat="1" x14ac:dyDescent="0.5"/>
    <row r="147" s="7" customFormat="1" x14ac:dyDescent="0.5"/>
    <row r="148" s="7" customFormat="1" x14ac:dyDescent="0.5"/>
    <row r="149" s="7" customFormat="1" x14ac:dyDescent="0.5"/>
    <row r="150" s="7" customFormat="1" x14ac:dyDescent="0.5"/>
    <row r="151" s="7" customFormat="1" x14ac:dyDescent="0.5"/>
    <row r="152" s="7" customFormat="1" x14ac:dyDescent="0.5"/>
    <row r="153" s="7" customFormat="1" x14ac:dyDescent="0.5"/>
    <row r="154" s="7" customFormat="1" x14ac:dyDescent="0.5"/>
    <row r="155" s="7" customFormat="1" x14ac:dyDescent="0.5"/>
    <row r="156" s="7" customFormat="1" x14ac:dyDescent="0.5"/>
    <row r="157" s="7" customFormat="1" x14ac:dyDescent="0.5"/>
    <row r="158" s="7" customFormat="1" x14ac:dyDescent="0.5"/>
    <row r="159" s="7" customFormat="1" x14ac:dyDescent="0.5"/>
    <row r="160" s="7" customFormat="1" x14ac:dyDescent="0.5"/>
    <row r="161" s="7" customFormat="1" x14ac:dyDescent="0.5"/>
    <row r="162" s="7" customFormat="1" x14ac:dyDescent="0.5"/>
    <row r="163" s="7" customFormat="1" x14ac:dyDescent="0.5"/>
    <row r="164" s="7" customFormat="1" x14ac:dyDescent="0.5"/>
    <row r="165" s="7" customFormat="1" x14ac:dyDescent="0.5"/>
    <row r="166" s="7" customFormat="1" x14ac:dyDescent="0.5"/>
    <row r="167" s="7" customFormat="1" x14ac:dyDescent="0.5"/>
    <row r="168" s="7" customFormat="1" x14ac:dyDescent="0.5"/>
    <row r="169" s="7" customFormat="1" x14ac:dyDescent="0.5"/>
    <row r="170" s="7" customFormat="1" x14ac:dyDescent="0.5"/>
    <row r="171" s="7" customFormat="1" x14ac:dyDescent="0.5"/>
    <row r="172" s="7" customFormat="1" x14ac:dyDescent="0.5"/>
    <row r="173" s="7" customFormat="1" x14ac:dyDescent="0.5"/>
    <row r="174" s="7" customFormat="1" x14ac:dyDescent="0.5"/>
    <row r="175" s="7" customFormat="1" x14ac:dyDescent="0.5"/>
    <row r="176" s="7" customFormat="1" x14ac:dyDescent="0.5"/>
    <row r="177" s="7" customFormat="1" x14ac:dyDescent="0.5"/>
    <row r="178" s="7" customFormat="1" x14ac:dyDescent="0.5"/>
    <row r="179" s="7" customFormat="1" x14ac:dyDescent="0.5"/>
    <row r="180" s="7" customFormat="1" x14ac:dyDescent="0.5"/>
    <row r="181" s="7" customFormat="1" x14ac:dyDescent="0.5"/>
    <row r="182" s="7" customFormat="1" x14ac:dyDescent="0.5"/>
    <row r="183" s="7" customFormat="1" x14ac:dyDescent="0.5"/>
    <row r="184" s="7" customFormat="1" x14ac:dyDescent="0.5"/>
    <row r="185" s="7" customFormat="1" x14ac:dyDescent="0.5"/>
    <row r="186" s="7" customFormat="1" x14ac:dyDescent="0.5"/>
    <row r="187" s="7" customFormat="1" x14ac:dyDescent="0.5"/>
    <row r="188" s="7" customFormat="1" x14ac:dyDescent="0.5"/>
    <row r="189" s="7" customFormat="1" x14ac:dyDescent="0.5"/>
    <row r="190" s="7" customFormat="1" x14ac:dyDescent="0.5"/>
    <row r="191" s="7" customFormat="1" x14ac:dyDescent="0.5"/>
    <row r="192" s="7" customFormat="1" x14ac:dyDescent="0.5"/>
    <row r="193" s="7" customFormat="1" x14ac:dyDescent="0.5"/>
    <row r="194" s="7" customFormat="1" x14ac:dyDescent="0.5"/>
    <row r="195" s="7" customFormat="1" x14ac:dyDescent="0.5"/>
    <row r="196" s="7" customFormat="1" x14ac:dyDescent="0.5"/>
    <row r="197" s="7" customFormat="1" x14ac:dyDescent="0.5"/>
    <row r="198" s="7" customFormat="1" x14ac:dyDescent="0.5"/>
    <row r="199" s="7" customFormat="1" x14ac:dyDescent="0.5"/>
    <row r="200" s="7" customFormat="1" x14ac:dyDescent="0.5"/>
    <row r="201" s="7" customFormat="1" x14ac:dyDescent="0.5"/>
    <row r="202" s="7" customFormat="1" x14ac:dyDescent="0.5"/>
    <row r="203" s="7" customFormat="1" x14ac:dyDescent="0.5"/>
    <row r="204" s="7" customFormat="1" x14ac:dyDescent="0.5"/>
    <row r="205" s="7" customFormat="1" x14ac:dyDescent="0.5"/>
    <row r="206" s="7" customFormat="1" x14ac:dyDescent="0.5"/>
    <row r="207" s="7" customFormat="1" x14ac:dyDescent="0.5"/>
    <row r="208" s="7" customFormat="1" x14ac:dyDescent="0.5"/>
    <row r="209" s="7" customFormat="1" x14ac:dyDescent="0.5"/>
    <row r="210" s="7" customFormat="1" x14ac:dyDescent="0.5"/>
    <row r="211" s="7" customFormat="1" x14ac:dyDescent="0.5"/>
    <row r="212" s="7" customFormat="1" x14ac:dyDescent="0.5"/>
    <row r="213" s="7" customFormat="1" x14ac:dyDescent="0.5"/>
    <row r="214" s="7" customFormat="1" x14ac:dyDescent="0.5"/>
    <row r="215" s="7" customFormat="1" x14ac:dyDescent="0.5"/>
    <row r="216" s="7" customFormat="1" x14ac:dyDescent="0.5"/>
    <row r="217" s="7" customFormat="1" x14ac:dyDescent="0.5"/>
    <row r="218" s="7" customFormat="1" x14ac:dyDescent="0.5"/>
    <row r="219" s="7" customFormat="1" x14ac:dyDescent="0.5"/>
    <row r="220" s="7" customFormat="1" x14ac:dyDescent="0.5"/>
    <row r="221" s="7" customFormat="1" x14ac:dyDescent="0.5"/>
    <row r="222" s="7" customFormat="1" x14ac:dyDescent="0.5"/>
    <row r="223" s="7" customFormat="1" x14ac:dyDescent="0.5"/>
    <row r="224" s="7" customFormat="1" x14ac:dyDescent="0.5"/>
    <row r="225" s="7" customFormat="1" x14ac:dyDescent="0.5"/>
    <row r="226" s="7" customFormat="1" x14ac:dyDescent="0.5"/>
    <row r="227" s="7" customFormat="1" x14ac:dyDescent="0.5"/>
    <row r="228" s="7" customFormat="1" x14ac:dyDescent="0.5"/>
    <row r="229" s="7" customFormat="1" x14ac:dyDescent="0.5"/>
    <row r="230" s="7" customFormat="1" x14ac:dyDescent="0.5"/>
    <row r="231" s="7" customFormat="1" x14ac:dyDescent="0.5"/>
    <row r="232" s="7" customFormat="1" x14ac:dyDescent="0.5"/>
    <row r="233" s="7" customFormat="1" x14ac:dyDescent="0.5"/>
    <row r="234" s="7" customFormat="1" x14ac:dyDescent="0.5"/>
    <row r="235" s="7" customFormat="1" x14ac:dyDescent="0.5"/>
    <row r="236" s="7" customFormat="1" x14ac:dyDescent="0.5"/>
    <row r="237" s="7" customFormat="1" x14ac:dyDescent="0.5"/>
    <row r="238" s="7" customFormat="1" x14ac:dyDescent="0.5"/>
    <row r="239" s="7" customFormat="1" x14ac:dyDescent="0.5"/>
    <row r="240" s="7" customFormat="1" x14ac:dyDescent="0.5"/>
    <row r="241" s="7" customFormat="1" x14ac:dyDescent="0.5"/>
    <row r="242" s="7" customFormat="1" x14ac:dyDescent="0.5"/>
    <row r="243" s="7" customFormat="1" x14ac:dyDescent="0.5"/>
    <row r="244" s="7" customFormat="1" x14ac:dyDescent="0.5"/>
    <row r="245" s="7" customFormat="1" x14ac:dyDescent="0.5"/>
    <row r="246" s="7" customFormat="1" x14ac:dyDescent="0.5"/>
    <row r="247" s="7" customFormat="1" x14ac:dyDescent="0.5"/>
    <row r="248" s="7" customFormat="1" x14ac:dyDescent="0.5"/>
    <row r="249" s="7" customFormat="1" x14ac:dyDescent="0.5"/>
    <row r="250" s="7" customFormat="1" x14ac:dyDescent="0.5"/>
    <row r="251" s="7" customFormat="1" x14ac:dyDescent="0.5"/>
    <row r="252" s="7" customFormat="1" x14ac:dyDescent="0.5"/>
    <row r="253" s="7" customFormat="1" x14ac:dyDescent="0.5"/>
    <row r="254" s="7" customFormat="1" x14ac:dyDescent="0.5"/>
    <row r="255" s="7" customFormat="1" x14ac:dyDescent="0.5"/>
    <row r="256" s="7" customFormat="1" x14ac:dyDescent="0.5"/>
    <row r="257" s="7" customFormat="1" x14ac:dyDescent="0.5"/>
    <row r="258" s="7" customFormat="1" x14ac:dyDescent="0.5"/>
    <row r="259" s="7" customFormat="1" x14ac:dyDescent="0.5"/>
    <row r="260" s="7" customFormat="1" x14ac:dyDescent="0.5"/>
    <row r="261" s="7" customFormat="1" x14ac:dyDescent="0.5"/>
    <row r="262" s="7" customFormat="1" x14ac:dyDescent="0.5"/>
    <row r="263" s="7" customFormat="1" x14ac:dyDescent="0.5"/>
    <row r="264" s="7" customFormat="1" x14ac:dyDescent="0.5"/>
    <row r="265" s="7" customFormat="1" x14ac:dyDescent="0.5"/>
    <row r="266" s="7" customFormat="1" x14ac:dyDescent="0.5"/>
    <row r="267" s="7" customFormat="1" x14ac:dyDescent="0.5"/>
    <row r="268" s="7" customFormat="1" x14ac:dyDescent="0.5"/>
    <row r="269" s="7" customFormat="1" x14ac:dyDescent="0.5"/>
    <row r="270" s="7" customFormat="1" x14ac:dyDescent="0.5"/>
    <row r="271" s="7" customFormat="1" x14ac:dyDescent="0.5"/>
    <row r="272" s="7" customFormat="1" x14ac:dyDescent="0.5"/>
    <row r="273" s="7" customFormat="1" x14ac:dyDescent="0.5"/>
    <row r="274" s="7" customFormat="1" x14ac:dyDescent="0.5"/>
    <row r="275" s="7" customFormat="1" x14ac:dyDescent="0.5"/>
    <row r="276" s="7" customFormat="1" x14ac:dyDescent="0.5"/>
    <row r="277" s="7" customFormat="1" x14ac:dyDescent="0.5"/>
    <row r="278" s="7" customFormat="1" x14ac:dyDescent="0.5"/>
    <row r="279" s="7" customFormat="1" x14ac:dyDescent="0.5"/>
    <row r="280" s="7" customFormat="1" x14ac:dyDescent="0.5"/>
    <row r="281" s="7" customFormat="1" x14ac:dyDescent="0.5"/>
    <row r="282" s="7" customFormat="1" x14ac:dyDescent="0.5"/>
    <row r="283" s="7" customFormat="1" x14ac:dyDescent="0.5"/>
    <row r="284" s="7" customFormat="1" x14ac:dyDescent="0.5"/>
    <row r="285" s="7" customFormat="1" x14ac:dyDescent="0.5"/>
    <row r="286" s="7" customFormat="1" x14ac:dyDescent="0.5"/>
    <row r="287" s="7" customFormat="1" x14ac:dyDescent="0.5"/>
    <row r="288" s="7" customFormat="1" x14ac:dyDescent="0.5"/>
    <row r="289" s="7" customFormat="1" x14ac:dyDescent="0.5"/>
    <row r="290" s="7" customFormat="1" x14ac:dyDescent="0.5"/>
    <row r="291" s="7" customFormat="1" x14ac:dyDescent="0.5"/>
    <row r="292" s="7" customFormat="1" x14ac:dyDescent="0.5"/>
    <row r="293" s="7" customFormat="1" x14ac:dyDescent="0.5"/>
    <row r="294" s="7" customFormat="1" x14ac:dyDescent="0.5"/>
    <row r="295" s="7" customFormat="1" x14ac:dyDescent="0.5"/>
    <row r="296" s="7" customFormat="1" x14ac:dyDescent="0.5"/>
    <row r="297" s="7" customFormat="1" x14ac:dyDescent="0.5"/>
    <row r="298" s="7" customFormat="1" x14ac:dyDescent="0.5"/>
    <row r="299" s="7" customFormat="1" x14ac:dyDescent="0.5"/>
    <row r="300" s="7" customFormat="1" x14ac:dyDescent="0.5"/>
    <row r="301" s="7" customFormat="1" x14ac:dyDescent="0.5"/>
    <row r="302" s="7" customFormat="1" x14ac:dyDescent="0.5"/>
    <row r="303" s="7" customFormat="1" x14ac:dyDescent="0.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64434-2385-42F7-AE6F-F067EBCF9373}">
  <sheetPr codeName="Sheet2"/>
  <dimension ref="B2:X28"/>
  <sheetViews>
    <sheetView zoomScale="90" zoomScaleNormal="90" zoomScalePageLayoutView="40" workbookViewId="0">
      <selection activeCell="G20" sqref="G20"/>
    </sheetView>
  </sheetViews>
  <sheetFormatPr defaultColWidth="9" defaultRowHeight="14.35" x14ac:dyDescent="0.5"/>
  <cols>
    <col min="1" max="1" width="9" style="2"/>
    <col min="2" max="2" width="10.29296875" style="2" bestFit="1" customWidth="1"/>
    <col min="3" max="3" width="12.29296875" style="2" bestFit="1" customWidth="1"/>
    <col min="4" max="6" width="9" style="2"/>
    <col min="7" max="8" width="8.1171875" style="2" bestFit="1" customWidth="1"/>
    <col min="9" max="9" width="8.1171875" style="2" customWidth="1"/>
    <col min="10" max="10" width="6.703125" style="2" customWidth="1"/>
    <col min="11" max="13" width="9" style="2"/>
    <col min="14" max="14" width="11.703125" style="2" bestFit="1" customWidth="1"/>
    <col min="15" max="16" width="9" style="2"/>
    <col min="17" max="17" width="10.703125" style="2" bestFit="1" customWidth="1"/>
    <col min="18" max="18" width="9" style="2"/>
    <col min="19" max="19" width="11.703125" style="2" bestFit="1" customWidth="1"/>
    <col min="20" max="20" width="9" style="2"/>
    <col min="21" max="21" width="8.29296875" style="2" bestFit="1" customWidth="1"/>
    <col min="22" max="22" width="6.29296875" style="2" customWidth="1"/>
    <col min="23" max="16384" width="9" style="2"/>
  </cols>
  <sheetData>
    <row r="2" spans="3:24" ht="16.350000000000001" x14ac:dyDescent="0.65">
      <c r="T2" s="2" t="s">
        <v>0</v>
      </c>
      <c r="U2" s="2">
        <f>S19-X13</f>
        <v>0</v>
      </c>
    </row>
    <row r="3" spans="3:24" ht="16.350000000000001" x14ac:dyDescent="0.65">
      <c r="C3" s="2" t="s">
        <v>1</v>
      </c>
      <c r="T3" s="2" t="s">
        <v>2</v>
      </c>
      <c r="U3" s="2">
        <f t="shared" ref="U3:U8" si="0">S20-X14</f>
        <v>-7.8900000000000007E-6</v>
      </c>
    </row>
    <row r="4" spans="3:24" ht="16.350000000000001" x14ac:dyDescent="0.65">
      <c r="C4" s="1">
        <v>0</v>
      </c>
      <c r="T4" s="2" t="s">
        <v>3</v>
      </c>
      <c r="U4" s="2">
        <f t="shared" si="0"/>
        <v>-6.9900000000000008E-6</v>
      </c>
    </row>
    <row r="5" spans="3:24" ht="16.350000000000001" x14ac:dyDescent="0.65">
      <c r="T5" s="2" t="s">
        <v>4</v>
      </c>
      <c r="U5" s="2">
        <f t="shared" si="0"/>
        <v>0</v>
      </c>
    </row>
    <row r="6" spans="3:24" ht="16.350000000000001" x14ac:dyDescent="0.65">
      <c r="M6" s="7">
        <v>6</v>
      </c>
      <c r="T6" s="2" t="s">
        <v>5</v>
      </c>
      <c r="U6" s="2">
        <f t="shared" si="0"/>
        <v>-5.0100000000000003E-4</v>
      </c>
    </row>
    <row r="7" spans="3:24" ht="16.350000000000001" x14ac:dyDescent="0.65">
      <c r="T7" s="2" t="s">
        <v>6</v>
      </c>
      <c r="U7" s="2">
        <f t="shared" si="0"/>
        <v>0</v>
      </c>
    </row>
    <row r="8" spans="3:24" ht="16.350000000000001" x14ac:dyDescent="0.65">
      <c r="Q8" s="4"/>
      <c r="T8" s="2" t="s">
        <v>7</v>
      </c>
      <c r="U8" s="2">
        <f t="shared" si="0"/>
        <v>0</v>
      </c>
    </row>
    <row r="9" spans="3:24" x14ac:dyDescent="0.5">
      <c r="K9" s="2" t="s">
        <v>9</v>
      </c>
      <c r="L9" s="3">
        <v>3.6</v>
      </c>
      <c r="M9" s="2" t="s">
        <v>25</v>
      </c>
      <c r="N9" s="2">
        <f>(G20-N20)</f>
        <v>0</v>
      </c>
      <c r="P9" s="2" t="s">
        <v>15</v>
      </c>
      <c r="Q9" s="3">
        <v>2.145</v>
      </c>
      <c r="R9" s="2">
        <f>(S21-N20)</f>
        <v>8.7341865333366828E-7</v>
      </c>
      <c r="S9" s="2" t="s">
        <v>23</v>
      </c>
    </row>
    <row r="10" spans="3:24" x14ac:dyDescent="0.5">
      <c r="K10" s="2" t="s">
        <v>10</v>
      </c>
      <c r="L10" s="5">
        <f>C25*(1+C4)</f>
        <v>5.8999999999999997E-2</v>
      </c>
      <c r="P10" s="2" t="s">
        <v>9</v>
      </c>
      <c r="Q10" s="3">
        <v>4.25E-6</v>
      </c>
      <c r="R10" s="2">
        <f>S19-N18</f>
        <v>4.1893794591504887E-7</v>
      </c>
      <c r="S10" s="2" t="s">
        <v>24</v>
      </c>
    </row>
    <row r="11" spans="3:24" x14ac:dyDescent="0.5">
      <c r="K11" s="2" t="s">
        <v>11</v>
      </c>
      <c r="L11" s="3">
        <v>0.6</v>
      </c>
      <c r="P11" s="2" t="s">
        <v>16</v>
      </c>
      <c r="Q11" s="3">
        <v>1.7E-6</v>
      </c>
    </row>
    <row r="12" spans="3:24" x14ac:dyDescent="0.5">
      <c r="K12" s="2" t="s">
        <v>8</v>
      </c>
      <c r="L12" s="2">
        <f>1-1/(EXP((L9*L11/L10)))</f>
        <v>0.99999999999999989</v>
      </c>
      <c r="Q12" s="4"/>
    </row>
    <row r="13" spans="3:24" ht="16.350000000000001" x14ac:dyDescent="0.65">
      <c r="W13" s="2" t="s">
        <v>0</v>
      </c>
      <c r="X13" s="2">
        <f>R10</f>
        <v>4.1893794591504887E-7</v>
      </c>
    </row>
    <row r="14" spans="3:24" ht="16.350000000000001" x14ac:dyDescent="0.65">
      <c r="W14" s="2" t="s">
        <v>2</v>
      </c>
      <c r="X14" s="2">
        <f>C19</f>
        <v>7.8900000000000007E-6</v>
      </c>
    </row>
    <row r="15" spans="3:24" ht="16.350000000000001" x14ac:dyDescent="0.65">
      <c r="C15" s="7">
        <v>1</v>
      </c>
      <c r="D15" s="7"/>
      <c r="E15" s="7"/>
      <c r="F15" s="7">
        <v>2</v>
      </c>
      <c r="M15" s="7">
        <v>3</v>
      </c>
      <c r="R15" s="7">
        <v>4</v>
      </c>
      <c r="T15" s="7">
        <v>5</v>
      </c>
      <c r="W15" s="2" t="s">
        <v>3</v>
      </c>
      <c r="X15" s="2">
        <f>C20-N9+R9</f>
        <v>7.8634186533336689E-6</v>
      </c>
    </row>
    <row r="16" spans="3:24" ht="16.350000000000001" x14ac:dyDescent="0.65">
      <c r="W16" s="2" t="s">
        <v>4</v>
      </c>
      <c r="X16" s="2">
        <f>C21-R9-R10</f>
        <v>5.6976434007512828E-6</v>
      </c>
    </row>
    <row r="17" spans="2:24" ht="16.350000000000001" x14ac:dyDescent="0.65">
      <c r="G17" s="2" t="s">
        <v>14</v>
      </c>
      <c r="H17" s="2" t="s">
        <v>13</v>
      </c>
      <c r="I17" s="2" t="s">
        <v>12</v>
      </c>
      <c r="W17" s="2" t="s">
        <v>5</v>
      </c>
      <c r="X17" s="2">
        <f>C22</f>
        <v>5.0100000000000003E-4</v>
      </c>
    </row>
    <row r="18" spans="2:24" ht="16.350000000000001" x14ac:dyDescent="0.65">
      <c r="B18" s="2" t="s">
        <v>0</v>
      </c>
      <c r="C18" s="3">
        <v>0</v>
      </c>
      <c r="F18" s="2" t="s">
        <v>0</v>
      </c>
      <c r="G18" s="2">
        <v>0</v>
      </c>
      <c r="H18" s="2">
        <f t="shared" ref="H18:H24" si="1">C18+U2</f>
        <v>0</v>
      </c>
      <c r="I18" s="2">
        <f>ABS(H18-G18)</f>
        <v>0</v>
      </c>
      <c r="M18" s="2" t="s">
        <v>0</v>
      </c>
      <c r="N18" s="2">
        <f>G18</f>
        <v>0</v>
      </c>
      <c r="W18" s="2" t="s">
        <v>6</v>
      </c>
      <c r="X18" s="2">
        <f>C23-N9</f>
        <v>1.98E-5</v>
      </c>
    </row>
    <row r="19" spans="2:24" ht="16.350000000000001" x14ac:dyDescent="0.65">
      <c r="B19" s="2" t="s">
        <v>2</v>
      </c>
      <c r="C19" s="3">
        <v>7.8900000000000007E-6</v>
      </c>
      <c r="F19" s="2" t="s">
        <v>2</v>
      </c>
      <c r="G19" s="2">
        <v>0</v>
      </c>
      <c r="H19" s="2">
        <f t="shared" si="1"/>
        <v>0</v>
      </c>
      <c r="I19" s="2">
        <f t="shared" ref="I19:I24" si="2">ABS(H19-G19)</f>
        <v>0</v>
      </c>
      <c r="M19" s="2" t="s">
        <v>2</v>
      </c>
      <c r="N19" s="2">
        <f>G19</f>
        <v>0</v>
      </c>
      <c r="R19" s="2" t="s">
        <v>0</v>
      </c>
      <c r="S19" s="2">
        <f>S26*L10/1000</f>
        <v>4.1893794591504887E-7</v>
      </c>
      <c r="W19" s="2" t="s">
        <v>7</v>
      </c>
      <c r="X19" s="2">
        <f>N9</f>
        <v>0</v>
      </c>
    </row>
    <row r="20" spans="2:24" ht="16.350000000000001" x14ac:dyDescent="0.65">
      <c r="B20" s="2" t="s">
        <v>3</v>
      </c>
      <c r="C20" s="3">
        <v>6.99E-6</v>
      </c>
      <c r="F20" s="2" t="s">
        <v>3</v>
      </c>
      <c r="G20" s="2">
        <v>0</v>
      </c>
      <c r="H20" s="2">
        <f t="shared" si="1"/>
        <v>0</v>
      </c>
      <c r="I20" s="2">
        <f t="shared" si="2"/>
        <v>0</v>
      </c>
      <c r="M20" s="2" t="s">
        <v>3</v>
      </c>
      <c r="N20" s="2">
        <f>G20-G20*L12</f>
        <v>0</v>
      </c>
      <c r="R20" s="2" t="s">
        <v>2</v>
      </c>
      <c r="S20" s="2">
        <f>N19</f>
        <v>0</v>
      </c>
      <c r="X20" s="5"/>
    </row>
    <row r="21" spans="2:24" ht="16.350000000000001" x14ac:dyDescent="0.65">
      <c r="B21" s="2" t="s">
        <v>4</v>
      </c>
      <c r="C21" s="3">
        <v>6.99E-6</v>
      </c>
      <c r="F21" s="2" t="s">
        <v>4</v>
      </c>
      <c r="G21" s="2">
        <v>6.99E-6</v>
      </c>
      <c r="H21" s="2">
        <f t="shared" si="1"/>
        <v>6.99E-6</v>
      </c>
      <c r="I21" s="2">
        <f t="shared" si="2"/>
        <v>0</v>
      </c>
      <c r="M21" s="2" t="s">
        <v>4</v>
      </c>
      <c r="N21" s="2">
        <f>G21</f>
        <v>6.99E-6</v>
      </c>
      <c r="R21" s="2" t="s">
        <v>3</v>
      </c>
      <c r="S21" s="2">
        <f>S27*L10/1000</f>
        <v>8.7341865333366828E-7</v>
      </c>
      <c r="W21" s="2" t="s">
        <v>20</v>
      </c>
      <c r="X21" s="8">
        <f>((C20+C21)-(X15+X16))/(C20+C21)</f>
        <v>2.9966948920961963E-2</v>
      </c>
    </row>
    <row r="22" spans="2:24" ht="16.350000000000001" x14ac:dyDescent="0.65">
      <c r="B22" s="2" t="s">
        <v>5</v>
      </c>
      <c r="C22" s="3">
        <v>5.0100000000000003E-4</v>
      </c>
      <c r="F22" s="2" t="s">
        <v>5</v>
      </c>
      <c r="G22" s="2">
        <v>0</v>
      </c>
      <c r="H22" s="2">
        <f t="shared" si="1"/>
        <v>0</v>
      </c>
      <c r="I22" s="2">
        <f t="shared" si="2"/>
        <v>0</v>
      </c>
      <c r="M22" s="2" t="s">
        <v>5</v>
      </c>
      <c r="N22" s="2">
        <f>G22</f>
        <v>0</v>
      </c>
      <c r="R22" s="2" t="s">
        <v>4</v>
      </c>
      <c r="S22" s="2">
        <f>S28*L10/1000</f>
        <v>5.6976434007512828E-6</v>
      </c>
      <c r="W22" s="2" t="s">
        <v>21</v>
      </c>
      <c r="X22" s="8">
        <f>(X19)/(C20+C21)</f>
        <v>0</v>
      </c>
    </row>
    <row r="23" spans="2:24" ht="16.350000000000001" x14ac:dyDescent="0.65">
      <c r="B23" s="2" t="s">
        <v>6</v>
      </c>
      <c r="C23" s="3">
        <v>1.98E-5</v>
      </c>
      <c r="F23" s="2" t="s">
        <v>6</v>
      </c>
      <c r="G23" s="2">
        <v>1.98E-5</v>
      </c>
      <c r="H23" s="2">
        <f t="shared" si="1"/>
        <v>1.98E-5</v>
      </c>
      <c r="I23" s="2">
        <f t="shared" si="2"/>
        <v>0</v>
      </c>
      <c r="M23" s="2" t="s">
        <v>6</v>
      </c>
      <c r="N23" s="2">
        <f>G23-G20*L12</f>
        <v>1.98E-5</v>
      </c>
      <c r="R23" s="2" t="s">
        <v>5</v>
      </c>
      <c r="S23" s="2">
        <f>N22</f>
        <v>0</v>
      </c>
    </row>
    <row r="24" spans="2:24" ht="16.7" thickBot="1" x14ac:dyDescent="0.7">
      <c r="B24" s="2" t="s">
        <v>7</v>
      </c>
      <c r="C24" s="3">
        <v>0</v>
      </c>
      <c r="F24" s="2" t="s">
        <v>7</v>
      </c>
      <c r="G24" s="2">
        <v>0</v>
      </c>
      <c r="H24" s="2">
        <f t="shared" si="1"/>
        <v>0</v>
      </c>
      <c r="I24" s="2">
        <f t="shared" si="2"/>
        <v>0</v>
      </c>
      <c r="M24" s="2" t="s">
        <v>7</v>
      </c>
      <c r="N24" s="2">
        <f>G24+G20*L12</f>
        <v>0</v>
      </c>
      <c r="R24" s="2" t="s">
        <v>6</v>
      </c>
      <c r="S24" s="2">
        <f>N23</f>
        <v>1.98E-5</v>
      </c>
    </row>
    <row r="25" spans="2:24" ht="17" thickTop="1" thickBot="1" x14ac:dyDescent="0.7">
      <c r="B25" s="2" t="s">
        <v>22</v>
      </c>
      <c r="C25" s="3">
        <v>5.8999999999999997E-2</v>
      </c>
      <c r="D25" s="5"/>
      <c r="I25" s="6">
        <f>SUM(I18:I24)*1000</f>
        <v>0</v>
      </c>
      <c r="M25" s="2" t="s">
        <v>17</v>
      </c>
      <c r="N25" s="7">
        <f>N18/(L10/1000)</f>
        <v>0</v>
      </c>
      <c r="R25" s="2" t="s">
        <v>7</v>
      </c>
      <c r="S25" s="2">
        <f>N24</f>
        <v>0</v>
      </c>
    </row>
    <row r="26" spans="2:24" ht="16.7" thickTop="1" x14ac:dyDescent="0.65">
      <c r="M26" s="2" t="s">
        <v>18</v>
      </c>
      <c r="N26" s="7">
        <f>N20/(L10/1000)</f>
        <v>0</v>
      </c>
      <c r="R26" s="2" t="s">
        <v>17</v>
      </c>
      <c r="S26" s="7">
        <f>N26+N27+N25-EXP(-(Q11*Q9)/(L10/1000))*(N26+N27)</f>
        <v>7.1006431511025231E-3</v>
      </c>
    </row>
    <row r="27" spans="2:24" ht="16.350000000000001" x14ac:dyDescent="0.65">
      <c r="M27" s="2" t="s">
        <v>19</v>
      </c>
      <c r="N27" s="7">
        <f>N21/(L10/1000)</f>
        <v>0.11847457627118645</v>
      </c>
      <c r="R27" s="2" t="s">
        <v>18</v>
      </c>
      <c r="S27" s="9">
        <f>EXP(-(Q9*(2*Q10+Q11))/(L10/1000))*(N26/2-N27/2)+(EXP(-(Q11*Q9)/(L10/1000))*(N26+N27))/2</f>
        <v>1.4803705988706242E-2</v>
      </c>
    </row>
    <row r="28" spans="2:24" ht="16.350000000000001" x14ac:dyDescent="0.65">
      <c r="R28" s="2" t="s">
        <v>19</v>
      </c>
      <c r="S28" s="9">
        <f>(EXP(-(Q11*Q9)/(L10/1000))*(N26+N27))/2-EXP(-(Q9*(2*Q10+Q11))/(L10/1000))*(N26/2-N27/2)</f>
        <v>9.6570227131377681E-2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RecycleChange">
                <anchor moveWithCells="1" sizeWithCells="1">
                  <from>
                    <xdr:col>2</xdr:col>
                    <xdr:colOff>38100</xdr:colOff>
                    <xdr:row>5</xdr:row>
                    <xdr:rowOff>67733</xdr:rowOff>
                  </from>
                  <to>
                    <xdr:col>3</xdr:col>
                    <xdr:colOff>486833</xdr:colOff>
                    <xdr:row>8</xdr:row>
                    <xdr:rowOff>21167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e2cfa6c-8421-4587-95f4-a555090838bc" xsi:nil="true"/>
    <_ip_UnifiedCompliancePolicyProperties xmlns="http://schemas.microsoft.com/sharepoint/v3" xsi:nil="true"/>
    <lcf76f155ced4ddcb4097134ff3c332f xmlns="2f30b626-bd0b-4735-848a-b4168653970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13F0F33BA5F4FAEA7CD97FA360D38" ma:contentTypeVersion="18" ma:contentTypeDescription="Create a new document." ma:contentTypeScope="" ma:versionID="aa1653da4f97f32fc8b41838ad976b63">
  <xsd:schema xmlns:xsd="http://www.w3.org/2001/XMLSchema" xmlns:xs="http://www.w3.org/2001/XMLSchema" xmlns:p="http://schemas.microsoft.com/office/2006/metadata/properties" xmlns:ns1="http://schemas.microsoft.com/sharepoint/v3" xmlns:ns2="2f30b626-bd0b-4735-848a-b4168653970c" xmlns:ns3="4e2cfa6c-8421-4587-95f4-a555090838bc" targetNamespace="http://schemas.microsoft.com/office/2006/metadata/properties" ma:root="true" ma:fieldsID="513a652fb223b31b3f6f2a15f79c6bb4" ns1:_="" ns2:_="" ns3:_="">
    <xsd:import namespace="http://schemas.microsoft.com/sharepoint/v3"/>
    <xsd:import namespace="2f30b626-bd0b-4735-848a-b4168653970c"/>
    <xsd:import namespace="4e2cfa6c-8421-4587-95f4-a555090838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0b626-bd0b-4735-848a-b416865397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22fa50b-dfd9-4bb6-9271-ff5c2232ab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cfa6c-8421-4587-95f4-a555090838bc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7a0eb4f7-e39f-4ee3-86fb-7ccf0079113e}" ma:internalName="TaxCatchAll" ma:showField="CatchAllData" ma:web="4e2cfa6c-8421-4587-95f4-a555090838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7F9225-D02B-4819-A63E-746299292F6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2f30b626-bd0b-4735-848a-b4168653970c"/>
    <ds:schemaRef ds:uri="4e2cfa6c-8421-4587-95f4-a555090838bc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020D7B-BF73-4020-AC38-99AD3FE81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30b626-bd0b-4735-848a-b4168653970c"/>
    <ds:schemaRef ds:uri="4e2cfa6c-8421-4587-95f4-a55509083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174FDB-4C6E-44D7-BFF0-9FA228C6A4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</vt:lpstr>
      <vt:lpstr>Balance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Griffin Carloni</dc:creator>
  <cp:lastModifiedBy>Griffin Carloni</cp:lastModifiedBy>
  <dcterms:created xsi:type="dcterms:W3CDTF">2023-03-29T03:54:15Z</dcterms:created>
  <dcterms:modified xsi:type="dcterms:W3CDTF">2023-04-27T19:42:29Z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0x010100D3313F0F33BA5F4FAEA7CD97FA360D38</vt:lpwstr>
  </property>
  <property fmtid="{D5CDD505-2E9C-101B-9397-08002B2CF9AE}" pid="3" name="MediaServiceImageTags">
    <vt:lpwstr/>
  </property>
</Properties>
</file>