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920" windowWidth="15360" windowHeight="8355"/>
  </bookViews>
  <sheets>
    <sheet name="Sheet1" sheetId="3" r:id="rId1"/>
    <sheet name="Calculator" sheetId="2" r:id="rId2"/>
  </sheets>
  <definedNames>
    <definedName name="AEF">Sheet1!$E$5</definedName>
    <definedName name="kWh">Sheet1!$E$3</definedName>
    <definedName name="kWh2A">Sheet1!#REF!</definedName>
    <definedName name="_xlnm.Print_Area" localSheetId="1">Calculator!$A$1:$G$26</definedName>
    <definedName name="Unreferenced">Sheet1!#REF!</definedName>
    <definedName name="W">Sheet1!#REF!</definedName>
    <definedName name="W2A">Sheet1!$E$4</definedName>
  </definedNames>
  <calcPr calcId="125725"/>
</workbook>
</file>

<file path=xl/calcChain.xml><?xml version="1.0" encoding="utf-8"?>
<calcChain xmlns="http://schemas.openxmlformats.org/spreadsheetml/2006/main">
  <c r="D21" i="3"/>
  <c r="E65"/>
  <c r="E66"/>
  <c r="E64"/>
  <c r="D58"/>
  <c r="D59"/>
  <c r="D57"/>
  <c r="C58"/>
  <c r="C57"/>
  <c r="C17"/>
  <c r="D17"/>
  <c r="C18"/>
  <c r="C19"/>
  <c r="C20"/>
  <c r="F32" s="1"/>
  <c r="C21"/>
  <c r="C23"/>
  <c r="C24"/>
  <c r="D24" s="1"/>
  <c r="C25"/>
  <c r="C22"/>
  <c r="F30"/>
  <c r="F34"/>
  <c r="F31"/>
  <c r="F33"/>
  <c r="F35"/>
  <c r="F37"/>
  <c r="F29"/>
  <c r="D19"/>
  <c r="D23"/>
  <c r="D25"/>
  <c r="D31"/>
  <c r="E18"/>
  <c r="E19"/>
  <c r="E20"/>
  <c r="E21"/>
  <c r="E22"/>
  <c r="E23"/>
  <c r="E24"/>
  <c r="E25"/>
  <c r="E17"/>
  <c r="F36" l="1"/>
  <c r="D18"/>
  <c r="D20"/>
  <c r="D22"/>
  <c r="F47"/>
  <c r="F51" s="1"/>
  <c r="E47"/>
  <c r="E51" s="1"/>
  <c r="D47"/>
  <c r="D51" s="1"/>
  <c r="C64"/>
  <c r="D64" s="1"/>
  <c r="D15" i="2"/>
  <c r="D27" s="1"/>
  <c r="E58" i="3"/>
  <c r="F58" s="1"/>
  <c r="E59"/>
  <c r="F59" s="1"/>
  <c r="E57"/>
  <c r="F57" s="1"/>
  <c r="E13" i="2"/>
  <c r="C66" i="3"/>
  <c r="D66" s="1"/>
  <c r="C65"/>
  <c r="D65" s="1"/>
  <c r="F17"/>
  <c r="F22"/>
  <c r="F23"/>
  <c r="F24"/>
  <c r="D29"/>
  <c r="D34"/>
  <c r="E34" s="1"/>
  <c r="D36"/>
  <c r="E36" s="1"/>
  <c r="G87" s="1"/>
  <c r="D30"/>
  <c r="E30" s="1"/>
  <c r="F18"/>
  <c r="G18" s="1"/>
  <c r="F19"/>
  <c r="G19" s="1"/>
  <c r="F21"/>
  <c r="F25"/>
  <c r="G25" s="1"/>
  <c r="F20"/>
  <c r="E31"/>
  <c r="G82" s="1"/>
  <c r="D32"/>
  <c r="E32" s="1"/>
  <c r="G83" s="1"/>
  <c r="D33"/>
  <c r="E33" s="1"/>
  <c r="G84" s="1"/>
  <c r="D35"/>
  <c r="E35" s="1"/>
  <c r="D37"/>
  <c r="E37" s="1"/>
  <c r="D31" i="2"/>
  <c r="H31" s="1"/>
  <c r="G20" i="3" l="1"/>
  <c r="G58"/>
  <c r="G21"/>
  <c r="G36"/>
  <c r="H36" s="1"/>
  <c r="G23"/>
  <c r="G57"/>
  <c r="G59"/>
  <c r="G17"/>
  <c r="G24"/>
  <c r="G22"/>
  <c r="G85"/>
  <c r="G81"/>
  <c r="G35"/>
  <c r="H35" s="1"/>
  <c r="G33"/>
  <c r="H33" s="1"/>
  <c r="G31"/>
  <c r="H31" s="1"/>
  <c r="G88"/>
  <c r="G86"/>
  <c r="G30"/>
  <c r="H30" s="1"/>
  <c r="G32"/>
  <c r="H32" s="1"/>
  <c r="F66"/>
  <c r="G66" s="1"/>
  <c r="D49"/>
  <c r="F49"/>
  <c r="E49"/>
  <c r="F65"/>
  <c r="G65" s="1"/>
  <c r="F64"/>
  <c r="G64" s="1"/>
  <c r="G29"/>
  <c r="H29" s="1"/>
  <c r="E29"/>
  <c r="G34"/>
  <c r="H34" s="1"/>
  <c r="G37"/>
  <c r="H37" s="1"/>
  <c r="G27" i="2"/>
  <c r="F27"/>
  <c r="D28"/>
  <c r="E27"/>
  <c r="D29"/>
  <c r="D30"/>
  <c r="G80" i="3" l="1"/>
  <c r="D32" i="2"/>
  <c r="H27"/>
  <c r="G28"/>
  <c r="G30"/>
  <c r="G29"/>
  <c r="F28"/>
  <c r="F29"/>
  <c r="F30"/>
  <c r="E28"/>
  <c r="E29"/>
  <c r="E30"/>
  <c r="H30" l="1"/>
  <c r="G32"/>
  <c r="H29"/>
  <c r="F32"/>
  <c r="E32"/>
  <c r="H28"/>
  <c r="H32" l="1"/>
  <c r="D19" s="1"/>
  <c r="D20" s="1"/>
</calcChain>
</file>

<file path=xl/sharedStrings.xml><?xml version="1.0" encoding="utf-8"?>
<sst xmlns="http://schemas.openxmlformats.org/spreadsheetml/2006/main" count="92" uniqueCount="72">
  <si>
    <t>Key</t>
  </si>
  <si>
    <t>Entry Cells</t>
  </si>
  <si>
    <t>Total</t>
  </si>
  <si>
    <t xml:space="preserve">Incremental Capacity </t>
  </si>
  <si>
    <t>&gt; 25 to 100 kW</t>
  </si>
  <si>
    <t>PLUS: Additions to Base</t>
  </si>
  <si>
    <t>MA-Manufactured Components</t>
  </si>
  <si>
    <t>MA-manufactured components</t>
  </si>
  <si>
    <t>YES</t>
  </si>
  <si>
    <t>NO</t>
  </si>
  <si>
    <t>Public Building Adder</t>
  </si>
  <si>
    <t>Calculation Cells (not for Entry)</t>
  </si>
  <si>
    <t>Incremental Capacity</t>
  </si>
  <si>
    <t>Base Incentive</t>
  </si>
  <si>
    <t>MA-Manufactured Adder</t>
  </si>
  <si>
    <r>
      <t xml:space="preserve">1 to 25 kW
</t>
    </r>
    <r>
      <rPr>
        <sz val="8"/>
        <rFont val="Arial"/>
        <family val="2"/>
      </rPr>
      <t>(1,000 to 25,000 watts)</t>
    </r>
  </si>
  <si>
    <t>Base Incentive ($/watt dc)</t>
  </si>
  <si>
    <t>Total PV Project Size (watts dc)</t>
  </si>
  <si>
    <t>Rebate ($)</t>
  </si>
  <si>
    <t>Rebate ($/watt dc) based on total project size</t>
  </si>
  <si>
    <t>Total PV Project Cost</t>
  </si>
  <si>
    <t>&gt; 100 kW to     200 kW</t>
  </si>
  <si>
    <t>Commercial: Commonwealth Solar Rebate Matrix ($/watt dc)</t>
  </si>
  <si>
    <r>
      <t xml:space="preserve">Public Building </t>
    </r>
    <r>
      <rPr>
        <i/>
        <u/>
        <sz val="11"/>
        <rFont val="Arial"/>
        <family val="2"/>
      </rPr>
      <t>OR</t>
    </r>
    <r>
      <rPr>
        <sz val="11"/>
        <rFont val="Arial"/>
        <family val="2"/>
      </rPr>
      <t xml:space="preserve"> Affordable Housing Adder</t>
    </r>
  </si>
  <si>
    <t>Green Schools Adder</t>
  </si>
  <si>
    <r>
      <t xml:space="preserve">Public Building Adder </t>
    </r>
    <r>
      <rPr>
        <i/>
        <u/>
        <sz val="11"/>
        <rFont val="Arial"/>
        <family val="2"/>
      </rPr>
      <t>OR</t>
    </r>
    <r>
      <rPr>
        <sz val="11"/>
        <rFont val="Arial"/>
        <family val="2"/>
      </rPr>
      <t xml:space="preserve"> Affordable Housing Adder</t>
    </r>
  </si>
  <si>
    <t>Total PV Project Size for Rebate Calculation (200 kW cap)</t>
  </si>
  <si>
    <t>Commercial: Commonwealth Solar Rebate Calculator</t>
  </si>
  <si>
    <t>Commonwealth Solar Commercial Solar Photovoltaic Calculator (10/08/09)</t>
  </si>
  <si>
    <t>Array Cost</t>
  </si>
  <si>
    <t>Funding per Watt</t>
  </si>
  <si>
    <t>CWSRP 1 Calc.</t>
  </si>
  <si>
    <t>CWSRP 2 Adj.</t>
  </si>
  <si>
    <t>Unsubsidized Costs</t>
  </si>
  <si>
    <t>Percent Subsidized</t>
  </si>
  <si>
    <t>Potential kWh Produced Anually</t>
  </si>
  <si>
    <t>Annual Cost of Energy Saved</t>
  </si>
  <si>
    <t xml:space="preserve"> </t>
  </si>
  <si>
    <t>System Size (kW)</t>
  </si>
  <si>
    <t>Garland estimates:</t>
  </si>
  <si>
    <t xml:space="preserve"> 250kW per Acre</t>
  </si>
  <si>
    <t>Estimates</t>
  </si>
  <si>
    <t>1500 Panels per Acre</t>
  </si>
  <si>
    <t>OPTION 1 (sq.ft.)</t>
  </si>
  <si>
    <t>OPTION 2 (sq.ft.)</t>
  </si>
  <si>
    <t>250 kW / 43,560 sq.ft.</t>
  </si>
  <si>
    <t>Panels per Option</t>
  </si>
  <si>
    <t>1500 panels / 43,560 sq.ft.</t>
  </si>
  <si>
    <t>kW per Option</t>
  </si>
  <si>
    <t>Sq.ft. per Option</t>
  </si>
  <si>
    <t>Payback Years (w/ Rebate)</t>
  </si>
  <si>
    <t>Baseline Costs, Grants, and Payback Periods for Arrays of Varying Sizes</t>
  </si>
  <si>
    <t>Payback Period (Years)</t>
  </si>
  <si>
    <t>Costs/Payback</t>
  </si>
  <si>
    <t>WAM PV Option Breakdown</t>
  </si>
  <si>
    <t>Payback w/ Grant</t>
  </si>
  <si>
    <t>OPTION 3 (sq.ft.) (includes Parking Lot)</t>
  </si>
  <si>
    <t>Option</t>
  </si>
  <si>
    <t>e.g. Worcester State Efficiency Factor: produces 131770 kWh/year per 105kW array: 131,770/105,000 = 1.25495</t>
  </si>
  <si>
    <t>CWSRP 1 Grant Calculator (see "Calculator" sheet tab)</t>
  </si>
  <si>
    <t>CWSRP 2 Grant Adjustment (15% less than calculator amount, used for all further calculations)</t>
  </si>
  <si>
    <t>NOTES</t>
  </si>
  <si>
    <t>………………………</t>
  </si>
  <si>
    <t>Cost per Watt</t>
  </si>
  <si>
    <t>Cost per Watt (est.)</t>
  </si>
  <si>
    <t>WAM PV Option Calculator</t>
  </si>
  <si>
    <t>1.   All estimates are based on constant energy prices and constant panel efficiency.</t>
  </si>
  <si>
    <t>Estimated Price per W of Array w/ Parking Lot Frame Structure………………</t>
  </si>
  <si>
    <t>……………………………</t>
  </si>
  <si>
    <t>WAM Paid Price per kWh………</t>
  </si>
  <si>
    <t>Array Efficiency Factor (AEF)…….</t>
  </si>
  <si>
    <t>2.   Cost per Watt is a "best fit" approximation assuming minimum cost of $7.50 for a 200kW array, and a cost of $7.85 for a 100kW array, mirroring Worcester State costs.</t>
  </si>
</sst>
</file>

<file path=xl/styles.xml><?xml version="1.0" encoding="utf-8"?>
<styleSheet xmlns="http://schemas.openxmlformats.org/spreadsheetml/2006/main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_([$$-409]* #,##0.00_);_([$$-409]* \(#,##0.00\);_([$$-409]* &quot;-&quot;??_);_(@_)"/>
    <numFmt numFmtId="167" formatCode="0.00000000"/>
    <numFmt numFmtId="168" formatCode="_(* #,##0.0000_);_(* \(#,##0.0000\);_(* &quot;-&quot;??_);_(@_)"/>
  </numFmts>
  <fonts count="18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name val="Arial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i/>
      <u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6" fillId="0" borderId="0" xfId="0" applyFont="1" applyAlignment="1"/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2" borderId="3" xfId="0" applyFont="1" applyFill="1" applyBorder="1" applyAlignment="1"/>
    <xf numFmtId="0" fontId="6" fillId="0" borderId="0" xfId="0" applyFont="1" applyBorder="1" applyAlignment="1"/>
    <xf numFmtId="0" fontId="6" fillId="2" borderId="0" xfId="0" applyFont="1" applyFill="1" applyBorder="1" applyAlignment="1">
      <alignment wrapText="1"/>
    </xf>
    <xf numFmtId="0" fontId="8" fillId="2" borderId="0" xfId="0" applyFont="1" applyFill="1" applyBorder="1" applyAlignment="1"/>
    <xf numFmtId="0" fontId="6" fillId="2" borderId="0" xfId="0" applyFont="1" applyFill="1" applyBorder="1" applyAlignment="1"/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7" fillId="0" borderId="0" xfId="0" applyFont="1" applyAlignment="1"/>
    <xf numFmtId="0" fontId="6" fillId="0" borderId="0" xfId="0" applyFont="1" applyBorder="1" applyAlignment="1">
      <alignment horizontal="left" indent="1"/>
    </xf>
    <xf numFmtId="0" fontId="5" fillId="0" borderId="0" xfId="0" applyFont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0" borderId="1" xfId="0" applyFont="1" applyBorder="1" applyAlignment="1">
      <alignment vertical="top"/>
    </xf>
    <xf numFmtId="164" fontId="6" fillId="0" borderId="1" xfId="1" applyNumberFormat="1" applyFont="1" applyBorder="1" applyAlignment="1">
      <alignment vertical="top"/>
    </xf>
    <xf numFmtId="8" fontId="7" fillId="0" borderId="1" xfId="0" applyNumberFormat="1" applyFont="1" applyBorder="1" applyAlignment="1">
      <alignment vertical="top"/>
    </xf>
    <xf numFmtId="0" fontId="4" fillId="3" borderId="0" xfId="0" applyFont="1" applyFill="1" applyAlignment="1"/>
    <xf numFmtId="164" fontId="7" fillId="4" borderId="2" xfId="1" applyNumberFormat="1" applyFont="1" applyFill="1" applyBorder="1" applyAlignment="1"/>
    <xf numFmtId="44" fontId="6" fillId="4" borderId="2" xfId="2" applyFont="1" applyFill="1" applyBorder="1" applyAlignment="1">
      <alignment horizontal="right"/>
    </xf>
    <xf numFmtId="164" fontId="7" fillId="5" borderId="2" xfId="1" applyNumberFormat="1" applyFont="1" applyFill="1" applyBorder="1"/>
    <xf numFmtId="0" fontId="6" fillId="2" borderId="3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4" fontId="7" fillId="5" borderId="2" xfId="2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left" indent="1"/>
    </xf>
    <xf numFmtId="0" fontId="7" fillId="0" borderId="5" xfId="0" applyFont="1" applyBorder="1" applyAlignment="1">
      <alignment horizontal="left" indent="1"/>
    </xf>
    <xf numFmtId="165" fontId="7" fillId="5" borderId="11" xfId="2" applyNumberFormat="1" applyFont="1" applyFill="1" applyBorder="1" applyAlignment="1"/>
    <xf numFmtId="0" fontId="6" fillId="4" borderId="12" xfId="0" applyFont="1" applyFill="1" applyBorder="1" applyAlignment="1">
      <alignment horizontal="left" indent="6"/>
    </xf>
    <xf numFmtId="0" fontId="6" fillId="5" borderId="13" xfId="0" applyFont="1" applyFill="1" applyBorder="1" applyAlignment="1">
      <alignment horizontal="left" indent="6"/>
    </xf>
    <xf numFmtId="0" fontId="7" fillId="6" borderId="14" xfId="0" applyFont="1" applyFill="1" applyBorder="1" applyAlignment="1">
      <alignment horizontal="left" indent="3"/>
    </xf>
    <xf numFmtId="0" fontId="6" fillId="6" borderId="15" xfId="0" applyFont="1" applyFill="1" applyBorder="1" applyAlignment="1">
      <alignment horizontal="left" indent="4"/>
    </xf>
    <xf numFmtId="0" fontId="6" fillId="6" borderId="16" xfId="0" applyFont="1" applyFill="1" applyBorder="1" applyAlignment="1">
      <alignment horizontal="left" indent="4"/>
    </xf>
    <xf numFmtId="0" fontId="6" fillId="6" borderId="17" xfId="0" applyFont="1" applyFill="1" applyBorder="1"/>
    <xf numFmtId="7" fontId="9" fillId="4" borderId="18" xfId="0" applyNumberFormat="1" applyFont="1" applyFill="1" applyBorder="1" applyAlignment="1">
      <alignment horizontal="center"/>
    </xf>
    <xf numFmtId="8" fontId="6" fillId="2" borderId="19" xfId="0" applyNumberFormat="1" applyFont="1" applyFill="1" applyBorder="1" applyAlignment="1">
      <alignment horizontal="center" vertical="top"/>
    </xf>
    <xf numFmtId="8" fontId="6" fillId="2" borderId="20" xfId="0" applyNumberFormat="1" applyFont="1" applyFill="1" applyBorder="1" applyAlignment="1">
      <alignment horizontal="center" vertical="top"/>
    </xf>
    <xf numFmtId="0" fontId="6" fillId="0" borderId="5" xfId="0" applyFont="1" applyBorder="1" applyAlignment="1"/>
    <xf numFmtId="8" fontId="6" fillId="0" borderId="21" xfId="0" applyNumberFormat="1" applyFont="1" applyBorder="1" applyAlignment="1">
      <alignment horizontal="center"/>
    </xf>
    <xf numFmtId="8" fontId="6" fillId="0" borderId="22" xfId="0" applyNumberFormat="1" applyFont="1" applyBorder="1" applyAlignment="1">
      <alignment horizontal="center"/>
    </xf>
    <xf numFmtId="8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/>
    <xf numFmtId="0" fontId="6" fillId="0" borderId="1" xfId="0" applyFont="1" applyBorder="1" applyAlignment="1"/>
    <xf numFmtId="0" fontId="4" fillId="3" borderId="25" xfId="0" applyFont="1" applyFill="1" applyBorder="1" applyAlignment="1"/>
    <xf numFmtId="0" fontId="5" fillId="3" borderId="26" xfId="0" applyFont="1" applyFill="1" applyBorder="1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center" vertical="top" wrapText="1"/>
    </xf>
    <xf numFmtId="8" fontId="6" fillId="0" borderId="0" xfId="0" applyNumberFormat="1" applyFont="1" applyFill="1" applyBorder="1" applyAlignment="1">
      <alignment horizontal="center" vertical="top"/>
    </xf>
    <xf numFmtId="8" fontId="6" fillId="0" borderId="0" xfId="0" applyNumberFormat="1" applyFont="1" applyFill="1" applyBorder="1" applyAlignment="1">
      <alignment horizontal="center"/>
    </xf>
    <xf numFmtId="0" fontId="13" fillId="0" borderId="0" xfId="0" applyFont="1" applyAlignment="1"/>
    <xf numFmtId="0" fontId="12" fillId="0" borderId="0" xfId="0" applyFont="1" applyAlignment="1"/>
    <xf numFmtId="0" fontId="13" fillId="0" borderId="0" xfId="0" applyFont="1" applyAlignment="1">
      <alignment wrapText="1"/>
    </xf>
    <xf numFmtId="0" fontId="7" fillId="3" borderId="0" xfId="0" applyFont="1" applyFill="1" applyAlignment="1"/>
    <xf numFmtId="0" fontId="6" fillId="3" borderId="26" xfId="0" applyFont="1" applyFill="1" applyBorder="1" applyAlignment="1"/>
    <xf numFmtId="0" fontId="6" fillId="3" borderId="27" xfId="0" applyFont="1" applyFill="1" applyBorder="1" applyAlignment="1"/>
    <xf numFmtId="0" fontId="14" fillId="0" borderId="0" xfId="3" applyFont="1" applyAlignment="1" applyProtection="1">
      <alignment horizontal="left" indent="2"/>
    </xf>
    <xf numFmtId="0" fontId="4" fillId="0" borderId="0" xfId="0" applyFont="1" applyAlignment="1"/>
    <xf numFmtId="8" fontId="5" fillId="0" borderId="0" xfId="0" applyNumberFormat="1" applyFont="1" applyAlignment="1"/>
    <xf numFmtId="0" fontId="15" fillId="0" borderId="0" xfId="0" applyFont="1"/>
    <xf numFmtId="0" fontId="15" fillId="0" borderId="0" xfId="0" applyFont="1" applyBorder="1"/>
    <xf numFmtId="166" fontId="15" fillId="0" borderId="0" xfId="0" applyNumberFormat="1" applyFont="1" applyBorder="1"/>
    <xf numFmtId="44" fontId="15" fillId="0" borderId="0" xfId="2" applyFont="1" applyBorder="1"/>
    <xf numFmtId="0" fontId="15" fillId="0" borderId="0" xfId="0" applyFont="1" applyAlignment="1"/>
    <xf numFmtId="168" fontId="15" fillId="0" borderId="0" xfId="1" applyNumberFormat="1" applyFont="1" applyBorder="1"/>
    <xf numFmtId="0" fontId="15" fillId="0" borderId="0" xfId="0" applyFont="1" applyBorder="1" applyAlignment="1"/>
    <xf numFmtId="0" fontId="15" fillId="0" borderId="0" xfId="0" applyFont="1" applyFill="1" applyBorder="1"/>
    <xf numFmtId="0" fontId="15" fillId="0" borderId="35" xfId="0" applyFont="1" applyBorder="1"/>
    <xf numFmtId="0" fontId="15" fillId="0" borderId="3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35" xfId="0" applyFont="1" applyBorder="1" applyAlignment="1">
      <alignment horizontal="right"/>
    </xf>
    <xf numFmtId="44" fontId="15" fillId="0" borderId="0" xfId="0" applyNumberFormat="1" applyFont="1"/>
    <xf numFmtId="44" fontId="15" fillId="0" borderId="0" xfId="2" applyFont="1"/>
    <xf numFmtId="3" fontId="15" fillId="0" borderId="35" xfId="0" applyNumberFormat="1" applyFont="1" applyBorder="1"/>
    <xf numFmtId="9" fontId="15" fillId="0" borderId="0" xfId="4" applyFont="1"/>
    <xf numFmtId="167" fontId="15" fillId="0" borderId="0" xfId="0" applyNumberFormat="1" applyFont="1"/>
    <xf numFmtId="0" fontId="16" fillId="0" borderId="38" xfId="0" applyFont="1" applyBorder="1"/>
    <xf numFmtId="0" fontId="16" fillId="0" borderId="0" xfId="0" applyFont="1"/>
    <xf numFmtId="0" fontId="15" fillId="0" borderId="19" xfId="0" applyFont="1" applyBorder="1"/>
    <xf numFmtId="3" fontId="15" fillId="0" borderId="0" xfId="0" applyNumberFormat="1" applyFont="1"/>
    <xf numFmtId="0" fontId="15" fillId="0" borderId="39" xfId="0" applyFont="1" applyBorder="1"/>
    <xf numFmtId="3" fontId="15" fillId="0" borderId="0" xfId="0" applyNumberFormat="1" applyFont="1" applyBorder="1"/>
    <xf numFmtId="0" fontId="15" fillId="0" borderId="34" xfId="0" applyFont="1" applyBorder="1"/>
    <xf numFmtId="3" fontId="15" fillId="0" borderId="34" xfId="0" applyNumberFormat="1" applyFont="1" applyBorder="1"/>
    <xf numFmtId="0" fontId="15" fillId="0" borderId="35" xfId="0" applyFont="1" applyBorder="1" applyAlignment="1">
      <alignment horizontal="center"/>
    </xf>
    <xf numFmtId="44" fontId="15" fillId="0" borderId="35" xfId="0" applyNumberFormat="1" applyFont="1" applyBorder="1"/>
    <xf numFmtId="44" fontId="15" fillId="0" borderId="35" xfId="2" applyFont="1" applyBorder="1"/>
    <xf numFmtId="44" fontId="15" fillId="0" borderId="0" xfId="2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7" fillId="2" borderId="3" xfId="0" applyFont="1" applyFill="1" applyBorder="1" applyAlignment="1">
      <alignment horizontal="left" wrapText="1" indent="1"/>
    </xf>
    <xf numFmtId="0" fontId="7" fillId="0" borderId="0" xfId="0" applyFont="1" applyBorder="1" applyAlignment="1">
      <alignment horizontal="left" indent="1"/>
    </xf>
    <xf numFmtId="0" fontId="7" fillId="0" borderId="28" xfId="0" applyFont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4" fillId="3" borderId="31" xfId="0" applyFont="1" applyFill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7" fillId="2" borderId="3" xfId="0" applyFont="1" applyFill="1" applyBorder="1" applyAlignment="1">
      <alignment horizontal="left" wrapText="1"/>
    </xf>
    <xf numFmtId="0" fontId="6" fillId="0" borderId="0" xfId="0" applyFont="1" applyBorder="1" applyAlignment="1"/>
    <xf numFmtId="0" fontId="7" fillId="2" borderId="10" xfId="0" applyFont="1" applyFill="1" applyBorder="1" applyAlignment="1"/>
    <xf numFmtId="0" fontId="0" fillId="0" borderId="8" xfId="0" applyBorder="1"/>
    <xf numFmtId="0" fontId="7" fillId="0" borderId="0" xfId="0" applyFont="1"/>
    <xf numFmtId="0" fontId="7" fillId="0" borderId="0" xfId="0" applyFont="1" applyFill="1" applyBorder="1"/>
    <xf numFmtId="0" fontId="7" fillId="0" borderId="35" xfId="0" applyFont="1" applyBorder="1"/>
    <xf numFmtId="0" fontId="17" fillId="0" borderId="36" xfId="0" applyFont="1" applyBorder="1"/>
    <xf numFmtId="0" fontId="7" fillId="0" borderId="36" xfId="0" applyFont="1" applyBorder="1"/>
    <xf numFmtId="0" fontId="15" fillId="0" borderId="40" xfId="0" applyFont="1" applyBorder="1"/>
    <xf numFmtId="44" fontId="15" fillId="0" borderId="40" xfId="0" applyNumberFormat="1" applyFont="1" applyBorder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1"/>
          <c:order val="0"/>
          <c:spPr>
            <a:ln w="38100">
              <a:bevel/>
            </a:ln>
          </c:spPr>
          <c:marker>
            <c:symbol val="none"/>
          </c:marker>
          <c:cat>
            <c:numRef>
              <c:f>Sheet1!$F$80:$F$88</c:f>
              <c:numCache>
                <c:formatCode>#,##0</c:formatCode>
                <c:ptCount val="9"/>
                <c:pt idx="0" formatCode="General">
                  <c:v>10</c:v>
                </c:pt>
                <c:pt idx="1">
                  <c:v>25</c:v>
                </c:pt>
                <c:pt idx="2" formatCode="General">
                  <c:v>50</c:v>
                </c:pt>
                <c:pt idx="3" formatCode="General">
                  <c:v>75</c:v>
                </c:pt>
                <c:pt idx="4">
                  <c:v>100</c:v>
                </c:pt>
                <c:pt idx="5">
                  <c:v>125</c:v>
                </c:pt>
                <c:pt idx="6" formatCode="General">
                  <c:v>150</c:v>
                </c:pt>
                <c:pt idx="7" formatCode="General">
                  <c:v>175</c:v>
                </c:pt>
                <c:pt idx="8" formatCode="General">
                  <c:v>200</c:v>
                </c:pt>
              </c:numCache>
            </c:numRef>
          </c:cat>
          <c:val>
            <c:numRef>
              <c:f>Sheet1!$G$80:$G$88</c:f>
              <c:numCache>
                <c:formatCode>_("$"* #,##0.00_);_("$"* \(#,##0.00\);_("$"* "-"??_);_(@_)</c:formatCode>
                <c:ptCount val="9"/>
                <c:pt idx="0">
                  <c:v>2.4649999999999999</c:v>
                </c:pt>
                <c:pt idx="1">
                  <c:v>2.4649999999999999</c:v>
                </c:pt>
                <c:pt idx="2">
                  <c:v>2.3374999999999999</c:v>
                </c:pt>
                <c:pt idx="3">
                  <c:v>2.2949999999999999</c:v>
                </c:pt>
                <c:pt idx="4">
                  <c:v>2.2737500000000002</c:v>
                </c:pt>
                <c:pt idx="5">
                  <c:v>2.1419999999999999</c:v>
                </c:pt>
                <c:pt idx="6">
                  <c:v>2.0541666666666667</c:v>
                </c:pt>
                <c:pt idx="7">
                  <c:v>1.9914285714285713</c:v>
                </c:pt>
                <c:pt idx="8">
                  <c:v>1.944375</c:v>
                </c:pt>
              </c:numCache>
            </c:numRef>
          </c:val>
        </c:ser>
        <c:marker val="1"/>
        <c:axId val="66028288"/>
        <c:axId val="66030592"/>
      </c:lineChart>
      <c:catAx>
        <c:axId val="66028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PV Array</a:t>
                </a:r>
                <a:r>
                  <a:rPr lang="en-US" baseline="0"/>
                  <a:t> Size (kW)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66030592"/>
        <c:crosses val="autoZero"/>
        <c:auto val="1"/>
        <c:lblAlgn val="ctr"/>
        <c:lblOffset val="100"/>
      </c:catAx>
      <c:valAx>
        <c:axId val="66030592"/>
        <c:scaling>
          <c:orientation val="minMax"/>
          <c:min val="1.5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Rebate per Watt</a:t>
                </a:r>
              </a:p>
            </c:rich>
          </c:tx>
          <c:layout/>
        </c:title>
        <c:numFmt formatCode="_(&quot;$&quot;* #,##0.00_);_(&quot;$&quot;* \(#,##0.00\);_(&quot;$&quot;* &quot;-&quot;??_);_(@_)" sourceLinked="1"/>
        <c:tickLblPos val="nextTo"/>
        <c:crossAx val="66028288"/>
        <c:crosses val="autoZero"/>
        <c:crossBetween val="between"/>
        <c:majorUnit val="0.5"/>
        <c:minorUnit val="0.25"/>
      </c:valAx>
    </c:plotArea>
    <c:plotVisOnly val="1"/>
  </c:chart>
  <c:spPr>
    <a:ln w="76200"/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71</xdr:row>
      <xdr:rowOff>66675</xdr:rowOff>
    </xdr:from>
    <xdr:to>
      <xdr:col>4</xdr:col>
      <xdr:colOff>838200</xdr:colOff>
      <xdr:row>91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3"/>
  <sheetViews>
    <sheetView tabSelected="1" topLeftCell="A44" zoomScaleNormal="100" workbookViewId="0">
      <selection activeCell="C21" sqref="C21"/>
    </sheetView>
  </sheetViews>
  <sheetFormatPr defaultRowHeight="12"/>
  <cols>
    <col min="1" max="1" width="3.5703125" style="63" customWidth="1"/>
    <col min="2" max="2" width="24.140625" style="63" customWidth="1"/>
    <col min="3" max="3" width="19" style="63" bestFit="1" customWidth="1"/>
    <col min="4" max="4" width="14.85546875" style="63" customWidth="1"/>
    <col min="5" max="6" width="14.5703125" style="63" customWidth="1"/>
    <col min="7" max="7" width="17.42578125" style="63" bestFit="1" customWidth="1"/>
    <col min="8" max="8" width="17.85546875" style="63" bestFit="1" customWidth="1"/>
    <col min="9" max="9" width="14.28515625" style="63" customWidth="1"/>
    <col min="10" max="10" width="15.42578125" style="63" customWidth="1"/>
    <col min="11" max="11" width="14.5703125" style="63" customWidth="1"/>
    <col min="12" max="12" width="13.85546875" style="63" bestFit="1" customWidth="1"/>
    <col min="13" max="16384" width="9.140625" style="63"/>
  </cols>
  <sheetData>
    <row r="2" spans="2:8" ht="15">
      <c r="B2" s="106" t="s">
        <v>41</v>
      </c>
    </row>
    <row r="3" spans="2:8">
      <c r="B3" s="64" t="s">
        <v>69</v>
      </c>
      <c r="C3" s="63" t="s">
        <v>68</v>
      </c>
      <c r="D3" s="63" t="s">
        <v>62</v>
      </c>
      <c r="E3" s="65">
        <v>0.15</v>
      </c>
    </row>
    <row r="4" spans="2:8">
      <c r="B4" s="64" t="s">
        <v>67</v>
      </c>
      <c r="E4" s="66">
        <v>8.5</v>
      </c>
      <c r="F4" s="67"/>
    </row>
    <row r="5" spans="2:8">
      <c r="B5" s="64" t="s">
        <v>70</v>
      </c>
      <c r="C5" s="63" t="s">
        <v>68</v>
      </c>
      <c r="D5" s="63" t="s">
        <v>62</v>
      </c>
      <c r="E5" s="68">
        <v>1.25</v>
      </c>
      <c r="F5" s="67"/>
    </row>
    <row r="6" spans="2:8">
      <c r="B6" s="69" t="s">
        <v>58</v>
      </c>
      <c r="C6" s="68"/>
      <c r="D6" s="69"/>
      <c r="E6" s="67"/>
      <c r="F6" s="67"/>
    </row>
    <row r="7" spans="2:8">
      <c r="B7" s="69"/>
      <c r="C7" s="68"/>
      <c r="D7" s="69"/>
      <c r="E7" s="67"/>
      <c r="F7" s="67"/>
    </row>
    <row r="8" spans="2:8">
      <c r="B8" s="69"/>
      <c r="C8" s="68"/>
      <c r="D8" s="69"/>
      <c r="E8" s="67"/>
      <c r="F8" s="67"/>
    </row>
    <row r="9" spans="2:8" ht="15">
      <c r="B9" s="107" t="s">
        <v>61</v>
      </c>
      <c r="C9" s="68"/>
      <c r="D9" s="69"/>
      <c r="E9" s="67"/>
      <c r="F9" s="67"/>
    </row>
    <row r="10" spans="2:8">
      <c r="B10" s="70" t="s">
        <v>66</v>
      </c>
      <c r="C10" s="68"/>
      <c r="D10" s="69"/>
      <c r="E10" s="67"/>
      <c r="F10" s="67"/>
    </row>
    <row r="11" spans="2:8">
      <c r="B11" s="70" t="s">
        <v>71</v>
      </c>
      <c r="C11" s="68"/>
      <c r="D11" s="69"/>
      <c r="E11" s="67"/>
      <c r="F11" s="67"/>
    </row>
    <row r="12" spans="2:8">
      <c r="B12" s="70"/>
      <c r="C12" s="68"/>
      <c r="D12" s="69"/>
      <c r="E12" s="67"/>
      <c r="F12" s="67"/>
    </row>
    <row r="14" spans="2:8" ht="15">
      <c r="B14" s="108" t="s">
        <v>51</v>
      </c>
    </row>
    <row r="15" spans="2:8" ht="12.75">
      <c r="B15" s="109" t="s">
        <v>53</v>
      </c>
      <c r="C15" s="111"/>
      <c r="D15" s="111"/>
      <c r="E15" s="111"/>
      <c r="F15" s="111"/>
      <c r="G15" s="111"/>
      <c r="H15" s="111"/>
    </row>
    <row r="16" spans="2:8">
      <c r="B16" s="72" t="s">
        <v>38</v>
      </c>
      <c r="C16" s="73" t="s">
        <v>63</v>
      </c>
      <c r="D16" s="73" t="s">
        <v>29</v>
      </c>
      <c r="E16" s="63" t="s">
        <v>35</v>
      </c>
      <c r="F16" s="63" t="s">
        <v>36</v>
      </c>
      <c r="G16" s="63" t="s">
        <v>52</v>
      </c>
    </row>
    <row r="17" spans="2:12">
      <c r="B17" s="74">
        <v>10</v>
      </c>
      <c r="C17" s="76">
        <f t="shared" ref="C17:C21" si="0">8.2-(B17/25*(0.7/8))</f>
        <v>8.1649999999999991</v>
      </c>
      <c r="D17" s="75">
        <f>C17*1000*B17</f>
        <v>81649.999999999985</v>
      </c>
      <c r="E17" s="63">
        <f>B17*AEF*1000</f>
        <v>12500</v>
      </c>
      <c r="F17" s="76">
        <f t="shared" ref="F17:F25" si="1">E17*kWh</f>
        <v>1875</v>
      </c>
      <c r="G17" s="63">
        <f>D17/F17</f>
        <v>43.54666666666666</v>
      </c>
    </row>
    <row r="18" spans="2:12">
      <c r="B18" s="77">
        <v>25</v>
      </c>
      <c r="C18" s="76">
        <f t="shared" si="0"/>
        <v>8.1124999999999989</v>
      </c>
      <c r="D18" s="75">
        <f t="shared" ref="D18:D25" si="2">C18*1000*B18</f>
        <v>202812.49999999997</v>
      </c>
      <c r="E18" s="63">
        <f>B18*AEF*1000</f>
        <v>31250</v>
      </c>
      <c r="F18" s="76">
        <f t="shared" si="1"/>
        <v>4687.5</v>
      </c>
      <c r="G18" s="63">
        <f>D18/F18</f>
        <v>43.266666666666659</v>
      </c>
    </row>
    <row r="19" spans="2:12">
      <c r="B19" s="71">
        <v>50</v>
      </c>
      <c r="C19" s="76">
        <f t="shared" si="0"/>
        <v>8.0249999999999986</v>
      </c>
      <c r="D19" s="75">
        <f t="shared" si="2"/>
        <v>401249.99999999988</v>
      </c>
      <c r="E19" s="63">
        <f>B19*AEF*1000</f>
        <v>62500</v>
      </c>
      <c r="F19" s="76">
        <f t="shared" si="1"/>
        <v>9375</v>
      </c>
      <c r="G19" s="63">
        <f>D19/F19</f>
        <v>42.79999999999999</v>
      </c>
    </row>
    <row r="20" spans="2:12">
      <c r="B20" s="71">
        <v>75</v>
      </c>
      <c r="C20" s="76">
        <f t="shared" si="0"/>
        <v>7.9374999999999991</v>
      </c>
      <c r="D20" s="75">
        <f t="shared" si="2"/>
        <v>595312.49999999988</v>
      </c>
      <c r="E20" s="63">
        <f>B20*AEF*1000</f>
        <v>93750</v>
      </c>
      <c r="F20" s="76">
        <f t="shared" si="1"/>
        <v>14062.5</v>
      </c>
      <c r="G20" s="63">
        <f>D20/F20</f>
        <v>42.333333333333329</v>
      </c>
    </row>
    <row r="21" spans="2:12">
      <c r="B21" s="77">
        <v>100</v>
      </c>
      <c r="C21" s="76">
        <f t="shared" si="0"/>
        <v>7.85</v>
      </c>
      <c r="D21" s="75">
        <f>C21*1000*B21</f>
        <v>785000</v>
      </c>
      <c r="E21" s="63">
        <f>B21*AEF*1000</f>
        <v>125000</v>
      </c>
      <c r="F21" s="76">
        <f t="shared" si="1"/>
        <v>18750</v>
      </c>
      <c r="G21" s="63">
        <f>D21/F21</f>
        <v>41.866666666666667</v>
      </c>
    </row>
    <row r="22" spans="2:12">
      <c r="B22" s="77">
        <v>125</v>
      </c>
      <c r="C22" s="76">
        <f>8.2-(B22/25*(0.7/8))</f>
        <v>7.7624999999999993</v>
      </c>
      <c r="D22" s="75">
        <f t="shared" si="2"/>
        <v>970312.49999999988</v>
      </c>
      <c r="E22" s="63">
        <f>B22*AEF*1000</f>
        <v>156250</v>
      </c>
      <c r="F22" s="76">
        <f t="shared" si="1"/>
        <v>23437.5</v>
      </c>
      <c r="G22" s="63">
        <f>D22/F22</f>
        <v>41.4</v>
      </c>
    </row>
    <row r="23" spans="2:12">
      <c r="B23" s="71">
        <v>150</v>
      </c>
      <c r="C23" s="76">
        <f t="shared" ref="C23:C25" si="3">8.2-(B23/25*(0.7/8))</f>
        <v>7.6749999999999989</v>
      </c>
      <c r="D23" s="75">
        <f t="shared" si="2"/>
        <v>1151249.9999999998</v>
      </c>
      <c r="E23" s="63">
        <f>B23*AEF*1000</f>
        <v>187500</v>
      </c>
      <c r="F23" s="76">
        <f t="shared" si="1"/>
        <v>28125</v>
      </c>
      <c r="G23" s="63">
        <f>D23/F23</f>
        <v>40.933333333333323</v>
      </c>
    </row>
    <row r="24" spans="2:12">
      <c r="B24" s="71">
        <v>175</v>
      </c>
      <c r="C24" s="76">
        <f t="shared" si="3"/>
        <v>7.5874999999999995</v>
      </c>
      <c r="D24" s="75">
        <f t="shared" si="2"/>
        <v>1327812.4999999998</v>
      </c>
      <c r="E24" s="63">
        <f>B24*AEF*1000</f>
        <v>218750</v>
      </c>
      <c r="F24" s="76">
        <f t="shared" si="1"/>
        <v>32812.5</v>
      </c>
      <c r="G24" s="63">
        <f>D24/F24</f>
        <v>40.466666666666661</v>
      </c>
    </row>
    <row r="25" spans="2:12">
      <c r="B25" s="71">
        <v>200</v>
      </c>
      <c r="C25" s="76">
        <f t="shared" si="3"/>
        <v>7.4999999999999991</v>
      </c>
      <c r="D25" s="75">
        <f t="shared" si="2"/>
        <v>1499999.9999999998</v>
      </c>
      <c r="E25" s="63">
        <f>B25*AEF*1000</f>
        <v>250000</v>
      </c>
      <c r="F25" s="76">
        <f t="shared" si="1"/>
        <v>37500</v>
      </c>
      <c r="G25" s="63">
        <f>D25/F25</f>
        <v>39.999999999999993</v>
      </c>
    </row>
    <row r="26" spans="2:12">
      <c r="B26" s="71"/>
      <c r="C26" s="75"/>
      <c r="E26" s="76"/>
      <c r="G26" s="66"/>
      <c r="H26" s="75"/>
      <c r="I26" s="76"/>
      <c r="J26" s="78"/>
      <c r="K26" s="75"/>
      <c r="L26" s="79"/>
    </row>
    <row r="27" spans="2:12" ht="12.75">
      <c r="B27" s="109" t="s">
        <v>55</v>
      </c>
      <c r="C27" s="111"/>
      <c r="D27" s="111"/>
      <c r="E27" s="111"/>
      <c r="F27" s="111"/>
      <c r="G27" s="111"/>
      <c r="H27" s="112"/>
      <c r="I27" s="76"/>
      <c r="J27" s="78"/>
      <c r="K27" s="75"/>
      <c r="L27" s="79"/>
    </row>
    <row r="28" spans="2:12">
      <c r="B28" s="72" t="s">
        <v>38</v>
      </c>
      <c r="C28" s="64" t="s">
        <v>59</v>
      </c>
      <c r="D28" s="63" t="s">
        <v>60</v>
      </c>
      <c r="E28" s="63" t="s">
        <v>30</v>
      </c>
      <c r="F28" s="63" t="s">
        <v>34</v>
      </c>
      <c r="G28" s="63" t="s">
        <v>33</v>
      </c>
      <c r="H28" s="63" t="s">
        <v>50</v>
      </c>
      <c r="I28" s="76"/>
      <c r="J28" s="78"/>
      <c r="K28" s="75"/>
      <c r="L28" s="79"/>
    </row>
    <row r="29" spans="2:12">
      <c r="B29" s="74">
        <v>10</v>
      </c>
      <c r="C29" s="66">
        <v>29000</v>
      </c>
      <c r="D29" s="75">
        <f>0.85*C29</f>
        <v>24650</v>
      </c>
      <c r="E29" s="76">
        <f t="shared" ref="E29:E37" si="4">D29/B17/1000</f>
        <v>2.4649999999999999</v>
      </c>
      <c r="F29" s="78">
        <f>E29/C17</f>
        <v>0.30189834660134723</v>
      </c>
      <c r="G29" s="75">
        <f>D17-D29</f>
        <v>56999.999999999985</v>
      </c>
      <c r="H29" s="63">
        <f>G29/F17</f>
        <v>30.399999999999991</v>
      </c>
      <c r="I29" s="76"/>
      <c r="J29" s="78"/>
      <c r="K29" s="75"/>
      <c r="L29" s="79"/>
    </row>
    <row r="30" spans="2:12">
      <c r="B30" s="77">
        <v>25</v>
      </c>
      <c r="C30" s="66">
        <v>72500</v>
      </c>
      <c r="D30" s="75">
        <f>0.85*C30</f>
        <v>61625</v>
      </c>
      <c r="E30" s="76">
        <f t="shared" si="4"/>
        <v>2.4649999999999999</v>
      </c>
      <c r="F30" s="78">
        <f t="shared" ref="F30:F37" si="5">E30/C18</f>
        <v>0.30385208012326659</v>
      </c>
      <c r="G30" s="75">
        <f>D18-D30</f>
        <v>141187.49999999997</v>
      </c>
      <c r="H30" s="63">
        <f>G30/F18</f>
        <v>30.119999999999994</v>
      </c>
      <c r="I30" s="76"/>
      <c r="J30" s="78"/>
      <c r="K30" s="75"/>
      <c r="L30" s="79"/>
    </row>
    <row r="31" spans="2:12">
      <c r="B31" s="71">
        <v>50</v>
      </c>
      <c r="C31" s="66">
        <v>137500</v>
      </c>
      <c r="D31" s="75">
        <f>0.85*C31</f>
        <v>116875</v>
      </c>
      <c r="E31" s="76">
        <f t="shared" si="4"/>
        <v>2.3374999999999999</v>
      </c>
      <c r="F31" s="78">
        <f t="shared" si="5"/>
        <v>0.29127725856697823</v>
      </c>
      <c r="G31" s="75">
        <f>D19-D31</f>
        <v>284374.99999999988</v>
      </c>
      <c r="H31" s="63">
        <f>G31/F19</f>
        <v>30.333333333333321</v>
      </c>
      <c r="I31" s="76"/>
      <c r="J31" s="78"/>
      <c r="K31" s="75"/>
      <c r="L31" s="79"/>
    </row>
    <row r="32" spans="2:12">
      <c r="B32" s="71">
        <v>75</v>
      </c>
      <c r="C32" s="66">
        <v>202500</v>
      </c>
      <c r="D32" s="75">
        <f t="shared" ref="D32:D37" si="6">0.85*C32</f>
        <v>172125</v>
      </c>
      <c r="E32" s="76">
        <f t="shared" si="4"/>
        <v>2.2949999999999999</v>
      </c>
      <c r="F32" s="78">
        <f t="shared" si="5"/>
        <v>0.28913385826771654</v>
      </c>
      <c r="G32" s="75">
        <f>D20-D32</f>
        <v>423187.49999999988</v>
      </c>
      <c r="H32" s="79">
        <f>G32/F20</f>
        <v>30.093333333333327</v>
      </c>
      <c r="I32" s="76"/>
      <c r="J32" s="78"/>
      <c r="K32" s="75"/>
      <c r="L32" s="79"/>
    </row>
    <row r="33" spans="2:12">
      <c r="B33" s="77">
        <v>100</v>
      </c>
      <c r="C33" s="66">
        <v>267500</v>
      </c>
      <c r="D33" s="75">
        <f t="shared" si="6"/>
        <v>227375</v>
      </c>
      <c r="E33" s="76">
        <f t="shared" si="4"/>
        <v>2.2737500000000002</v>
      </c>
      <c r="F33" s="78">
        <f t="shared" si="5"/>
        <v>0.28964968152866244</v>
      </c>
      <c r="G33" s="75">
        <f>D21-D33</f>
        <v>557625</v>
      </c>
      <c r="H33" s="63">
        <f>G33/F21</f>
        <v>29.74</v>
      </c>
      <c r="I33" s="76"/>
      <c r="J33" s="78"/>
      <c r="K33" s="75"/>
      <c r="L33" s="79"/>
    </row>
    <row r="34" spans="2:12">
      <c r="B34" s="77">
        <v>125</v>
      </c>
      <c r="C34" s="66">
        <v>315000</v>
      </c>
      <c r="D34" s="75">
        <f t="shared" si="6"/>
        <v>267750</v>
      </c>
      <c r="E34" s="76">
        <f t="shared" si="4"/>
        <v>2.1419999999999999</v>
      </c>
      <c r="F34" s="78">
        <f t="shared" si="5"/>
        <v>0.27594202898550724</v>
      </c>
      <c r="G34" s="75">
        <f>D22-D34</f>
        <v>702562.49999999988</v>
      </c>
      <c r="H34" s="79">
        <f>G34/F22</f>
        <v>29.975999999999996</v>
      </c>
      <c r="I34" s="76"/>
      <c r="J34" s="78"/>
      <c r="K34" s="75"/>
      <c r="L34" s="79"/>
    </row>
    <row r="35" spans="2:12">
      <c r="B35" s="71">
        <v>150</v>
      </c>
      <c r="C35" s="66">
        <v>362500</v>
      </c>
      <c r="D35" s="75">
        <f t="shared" si="6"/>
        <v>308125</v>
      </c>
      <c r="E35" s="76">
        <f t="shared" si="4"/>
        <v>2.0541666666666667</v>
      </c>
      <c r="F35" s="78">
        <f t="shared" si="5"/>
        <v>0.26764386536373513</v>
      </c>
      <c r="G35" s="75">
        <f>D23-D35</f>
        <v>843124.99999999977</v>
      </c>
      <c r="H35" s="63">
        <f>G35/F23</f>
        <v>29.977777777777771</v>
      </c>
      <c r="I35" s="76"/>
      <c r="J35" s="78"/>
      <c r="K35" s="75"/>
      <c r="L35" s="79"/>
    </row>
    <row r="36" spans="2:12">
      <c r="B36" s="71">
        <v>175</v>
      </c>
      <c r="C36" s="66">
        <v>410000</v>
      </c>
      <c r="D36" s="75">
        <f t="shared" si="6"/>
        <v>348500</v>
      </c>
      <c r="E36" s="76">
        <f t="shared" si="4"/>
        <v>1.9914285714285713</v>
      </c>
      <c r="F36" s="78">
        <f t="shared" si="5"/>
        <v>0.26246175570722524</v>
      </c>
      <c r="G36" s="75">
        <f>D24-D36</f>
        <v>979312.49999999977</v>
      </c>
      <c r="H36" s="63">
        <f>G36/F24</f>
        <v>29.84571428571428</v>
      </c>
      <c r="I36" s="76"/>
      <c r="J36" s="78"/>
      <c r="K36" s="75"/>
      <c r="L36" s="79"/>
    </row>
    <row r="37" spans="2:12">
      <c r="B37" s="71">
        <v>200</v>
      </c>
      <c r="C37" s="66">
        <v>457500</v>
      </c>
      <c r="D37" s="75">
        <f t="shared" si="6"/>
        <v>388875</v>
      </c>
      <c r="E37" s="76">
        <f t="shared" si="4"/>
        <v>1.944375</v>
      </c>
      <c r="F37" s="78">
        <f t="shared" si="5"/>
        <v>0.25925000000000004</v>
      </c>
      <c r="G37" s="75">
        <f>D25-D37</f>
        <v>1111124.9999999998</v>
      </c>
      <c r="H37" s="79">
        <f>G37/F25</f>
        <v>29.629999999999995</v>
      </c>
    </row>
    <row r="38" spans="2:12">
      <c r="B38" s="66"/>
      <c r="C38" s="75"/>
      <c r="D38" s="76"/>
      <c r="E38" s="78"/>
      <c r="F38" s="75"/>
      <c r="G38" s="79"/>
    </row>
    <row r="39" spans="2:12">
      <c r="B39" s="66"/>
      <c r="C39" s="75"/>
      <c r="D39" s="76"/>
      <c r="E39" s="78"/>
      <c r="F39" s="75"/>
      <c r="G39" s="79"/>
    </row>
    <row r="40" spans="2:12">
      <c r="B40" s="66"/>
      <c r="C40" s="75"/>
      <c r="D40" s="76"/>
      <c r="E40" s="78"/>
      <c r="F40" s="75"/>
      <c r="G40" s="79"/>
    </row>
    <row r="41" spans="2:12" ht="15">
      <c r="B41" s="110" t="s">
        <v>65</v>
      </c>
      <c r="C41" s="111"/>
      <c r="D41" s="111"/>
      <c r="E41" s="111"/>
      <c r="F41" s="111"/>
      <c r="G41" s="111"/>
    </row>
    <row r="42" spans="2:12">
      <c r="B42" s="71"/>
    </row>
    <row r="43" spans="2:12">
      <c r="B43" s="80" t="s">
        <v>39</v>
      </c>
      <c r="D43" s="81" t="s">
        <v>43</v>
      </c>
      <c r="E43" s="81" t="s">
        <v>44</v>
      </c>
      <c r="F43" s="81" t="s">
        <v>56</v>
      </c>
    </row>
    <row r="44" spans="2:12">
      <c r="B44" s="82" t="s">
        <v>40</v>
      </c>
      <c r="D44" s="83">
        <v>6100</v>
      </c>
      <c r="E44" s="83">
        <v>11200</v>
      </c>
      <c r="F44" s="83">
        <v>12400</v>
      </c>
    </row>
    <row r="45" spans="2:12">
      <c r="B45" s="84" t="s">
        <v>42</v>
      </c>
      <c r="D45" s="85">
        <v>3900</v>
      </c>
      <c r="E45" s="83">
        <v>3900</v>
      </c>
      <c r="F45" s="83">
        <v>11200</v>
      </c>
    </row>
    <row r="46" spans="2:12" ht="12.75" thickBot="1">
      <c r="B46" s="71"/>
      <c r="D46" s="86"/>
      <c r="E46" s="86"/>
      <c r="F46" s="87">
        <v>3900</v>
      </c>
    </row>
    <row r="47" spans="2:12" ht="12.75" thickTop="1">
      <c r="B47" s="71"/>
      <c r="C47" s="63" t="s">
        <v>49</v>
      </c>
      <c r="D47" s="83">
        <f>SUM(D44:D45)</f>
        <v>10000</v>
      </c>
      <c r="E47" s="85">
        <f>SUM(E44:E45)</f>
        <v>15100</v>
      </c>
      <c r="F47" s="83">
        <f>SUM(F44:F46)</f>
        <v>27500</v>
      </c>
    </row>
    <row r="48" spans="2:12">
      <c r="B48" s="71"/>
    </row>
    <row r="49" spans="1:7">
      <c r="B49" s="71" t="s">
        <v>45</v>
      </c>
      <c r="C49" s="63" t="s">
        <v>48</v>
      </c>
      <c r="D49" s="81">
        <f>250/43560*D47</f>
        <v>57.392102846648299</v>
      </c>
      <c r="E49" s="81">
        <f>250/43560*E47</f>
        <v>86.662075298438936</v>
      </c>
      <c r="F49" s="81">
        <f>250/43560*F47</f>
        <v>157.82828282828282</v>
      </c>
    </row>
    <row r="50" spans="1:7">
      <c r="B50" s="71"/>
    </row>
    <row r="51" spans="1:7">
      <c r="B51" s="71" t="s">
        <v>47</v>
      </c>
      <c r="C51" s="63" t="s">
        <v>46</v>
      </c>
      <c r="D51" s="63">
        <f>1500/43560*D47</f>
        <v>344.3526170798898</v>
      </c>
      <c r="E51" s="63">
        <f>1500/43560*E47</f>
        <v>519.97245179063361</v>
      </c>
      <c r="F51" s="63">
        <f>1500/43560*F47</f>
        <v>946.969696969697</v>
      </c>
    </row>
    <row r="54" spans="1:7" ht="15">
      <c r="B54" s="108" t="s">
        <v>54</v>
      </c>
    </row>
    <row r="55" spans="1:7" ht="12.75">
      <c r="B55" s="109" t="s">
        <v>53</v>
      </c>
      <c r="C55" s="111"/>
      <c r="D55" s="111"/>
      <c r="E55" s="111"/>
      <c r="F55" s="111"/>
      <c r="G55" s="111"/>
    </row>
    <row r="56" spans="1:7">
      <c r="A56" s="93" t="s">
        <v>57</v>
      </c>
      <c r="B56" s="88" t="s">
        <v>38</v>
      </c>
      <c r="C56" s="63" t="s">
        <v>64</v>
      </c>
      <c r="D56" s="73" t="s">
        <v>29</v>
      </c>
      <c r="E56" s="63" t="s">
        <v>35</v>
      </c>
      <c r="F56" s="63" t="s">
        <v>36</v>
      </c>
      <c r="G56" s="63" t="s">
        <v>52</v>
      </c>
    </row>
    <row r="57" spans="1:7">
      <c r="A57" s="73">
        <v>1</v>
      </c>
      <c r="B57" s="74">
        <v>57</v>
      </c>
      <c r="C57" s="76">
        <f>8.2-(B57/25*(0.7/8))</f>
        <v>8.0004999999999988</v>
      </c>
      <c r="D57" s="75">
        <f>C57*1000*B57</f>
        <v>456028.49999999994</v>
      </c>
      <c r="E57" s="63">
        <f>AEF*1000*B57</f>
        <v>71250</v>
      </c>
      <c r="F57" s="76">
        <f>E57*kWh</f>
        <v>10687.5</v>
      </c>
      <c r="G57" s="63">
        <f>D57/F57</f>
        <v>42.669333333333327</v>
      </c>
    </row>
    <row r="58" spans="1:7">
      <c r="A58" s="73">
        <v>2</v>
      </c>
      <c r="B58" s="77">
        <v>87</v>
      </c>
      <c r="C58" s="76">
        <f>8.2-(B58/25*(0.7/8))</f>
        <v>7.8954999999999993</v>
      </c>
      <c r="D58" s="75">
        <f t="shared" ref="D58:D59" si="7">C58*1000*B58</f>
        <v>686908.49999999988</v>
      </c>
      <c r="E58" s="63">
        <f>AEF*1000*B58</f>
        <v>108750</v>
      </c>
      <c r="F58" s="76">
        <f>E58*kWh</f>
        <v>16312.5</v>
      </c>
      <c r="G58" s="63">
        <f>D58/F58</f>
        <v>42.109333333333325</v>
      </c>
    </row>
    <row r="59" spans="1:7">
      <c r="A59" s="73">
        <v>3</v>
      </c>
      <c r="B59" s="71">
        <v>158</v>
      </c>
      <c r="C59" s="76">
        <v>8.5</v>
      </c>
      <c r="D59" s="75">
        <f t="shared" si="7"/>
        <v>1343000</v>
      </c>
      <c r="E59" s="63">
        <f>AEF*1000*B59</f>
        <v>197500</v>
      </c>
      <c r="F59" s="76">
        <f>E59*kWh</f>
        <v>29625</v>
      </c>
      <c r="G59" s="63">
        <f>D59/F59</f>
        <v>45.333333333333336</v>
      </c>
    </row>
    <row r="60" spans="1:7">
      <c r="A60" s="73"/>
      <c r="B60" s="71"/>
    </row>
    <row r="61" spans="1:7">
      <c r="A61" s="73"/>
      <c r="B61" s="71"/>
    </row>
    <row r="62" spans="1:7" ht="12.75">
      <c r="A62" s="73"/>
      <c r="B62" s="109" t="s">
        <v>55</v>
      </c>
      <c r="C62" s="111"/>
      <c r="D62" s="111"/>
      <c r="E62" s="111"/>
      <c r="F62" s="111"/>
      <c r="G62" s="111"/>
    </row>
    <row r="63" spans="1:7">
      <c r="A63" s="73"/>
      <c r="B63" s="71" t="s">
        <v>31</v>
      </c>
      <c r="C63" s="63" t="s">
        <v>32</v>
      </c>
      <c r="D63" s="63" t="s">
        <v>30</v>
      </c>
      <c r="E63" s="63" t="s">
        <v>34</v>
      </c>
      <c r="F63" s="63" t="s">
        <v>33</v>
      </c>
      <c r="G63" s="63" t="s">
        <v>50</v>
      </c>
    </row>
    <row r="64" spans="1:7">
      <c r="A64" s="73">
        <v>1</v>
      </c>
      <c r="B64" s="89">
        <v>155700</v>
      </c>
      <c r="C64" s="75">
        <f>0.85*B64</f>
        <v>132345</v>
      </c>
      <c r="D64" s="76">
        <f>C64/B57/1000</f>
        <v>2.3218421052631579</v>
      </c>
      <c r="E64" s="78">
        <f>D64/C57</f>
        <v>0.29021212490008852</v>
      </c>
      <c r="F64" s="75">
        <f>D57-C64</f>
        <v>323683.49999999994</v>
      </c>
      <c r="G64" s="63">
        <f>F64/F57</f>
        <v>30.286175438596487</v>
      </c>
    </row>
    <row r="65" spans="1:7">
      <c r="A65" s="73">
        <v>2</v>
      </c>
      <c r="B65" s="90">
        <v>233700</v>
      </c>
      <c r="C65" s="75">
        <f>0.85*B65</f>
        <v>198645</v>
      </c>
      <c r="D65" s="76">
        <f>C65/B58/1000</f>
        <v>2.2832758620689657</v>
      </c>
      <c r="E65" s="78">
        <f t="shared" ref="E65:E66" si="8">D65/C58</f>
        <v>0.28918698778658297</v>
      </c>
      <c r="F65" s="75">
        <f>D58-C65</f>
        <v>488263.49999999988</v>
      </c>
      <c r="G65" s="63">
        <f>F65/F58</f>
        <v>29.931862068965511</v>
      </c>
    </row>
    <row r="66" spans="1:7">
      <c r="A66" s="73">
        <v>3</v>
      </c>
      <c r="B66" s="90">
        <v>324500</v>
      </c>
      <c r="C66" s="75">
        <f t="shared" ref="C66" si="9">0.85*B66</f>
        <v>275825</v>
      </c>
      <c r="D66" s="76">
        <f>C66/B59/1000</f>
        <v>1.7457278481012659</v>
      </c>
      <c r="E66" s="78">
        <f t="shared" si="8"/>
        <v>0.20537974683544305</v>
      </c>
      <c r="F66" s="75">
        <f>D59-C66</f>
        <v>1067175</v>
      </c>
      <c r="G66" s="63">
        <f>F66/F59</f>
        <v>36.022784810126581</v>
      </c>
    </row>
    <row r="75" spans="1:7">
      <c r="B75" s="73"/>
      <c r="C75" s="91"/>
    </row>
    <row r="76" spans="1:7">
      <c r="B76" s="92"/>
      <c r="C76" s="76"/>
    </row>
    <row r="77" spans="1:7">
      <c r="B77" s="83"/>
      <c r="C77" s="76"/>
    </row>
    <row r="78" spans="1:7">
      <c r="C78" s="76"/>
    </row>
    <row r="79" spans="1:7">
      <c r="C79" s="76"/>
    </row>
    <row r="80" spans="1:7">
      <c r="B80" s="83"/>
      <c r="C80" s="76"/>
      <c r="F80" s="63">
        <v>10</v>
      </c>
      <c r="G80" s="75">
        <f t="shared" ref="G80:G88" si="10">E29</f>
        <v>2.4649999999999999</v>
      </c>
    </row>
    <row r="81" spans="2:7">
      <c r="B81" s="83"/>
      <c r="C81" s="76"/>
      <c r="F81" s="83">
        <v>25</v>
      </c>
      <c r="G81" s="75">
        <f t="shared" si="10"/>
        <v>2.4649999999999999</v>
      </c>
    </row>
    <row r="82" spans="2:7">
      <c r="C82" s="76"/>
      <c r="F82" s="63">
        <v>50</v>
      </c>
      <c r="G82" s="75">
        <f t="shared" si="10"/>
        <v>2.3374999999999999</v>
      </c>
    </row>
    <row r="83" spans="2:7">
      <c r="C83" s="76"/>
      <c r="F83" s="63">
        <v>75</v>
      </c>
      <c r="G83" s="75">
        <f t="shared" si="10"/>
        <v>2.2949999999999999</v>
      </c>
    </row>
    <row r="84" spans="2:7">
      <c r="C84" s="76"/>
      <c r="F84" s="83">
        <v>100</v>
      </c>
      <c r="G84" s="75">
        <f t="shared" si="10"/>
        <v>2.2737500000000002</v>
      </c>
    </row>
    <row r="85" spans="2:7">
      <c r="F85" s="83">
        <v>125</v>
      </c>
      <c r="G85" s="75">
        <f t="shared" si="10"/>
        <v>2.1419999999999999</v>
      </c>
    </row>
    <row r="86" spans="2:7">
      <c r="B86" s="63" t="s">
        <v>37</v>
      </c>
      <c r="F86" s="63">
        <v>150</v>
      </c>
      <c r="G86" s="75">
        <f t="shared" si="10"/>
        <v>2.0541666666666667</v>
      </c>
    </row>
    <row r="87" spans="2:7">
      <c r="F87" s="63">
        <v>175</v>
      </c>
      <c r="G87" s="75">
        <f t="shared" si="10"/>
        <v>1.9914285714285713</v>
      </c>
    </row>
    <row r="88" spans="2:7">
      <c r="F88" s="63">
        <v>200</v>
      </c>
      <c r="G88" s="75">
        <f t="shared" si="10"/>
        <v>1.944375</v>
      </c>
    </row>
    <row r="103" spans="7:7">
      <c r="G103" s="63" t="s">
        <v>37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topLeftCell="A3" zoomScaleNormal="100" zoomScaleSheetLayoutView="100" workbookViewId="0">
      <selection activeCell="G18" sqref="G18"/>
    </sheetView>
  </sheetViews>
  <sheetFormatPr defaultRowHeight="14.25"/>
  <cols>
    <col min="1" max="1" width="3.42578125" style="1" customWidth="1"/>
    <col min="2" max="2" width="2.42578125" style="1" customWidth="1"/>
    <col min="3" max="3" width="49.28515625" style="1" customWidth="1"/>
    <col min="4" max="4" width="19.5703125" style="1" customWidth="1"/>
    <col min="5" max="7" width="17.42578125" style="1" customWidth="1"/>
    <col min="8" max="8" width="18.5703125" style="54" customWidth="1"/>
    <col min="9" max="11" width="18.5703125" style="1" customWidth="1"/>
    <col min="12" max="16384" width="9.140625" style="1"/>
  </cols>
  <sheetData>
    <row r="1" spans="1:8" ht="15">
      <c r="A1" s="20" t="s">
        <v>28</v>
      </c>
      <c r="B1" s="20"/>
      <c r="C1" s="20"/>
      <c r="D1" s="20"/>
      <c r="E1" s="57"/>
      <c r="F1" s="57"/>
      <c r="G1" s="49"/>
    </row>
    <row r="2" spans="1:8" ht="15" thickBot="1">
      <c r="G2" s="50"/>
    </row>
    <row r="3" spans="1:8" ht="16.5" customHeight="1">
      <c r="A3" s="47" t="s">
        <v>22</v>
      </c>
      <c r="B3" s="48"/>
      <c r="C3" s="48"/>
      <c r="D3" s="48"/>
      <c r="E3" s="58"/>
      <c r="F3" s="59"/>
      <c r="G3" s="50"/>
    </row>
    <row r="4" spans="1:8" s="4" customFormat="1" ht="32.25" customHeight="1">
      <c r="A4" s="96" t="s">
        <v>3</v>
      </c>
      <c r="B4" s="97"/>
      <c r="C4" s="98"/>
      <c r="D4" s="2" t="s">
        <v>15</v>
      </c>
      <c r="E4" s="2" t="s">
        <v>4</v>
      </c>
      <c r="F4" s="3" t="s">
        <v>21</v>
      </c>
      <c r="G4" s="51"/>
      <c r="H4" s="56"/>
    </row>
    <row r="5" spans="1:8" ht="15.75" customHeight="1">
      <c r="A5" s="5"/>
      <c r="B5" s="6"/>
      <c r="C5" s="7" t="s">
        <v>16</v>
      </c>
      <c r="D5" s="39">
        <v>2</v>
      </c>
      <c r="E5" s="39">
        <v>1.7</v>
      </c>
      <c r="F5" s="40">
        <v>1</v>
      </c>
      <c r="G5" s="52"/>
    </row>
    <row r="6" spans="1:8" ht="15.75" customHeight="1">
      <c r="A6" s="5"/>
      <c r="B6" s="8" t="s">
        <v>5</v>
      </c>
      <c r="C6" s="7"/>
      <c r="D6" s="39"/>
      <c r="E6" s="39"/>
      <c r="F6" s="40"/>
      <c r="G6" s="52"/>
    </row>
    <row r="7" spans="1:8" ht="15" customHeight="1">
      <c r="A7" s="5"/>
      <c r="B7" s="9"/>
      <c r="C7" s="7" t="s">
        <v>6</v>
      </c>
      <c r="D7" s="39">
        <v>0.15</v>
      </c>
      <c r="E7" s="39">
        <v>0.15</v>
      </c>
      <c r="F7" s="40">
        <v>0.15</v>
      </c>
      <c r="G7" s="52"/>
    </row>
    <row r="8" spans="1:8" ht="15" customHeight="1">
      <c r="A8" s="5"/>
      <c r="B8" s="9"/>
      <c r="C8" s="7" t="s">
        <v>23</v>
      </c>
      <c r="D8" s="39">
        <v>0.75</v>
      </c>
      <c r="E8" s="39">
        <v>0.75</v>
      </c>
      <c r="F8" s="40">
        <v>0.75</v>
      </c>
      <c r="G8" s="52"/>
    </row>
    <row r="9" spans="1:8" ht="15" customHeight="1" thickBot="1">
      <c r="A9" s="10"/>
      <c r="B9" s="11"/>
      <c r="C9" s="41" t="s">
        <v>24</v>
      </c>
      <c r="D9" s="42">
        <v>2.15</v>
      </c>
      <c r="E9" s="43">
        <v>0</v>
      </c>
      <c r="F9" s="44">
        <v>0</v>
      </c>
      <c r="G9" s="53"/>
    </row>
    <row r="10" spans="1:8" ht="15" thickBot="1">
      <c r="A10" s="5"/>
      <c r="B10" s="9"/>
      <c r="C10" s="9"/>
      <c r="D10" s="9"/>
      <c r="E10" s="6"/>
    </row>
    <row r="11" spans="1:8" ht="19.5" customHeight="1" thickBot="1">
      <c r="A11" s="99" t="s">
        <v>27</v>
      </c>
      <c r="B11" s="100"/>
      <c r="C11" s="100"/>
      <c r="D11" s="101"/>
    </row>
    <row r="12" spans="1:8" ht="19.5" customHeight="1" thickBot="1">
      <c r="A12" s="27"/>
      <c r="B12" s="25"/>
      <c r="C12" s="25"/>
      <c r="D12" s="26"/>
      <c r="E12" s="14"/>
      <c r="F12" s="14"/>
    </row>
    <row r="13" spans="1:8" ht="18" customHeight="1">
      <c r="A13" s="104" t="s">
        <v>20</v>
      </c>
      <c r="B13" s="105"/>
      <c r="C13" s="105"/>
      <c r="D13" s="38">
        <v>652500</v>
      </c>
      <c r="E13" s="14">
        <f>IF(D13="",0,1)</f>
        <v>1</v>
      </c>
      <c r="F13" s="14"/>
    </row>
    <row r="14" spans="1:8" s="12" customFormat="1" ht="16.5" customHeight="1">
      <c r="A14" s="102" t="s">
        <v>17</v>
      </c>
      <c r="B14" s="103"/>
      <c r="C14" s="103"/>
      <c r="D14" s="21">
        <v>87000</v>
      </c>
      <c r="E14" s="60"/>
      <c r="F14" s="61"/>
      <c r="H14" s="55"/>
    </row>
    <row r="15" spans="1:8" ht="16.5" customHeight="1">
      <c r="A15" s="24" t="s">
        <v>26</v>
      </c>
      <c r="B15" s="13"/>
      <c r="C15" s="13"/>
      <c r="D15" s="23">
        <f>IF(D14&lt;=200000,D14,200000)</f>
        <v>87000</v>
      </c>
      <c r="E15" s="14"/>
      <c r="F15" s="14"/>
    </row>
    <row r="16" spans="1:8" ht="16.5" customHeight="1">
      <c r="A16" s="5"/>
      <c r="B16" s="9"/>
      <c r="C16" s="7" t="s">
        <v>7</v>
      </c>
      <c r="D16" s="22" t="s">
        <v>8</v>
      </c>
      <c r="E16" s="14" t="s">
        <v>9</v>
      </c>
      <c r="F16" s="62"/>
    </row>
    <row r="17" spans="1:8" ht="16.5" customHeight="1">
      <c r="A17" s="5"/>
      <c r="B17" s="9"/>
      <c r="C17" s="7" t="s">
        <v>25</v>
      </c>
      <c r="D17" s="22" t="s">
        <v>8</v>
      </c>
      <c r="E17" s="14" t="s">
        <v>8</v>
      </c>
      <c r="F17" s="14"/>
    </row>
    <row r="18" spans="1:8" ht="16.5" customHeight="1">
      <c r="A18" s="5"/>
      <c r="B18" s="9"/>
      <c r="C18" s="45" t="s">
        <v>24</v>
      </c>
      <c r="D18" s="22" t="s">
        <v>9</v>
      </c>
    </row>
    <row r="19" spans="1:8" ht="32.25" customHeight="1">
      <c r="A19" s="94" t="s">
        <v>18</v>
      </c>
      <c r="B19" s="95"/>
      <c r="C19" s="95"/>
      <c r="D19" s="28">
        <f>IF(E13=1,H32,"First Enter Total Project Cost")</f>
        <v>233700</v>
      </c>
    </row>
    <row r="20" spans="1:8" s="12" customFormat="1" ht="16.5" customHeight="1" thickBot="1">
      <c r="A20" s="29" t="s">
        <v>19</v>
      </c>
      <c r="B20" s="30"/>
      <c r="C20" s="30"/>
      <c r="D20" s="31">
        <f>D19/D14</f>
        <v>2.6862068965517243</v>
      </c>
      <c r="H20" s="55"/>
    </row>
    <row r="21" spans="1:8" ht="16.5" customHeight="1" thickBot="1">
      <c r="A21" s="5"/>
      <c r="B21" s="9"/>
      <c r="C21" s="9"/>
      <c r="D21" s="15"/>
    </row>
    <row r="22" spans="1:8" ht="16.5" customHeight="1" thickTop="1">
      <c r="A22" s="5"/>
      <c r="B22" s="9"/>
      <c r="C22" s="34" t="s">
        <v>0</v>
      </c>
      <c r="D22" s="37"/>
    </row>
    <row r="23" spans="1:8" ht="16.5" customHeight="1">
      <c r="A23" s="5"/>
      <c r="B23" s="9"/>
      <c r="C23" s="35" t="s">
        <v>1</v>
      </c>
      <c r="D23" s="32"/>
    </row>
    <row r="24" spans="1:8" ht="16.5" customHeight="1" thickBot="1">
      <c r="A24" s="5"/>
      <c r="B24" s="9"/>
      <c r="C24" s="36" t="s">
        <v>11</v>
      </c>
      <c r="D24" s="33"/>
    </row>
    <row r="25" spans="1:8" ht="15" customHeight="1" thickTop="1" thickBot="1">
      <c r="A25" s="10"/>
      <c r="B25" s="11"/>
      <c r="C25" s="11"/>
      <c r="D25" s="16"/>
    </row>
    <row r="26" spans="1:8" ht="15" hidden="1" customHeight="1"/>
    <row r="27" spans="1:8" ht="15" hidden="1" customHeight="1">
      <c r="C27" s="17" t="s">
        <v>12</v>
      </c>
      <c r="D27" s="18">
        <f>IF(D15&gt;=25000,25000,D15)</f>
        <v>25000</v>
      </c>
      <c r="E27" s="18">
        <f>IF(D15&gt;=100000,75000,IF(D15-D27&gt;0,D15-D27,0))</f>
        <v>62000</v>
      </c>
      <c r="F27" s="18">
        <f>IF(D15&gt;=200000,100000,IF(D15-100000&gt;0,D15-100000,0))</f>
        <v>0</v>
      </c>
      <c r="G27" s="18">
        <f>IF(D15&gt;=500000,300000,IF(D15-200000&gt;0,D15-200000,0))</f>
        <v>0</v>
      </c>
      <c r="H27" s="18">
        <f>SUM(D27:G27)</f>
        <v>87000</v>
      </c>
    </row>
    <row r="28" spans="1:8" ht="15" hidden="1" customHeight="1">
      <c r="C28" s="17" t="s">
        <v>13</v>
      </c>
      <c r="D28" s="19">
        <f>D5*D$27</f>
        <v>50000</v>
      </c>
      <c r="E28" s="19">
        <f>E5*E$27</f>
        <v>105400</v>
      </c>
      <c r="F28" s="19">
        <f>F5*F$27</f>
        <v>0</v>
      </c>
      <c r="G28" s="19">
        <f>G5*G$27</f>
        <v>0</v>
      </c>
      <c r="H28" s="19">
        <f>SUM(D28:G28)</f>
        <v>155400</v>
      </c>
    </row>
    <row r="29" spans="1:8" ht="15" hidden="1" customHeight="1">
      <c r="C29" s="17" t="s">
        <v>14</v>
      </c>
      <c r="D29" s="19">
        <f>IF($D$16="YES",D7*D27,0)</f>
        <v>3750</v>
      </c>
      <c r="E29" s="19">
        <f>IF($D$16="YES",E7*E27,0)</f>
        <v>9300</v>
      </c>
      <c r="F29" s="19">
        <f>IF($D$16="YES",F7*F27,0)</f>
        <v>0</v>
      </c>
      <c r="G29" s="19">
        <f>IF($D$16="YES",G7*G27,0)</f>
        <v>0</v>
      </c>
      <c r="H29" s="19">
        <f>SUM(D29:G29)</f>
        <v>13050</v>
      </c>
    </row>
    <row r="30" spans="1:8" ht="15" hidden="1" customHeight="1">
      <c r="C30" s="17" t="s">
        <v>10</v>
      </c>
      <c r="D30" s="19">
        <f>IF($D$17="YES",D8*D27,0)</f>
        <v>18750</v>
      </c>
      <c r="E30" s="19">
        <f>IF($D$17="YES",E8*E27,0)</f>
        <v>46500</v>
      </c>
      <c r="F30" s="19">
        <f>IF($D$17="YES",F8*F27,0)</f>
        <v>0</v>
      </c>
      <c r="G30" s="19">
        <f>IF($D$17="YES",G8*G27,0)</f>
        <v>0</v>
      </c>
      <c r="H30" s="19">
        <f>SUM(D30:G30)</f>
        <v>65250</v>
      </c>
    </row>
    <row r="31" spans="1:8" ht="15" hidden="1" customHeight="1">
      <c r="C31" s="46" t="s">
        <v>24</v>
      </c>
      <c r="D31" s="19">
        <f>IF($D$18="YES",D9*D27,0)</f>
        <v>0</v>
      </c>
      <c r="E31" s="19">
        <v>0</v>
      </c>
      <c r="F31" s="19">
        <v>0</v>
      </c>
      <c r="G31" s="19">
        <v>0</v>
      </c>
      <c r="H31" s="19">
        <f>SUM(D31:G31)</f>
        <v>0</v>
      </c>
    </row>
    <row r="32" spans="1:8" ht="15" hidden="1" customHeight="1">
      <c r="C32" s="17" t="s">
        <v>2</v>
      </c>
      <c r="D32" s="19">
        <f>SUM(D28:D31)</f>
        <v>72500</v>
      </c>
      <c r="E32" s="19">
        <f>SUM(E28:E31)</f>
        <v>161200</v>
      </c>
      <c r="F32" s="19">
        <f>SUM(F28:F31)</f>
        <v>0</v>
      </c>
      <c r="G32" s="19">
        <f>SUM(G28:G31)</f>
        <v>0</v>
      </c>
      <c r="H32" s="19">
        <f>SUM(H28:H31)</f>
        <v>233700</v>
      </c>
    </row>
    <row r="33" ht="15" hidden="1" customHeight="1"/>
  </sheetData>
  <mergeCells count="5">
    <mergeCell ref="A19:C19"/>
    <mergeCell ref="A4:C4"/>
    <mergeCell ref="A11:D11"/>
    <mergeCell ref="A14:C14"/>
    <mergeCell ref="A13:C13"/>
  </mergeCells>
  <phoneticPr fontId="3" type="noConversion"/>
  <dataValidations count="1">
    <dataValidation type="list" allowBlank="1" showInputMessage="1" showErrorMessage="1" sqref="D16:D18">
      <formula1>$E$16:$E$17</formula1>
    </dataValidation>
  </dataValidations>
  <pageMargins left="0.75" right="0.75" top="1" bottom="1" header="0.5" footer="0.5"/>
  <pageSetup scale="77" orientation="landscape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Calculator</vt:lpstr>
      <vt:lpstr>AEF</vt:lpstr>
      <vt:lpstr>kWh</vt:lpstr>
      <vt:lpstr>Calculator!Print_Area</vt:lpstr>
      <vt:lpstr>W2A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Brasil</dc:creator>
  <cp:lastModifiedBy>Aaron</cp:lastModifiedBy>
  <cp:lastPrinted>2008-01-24T18:49:34Z</cp:lastPrinted>
  <dcterms:created xsi:type="dcterms:W3CDTF">2004-08-20T16:57:20Z</dcterms:created>
  <dcterms:modified xsi:type="dcterms:W3CDTF">2009-12-17T20:35:52Z</dcterms:modified>
</cp:coreProperties>
</file>