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720" yWindow="285" windowWidth="20730" windowHeight="10755" tabRatio="875" firstSheet="7" activeTab="15"/>
  </bookViews>
  <sheets>
    <sheet name="Instructions" sheetId="30" r:id="rId1"/>
    <sheet name="Analysis Summary" sheetId="24" r:id="rId2"/>
    <sheet name="Alternative 1" sheetId="3" r:id="rId3"/>
    <sheet name="Alternative 2" sheetId="4" r:id="rId4"/>
    <sheet name="Alternative 3" sheetId="5" r:id="rId5"/>
    <sheet name="Center of Gravity" sheetId="22" r:id="rId6"/>
    <sheet name="Alternative 1-Tilt Up" sheetId="25" r:id="rId7"/>
    <sheet name="Alternative 2-Tilt Up" sheetId="27" r:id="rId8"/>
    <sheet name="Alternative 3-Tilt Up" sheetId="26" r:id="rId9"/>
    <sheet name="Wind Loading" sheetId="10" r:id="rId10"/>
    <sheet name="Dynamic Loading" sheetId="11" r:id="rId11"/>
    <sheet name="Combined Stress" sheetId="12" r:id="rId12"/>
    <sheet name="Local Buckling" sheetId="13" r:id="rId13"/>
    <sheet name="Column Buckling" sheetId="33" r:id="rId14"/>
    <sheet name="Yielding Stress (1)" sheetId="31" r:id="rId15"/>
    <sheet name="Yielding Stress (2)" sheetId="34" r:id="rId16"/>
  </sheets>
  <externalReferences>
    <externalReference r:id="rId17"/>
    <externalReference r:id="rId18"/>
    <externalReference r:id="rId19"/>
  </externalReferences>
  <definedNames>
    <definedName name="Z_73608749_DAD6_470A_871E_DA0A326E9E7B_.wvu.Cols" localSheetId="13" hidden="1">'Column Buckling'!#REF!,'Column Buckling'!#REF!,'Column Buckling'!#REF!</definedName>
    <definedName name="Z_73608749_DAD6_470A_871E_DA0A326E9E7B_.wvu.Cols" localSheetId="12" hidden="1">'Local Buckling'!#REF!,'Local Buckling'!#REF!,'Local Buckling'!#REF!</definedName>
    <definedName name="Z_73608749_DAD6_470A_871E_DA0A326E9E7B_.wvu.Cols" localSheetId="9" hidden="1">'Wind Loading'!$B:$B,'Wind Loading'!$G:$G,'Wind Loading'!$L:$L,'Wind Loading'!$Q:$Q</definedName>
    <definedName name="Z_73608749_DAD6_470A_871E_DA0A326E9E7B_.wvu.Rows" localSheetId="13" hidden="1">'Column Buckling'!#REF!</definedName>
    <definedName name="Z_73608749_DAD6_470A_871E_DA0A326E9E7B_.wvu.Rows" localSheetId="12" hidden="1">'Local Buckling'!#REF!</definedName>
  </definedNames>
  <calcPr calcId="145621"/>
  <customWorkbookViews>
    <customWorkbookView name="Holly - Personal View" guid="{73608749-DAD6-470A-871E-DA0A326E9E7B}" mergeInterval="0" personalView="1" maximized="1" xWindow="-8" yWindow="-8" windowWidth="1382" windowHeight="744" tabRatio="755" activeSheetId="14"/>
  </customWorkbookViews>
</workbook>
</file>

<file path=xl/calcChain.xml><?xml version="1.0" encoding="utf-8"?>
<calcChain xmlns="http://schemas.openxmlformats.org/spreadsheetml/2006/main">
  <c r="P13" i="31" l="1"/>
  <c r="P12" i="31"/>
  <c r="P11" i="31"/>
  <c r="P10" i="31"/>
  <c r="P9" i="31"/>
  <c r="P8" i="31"/>
  <c r="P7" i="31"/>
  <c r="P6" i="31"/>
  <c r="P5" i="31"/>
  <c r="P4" i="31"/>
  <c r="I13" i="31"/>
  <c r="I12" i="31"/>
  <c r="I11" i="31"/>
  <c r="I10" i="31"/>
  <c r="I9" i="31"/>
  <c r="J9" i="31" s="1"/>
  <c r="M9" i="31" s="1"/>
  <c r="I8" i="31"/>
  <c r="I7" i="31"/>
  <c r="I6" i="31"/>
  <c r="I5" i="31"/>
  <c r="I4" i="31"/>
  <c r="B13" i="31"/>
  <c r="B12" i="31"/>
  <c r="B11" i="31"/>
  <c r="B10" i="31"/>
  <c r="B9" i="31"/>
  <c r="B8" i="31"/>
  <c r="B7" i="31"/>
  <c r="B6" i="31"/>
  <c r="B5" i="31"/>
  <c r="B4" i="31"/>
  <c r="O4" i="34"/>
  <c r="P4" i="34"/>
  <c r="Q4" i="34"/>
  <c r="R4" i="34"/>
  <c r="S4" i="34"/>
  <c r="T4" i="34"/>
  <c r="U4" i="34"/>
  <c r="V4" i="34"/>
  <c r="W4" i="34"/>
  <c r="X4" i="34"/>
  <c r="O5" i="34"/>
  <c r="P5" i="34"/>
  <c r="Q5" i="34"/>
  <c r="R5" i="34"/>
  <c r="S5" i="34"/>
  <c r="T5" i="34"/>
  <c r="U5" i="34"/>
  <c r="V5" i="34"/>
  <c r="W5" i="34"/>
  <c r="X5" i="34"/>
  <c r="O6" i="34"/>
  <c r="P6" i="34"/>
  <c r="Q6" i="34"/>
  <c r="R6" i="34"/>
  <c r="S6" i="34"/>
  <c r="T6" i="34"/>
  <c r="U6" i="34"/>
  <c r="V6" i="34"/>
  <c r="W6" i="34"/>
  <c r="X6" i="34"/>
  <c r="O7" i="34"/>
  <c r="P7" i="34"/>
  <c r="Q7" i="34"/>
  <c r="R7" i="34"/>
  <c r="S7" i="34"/>
  <c r="T7" i="34"/>
  <c r="U7" i="34"/>
  <c r="V7" i="34"/>
  <c r="W7" i="34"/>
  <c r="X7" i="34"/>
  <c r="O8" i="34"/>
  <c r="P8" i="34"/>
  <c r="Q8" i="34"/>
  <c r="R8" i="34"/>
  <c r="S8" i="34"/>
  <c r="T8" i="34"/>
  <c r="U8" i="34"/>
  <c r="V8" i="34"/>
  <c r="W8" i="34"/>
  <c r="X8" i="34"/>
  <c r="O9" i="34"/>
  <c r="P9" i="34"/>
  <c r="Q9" i="34"/>
  <c r="R9" i="34"/>
  <c r="S9" i="34"/>
  <c r="T9" i="34"/>
  <c r="U9" i="34"/>
  <c r="V9" i="34"/>
  <c r="W9" i="34"/>
  <c r="X9" i="34"/>
  <c r="O10" i="34"/>
  <c r="P10" i="34"/>
  <c r="Q10" i="34"/>
  <c r="R10" i="34"/>
  <c r="S10" i="34"/>
  <c r="T10" i="34"/>
  <c r="U10" i="34"/>
  <c r="V10" i="34"/>
  <c r="W10" i="34"/>
  <c r="X10" i="34"/>
  <c r="O11" i="34"/>
  <c r="P11" i="34"/>
  <c r="Q11" i="34"/>
  <c r="R11" i="34"/>
  <c r="S11" i="34"/>
  <c r="T11" i="34"/>
  <c r="U11" i="34"/>
  <c r="V11" i="34"/>
  <c r="W11" i="34"/>
  <c r="X11" i="34"/>
  <c r="O12" i="34"/>
  <c r="P12" i="34"/>
  <c r="Q12" i="34"/>
  <c r="R12" i="34"/>
  <c r="S12" i="34"/>
  <c r="T12" i="34"/>
  <c r="U12" i="34"/>
  <c r="V12" i="34"/>
  <c r="W12" i="34"/>
  <c r="X12" i="34"/>
  <c r="O13" i="34"/>
  <c r="P13" i="34"/>
  <c r="Q13" i="34"/>
  <c r="R13" i="34"/>
  <c r="S13" i="34"/>
  <c r="T13" i="34"/>
  <c r="U13" i="34"/>
  <c r="V13" i="34"/>
  <c r="W13" i="34"/>
  <c r="X13" i="34"/>
  <c r="O14" i="34"/>
  <c r="P14" i="34"/>
  <c r="Q14" i="34"/>
  <c r="R14" i="34"/>
  <c r="S14" i="34"/>
  <c r="T14" i="34"/>
  <c r="U14" i="34"/>
  <c r="V14" i="34"/>
  <c r="W14" i="34"/>
  <c r="X14" i="34"/>
  <c r="O15" i="34"/>
  <c r="P15" i="34"/>
  <c r="Q15" i="34"/>
  <c r="R15" i="34"/>
  <c r="S15" i="34"/>
  <c r="T15" i="34"/>
  <c r="U15" i="34"/>
  <c r="V15" i="34"/>
  <c r="W15" i="34"/>
  <c r="X15" i="34"/>
  <c r="O16" i="34"/>
  <c r="P16" i="34"/>
  <c r="Q16" i="34"/>
  <c r="R16" i="34"/>
  <c r="S16" i="34"/>
  <c r="T16" i="34"/>
  <c r="U16" i="34"/>
  <c r="V16" i="34"/>
  <c r="W16" i="34"/>
  <c r="X16" i="34"/>
  <c r="O17" i="34"/>
  <c r="P17" i="34"/>
  <c r="Q17" i="34"/>
  <c r="R17" i="34"/>
  <c r="S17" i="34"/>
  <c r="T17" i="34"/>
  <c r="U17" i="34"/>
  <c r="V17" i="34"/>
  <c r="W17" i="34"/>
  <c r="X17" i="34"/>
  <c r="O18" i="34"/>
  <c r="P18" i="34"/>
  <c r="Q18" i="34"/>
  <c r="R18" i="34"/>
  <c r="S18" i="34"/>
  <c r="T18" i="34"/>
  <c r="U18" i="34"/>
  <c r="V18" i="34"/>
  <c r="W18" i="34"/>
  <c r="X18" i="34"/>
  <c r="O19" i="34"/>
  <c r="P19" i="34"/>
  <c r="Q19" i="34"/>
  <c r="R19" i="34"/>
  <c r="S19" i="34"/>
  <c r="T19" i="34"/>
  <c r="U19" i="34"/>
  <c r="V19" i="34"/>
  <c r="W19" i="34"/>
  <c r="X19" i="34"/>
  <c r="O20" i="34"/>
  <c r="P20" i="34"/>
  <c r="Q20" i="34"/>
  <c r="R20" i="34"/>
  <c r="S20" i="34"/>
  <c r="T20" i="34"/>
  <c r="U20" i="34"/>
  <c r="V20" i="34"/>
  <c r="W20" i="34"/>
  <c r="X20" i="34"/>
  <c r="O21" i="34"/>
  <c r="P21" i="34"/>
  <c r="Q21" i="34"/>
  <c r="R21" i="34"/>
  <c r="S21" i="34"/>
  <c r="T21" i="34"/>
  <c r="U21" i="34"/>
  <c r="V21" i="34"/>
  <c r="W21" i="34"/>
  <c r="X21" i="34"/>
  <c r="O22" i="34"/>
  <c r="P22" i="34"/>
  <c r="Q22" i="34"/>
  <c r="R22" i="34"/>
  <c r="S22" i="34"/>
  <c r="T22" i="34"/>
  <c r="U22" i="34"/>
  <c r="V22" i="34"/>
  <c r="W22" i="34"/>
  <c r="X22" i="34"/>
  <c r="O23" i="34"/>
  <c r="P23" i="34"/>
  <c r="Q23" i="34"/>
  <c r="R23" i="34"/>
  <c r="S23" i="34"/>
  <c r="T23" i="34"/>
  <c r="U23" i="34"/>
  <c r="V23" i="34"/>
  <c r="W23" i="34"/>
  <c r="X23" i="34"/>
  <c r="O24" i="34"/>
  <c r="P24" i="34"/>
  <c r="Q24" i="34"/>
  <c r="R24" i="34"/>
  <c r="S24" i="34"/>
  <c r="T24" i="34"/>
  <c r="U24" i="34"/>
  <c r="V24" i="34"/>
  <c r="W24" i="34"/>
  <c r="X24" i="34"/>
  <c r="O25" i="34"/>
  <c r="P25" i="34"/>
  <c r="Q25" i="34"/>
  <c r="R25" i="34"/>
  <c r="S25" i="34"/>
  <c r="T25" i="34"/>
  <c r="U25" i="34"/>
  <c r="V25" i="34"/>
  <c r="W25" i="34"/>
  <c r="X25" i="34"/>
  <c r="O26" i="34"/>
  <c r="P26" i="34"/>
  <c r="Q26" i="34"/>
  <c r="R26" i="34"/>
  <c r="S26" i="34"/>
  <c r="T26" i="34"/>
  <c r="U26" i="34"/>
  <c r="V26" i="34"/>
  <c r="W26" i="34"/>
  <c r="X26" i="34"/>
  <c r="O27" i="34"/>
  <c r="P27" i="34"/>
  <c r="Q27" i="34"/>
  <c r="R27" i="34"/>
  <c r="S27" i="34"/>
  <c r="T27" i="34"/>
  <c r="U27" i="34"/>
  <c r="V27" i="34"/>
  <c r="W27" i="34"/>
  <c r="X27" i="34"/>
  <c r="O28" i="34"/>
  <c r="P28" i="34"/>
  <c r="Q28" i="34"/>
  <c r="R28" i="34"/>
  <c r="S28" i="34"/>
  <c r="T28" i="34"/>
  <c r="U28" i="34"/>
  <c r="V28" i="34"/>
  <c r="W28" i="34"/>
  <c r="X28" i="34"/>
  <c r="O29" i="34"/>
  <c r="P29" i="34"/>
  <c r="Q29" i="34"/>
  <c r="R29" i="34"/>
  <c r="S29" i="34"/>
  <c r="T29" i="34"/>
  <c r="U29" i="34"/>
  <c r="V29" i="34"/>
  <c r="W29" i="34"/>
  <c r="X29" i="34"/>
  <c r="O30" i="34"/>
  <c r="P30" i="34"/>
  <c r="Q30" i="34"/>
  <c r="R30" i="34"/>
  <c r="S30" i="34"/>
  <c r="T30" i="34"/>
  <c r="U30" i="34"/>
  <c r="V30" i="34"/>
  <c r="W30" i="34"/>
  <c r="X30" i="34"/>
  <c r="O31" i="34"/>
  <c r="P31" i="34"/>
  <c r="Q31" i="34"/>
  <c r="R31" i="34"/>
  <c r="S31" i="34"/>
  <c r="T31" i="34"/>
  <c r="U31" i="34"/>
  <c r="V31" i="34"/>
  <c r="W31" i="34"/>
  <c r="X31" i="34"/>
  <c r="O32" i="34"/>
  <c r="P32" i="34"/>
  <c r="Q32" i="34"/>
  <c r="R32" i="34"/>
  <c r="S32" i="34"/>
  <c r="T32" i="34"/>
  <c r="U32" i="34"/>
  <c r="V32" i="34"/>
  <c r="W32" i="34"/>
  <c r="X32" i="34"/>
  <c r="O33" i="34"/>
  <c r="P33" i="34"/>
  <c r="Q33" i="34"/>
  <c r="R33" i="34"/>
  <c r="S33" i="34"/>
  <c r="T33" i="34"/>
  <c r="U33" i="34"/>
  <c r="V33" i="34"/>
  <c r="W33" i="34"/>
  <c r="X33" i="34"/>
  <c r="O34" i="34"/>
  <c r="P34" i="34"/>
  <c r="Q34" i="34"/>
  <c r="R34" i="34"/>
  <c r="S34" i="34"/>
  <c r="T34" i="34"/>
  <c r="U34" i="34"/>
  <c r="V34" i="34"/>
  <c r="W34" i="34"/>
  <c r="X34" i="34"/>
  <c r="O35" i="34"/>
  <c r="P35" i="34"/>
  <c r="Q35" i="34"/>
  <c r="R35" i="34"/>
  <c r="S35" i="34"/>
  <c r="T35" i="34"/>
  <c r="U35" i="34"/>
  <c r="V35" i="34"/>
  <c r="W35" i="34"/>
  <c r="X35" i="34"/>
  <c r="O36" i="34"/>
  <c r="P36" i="34"/>
  <c r="Q36" i="34"/>
  <c r="R36" i="34"/>
  <c r="S36" i="34"/>
  <c r="T36" i="34"/>
  <c r="U36" i="34"/>
  <c r="V36" i="34"/>
  <c r="W36" i="34"/>
  <c r="X36" i="34"/>
  <c r="O37" i="34"/>
  <c r="P37" i="34"/>
  <c r="Q37" i="34"/>
  <c r="R37" i="34"/>
  <c r="S37" i="34"/>
  <c r="T37" i="34"/>
  <c r="U37" i="34"/>
  <c r="V37" i="34"/>
  <c r="W37" i="34"/>
  <c r="X37" i="34"/>
  <c r="O38" i="34"/>
  <c r="P38" i="34"/>
  <c r="Q38" i="34"/>
  <c r="R38" i="34"/>
  <c r="S38" i="34"/>
  <c r="T38" i="34"/>
  <c r="U38" i="34"/>
  <c r="V38" i="34"/>
  <c r="W38" i="34"/>
  <c r="X38" i="34"/>
  <c r="O39" i="34"/>
  <c r="P39" i="34"/>
  <c r="Q39" i="34"/>
  <c r="R39" i="34"/>
  <c r="S39" i="34"/>
  <c r="T39" i="34"/>
  <c r="U39" i="34"/>
  <c r="V39" i="34"/>
  <c r="W39" i="34"/>
  <c r="X39" i="34"/>
  <c r="O40" i="34"/>
  <c r="P40" i="34"/>
  <c r="Q40" i="34"/>
  <c r="R40" i="34"/>
  <c r="S40" i="34"/>
  <c r="T40" i="34"/>
  <c r="U40" i="34"/>
  <c r="V40" i="34"/>
  <c r="W40" i="34"/>
  <c r="X40" i="34"/>
  <c r="O41" i="34"/>
  <c r="P41" i="34"/>
  <c r="Q41" i="34"/>
  <c r="R41" i="34"/>
  <c r="S41" i="34"/>
  <c r="T41" i="34"/>
  <c r="U41" i="34"/>
  <c r="V41" i="34"/>
  <c r="W41" i="34"/>
  <c r="X41" i="34"/>
  <c r="O42" i="34"/>
  <c r="P42" i="34"/>
  <c r="Q42" i="34"/>
  <c r="R42" i="34"/>
  <c r="S42" i="34"/>
  <c r="T42" i="34"/>
  <c r="U42" i="34"/>
  <c r="V42" i="34"/>
  <c r="W42" i="34"/>
  <c r="X42" i="34"/>
  <c r="O43" i="34"/>
  <c r="P43" i="34"/>
  <c r="Q43" i="34"/>
  <c r="R43" i="34"/>
  <c r="S43" i="34"/>
  <c r="T43" i="34"/>
  <c r="U43" i="34"/>
  <c r="V43" i="34"/>
  <c r="W43" i="34"/>
  <c r="X43" i="34"/>
  <c r="O44" i="34"/>
  <c r="P44" i="34"/>
  <c r="Q44" i="34"/>
  <c r="R44" i="34"/>
  <c r="S44" i="34"/>
  <c r="T44" i="34"/>
  <c r="U44" i="34"/>
  <c r="V44" i="34"/>
  <c r="W44" i="34"/>
  <c r="X44" i="34"/>
  <c r="O45" i="34"/>
  <c r="P45" i="34"/>
  <c r="Q45" i="34"/>
  <c r="R45" i="34"/>
  <c r="S45" i="34"/>
  <c r="T45" i="34"/>
  <c r="U45" i="34"/>
  <c r="V45" i="34"/>
  <c r="W45" i="34"/>
  <c r="X45" i="34"/>
  <c r="O46" i="34"/>
  <c r="P46" i="34"/>
  <c r="Q46" i="34"/>
  <c r="R46" i="34"/>
  <c r="S46" i="34"/>
  <c r="T46" i="34"/>
  <c r="U46" i="34"/>
  <c r="V46" i="34"/>
  <c r="W46" i="34"/>
  <c r="X46" i="34"/>
  <c r="O47" i="34"/>
  <c r="P47" i="34"/>
  <c r="Q47" i="34"/>
  <c r="R47" i="34"/>
  <c r="S47" i="34"/>
  <c r="T47" i="34"/>
  <c r="U47" i="34"/>
  <c r="V47" i="34"/>
  <c r="W47" i="34"/>
  <c r="X47" i="34"/>
  <c r="O48" i="34"/>
  <c r="P48" i="34"/>
  <c r="Q48" i="34"/>
  <c r="R48" i="34"/>
  <c r="S48" i="34"/>
  <c r="T48" i="34"/>
  <c r="U48" i="34"/>
  <c r="V48" i="34"/>
  <c r="W48" i="34"/>
  <c r="X48" i="34"/>
  <c r="O49" i="34"/>
  <c r="P49" i="34"/>
  <c r="Q49" i="34"/>
  <c r="R49" i="34"/>
  <c r="S49" i="34"/>
  <c r="T49" i="34"/>
  <c r="U49" i="34"/>
  <c r="V49" i="34"/>
  <c r="W49" i="34"/>
  <c r="X49" i="34"/>
  <c r="O50" i="34"/>
  <c r="P50" i="34"/>
  <c r="Q50" i="34"/>
  <c r="R50" i="34"/>
  <c r="S50" i="34"/>
  <c r="T50" i="34"/>
  <c r="U50" i="34"/>
  <c r="V50" i="34"/>
  <c r="W50" i="34"/>
  <c r="X50" i="34"/>
  <c r="O51" i="34"/>
  <c r="P51" i="34"/>
  <c r="Q51" i="34"/>
  <c r="R51" i="34"/>
  <c r="S51" i="34"/>
  <c r="T51" i="34"/>
  <c r="U51" i="34"/>
  <c r="V51" i="34"/>
  <c r="W51" i="34"/>
  <c r="X51" i="34"/>
  <c r="O52" i="34"/>
  <c r="P52" i="34"/>
  <c r="Q52" i="34"/>
  <c r="R52" i="34"/>
  <c r="S52" i="34"/>
  <c r="T52" i="34"/>
  <c r="U52" i="34"/>
  <c r="V52" i="34"/>
  <c r="W52" i="34"/>
  <c r="X52" i="34"/>
  <c r="O53" i="34"/>
  <c r="P53" i="34"/>
  <c r="Q53" i="34"/>
  <c r="R53" i="34"/>
  <c r="S53" i="34"/>
  <c r="T53" i="34"/>
  <c r="U53" i="34"/>
  <c r="V53" i="34"/>
  <c r="W53" i="34"/>
  <c r="X53" i="34"/>
  <c r="O54" i="34"/>
  <c r="P54" i="34"/>
  <c r="Q54" i="34"/>
  <c r="R54" i="34"/>
  <c r="S54" i="34"/>
  <c r="T54" i="34"/>
  <c r="U54" i="34"/>
  <c r="V54" i="34"/>
  <c r="W54" i="34"/>
  <c r="X54" i="34"/>
  <c r="O55" i="34"/>
  <c r="P55" i="34"/>
  <c r="Q55" i="34"/>
  <c r="R55" i="34"/>
  <c r="S55" i="34"/>
  <c r="T55" i="34"/>
  <c r="U55" i="34"/>
  <c r="V55" i="34"/>
  <c r="W55" i="34"/>
  <c r="X55" i="34"/>
  <c r="O56" i="34"/>
  <c r="P56" i="34"/>
  <c r="Q56" i="34"/>
  <c r="R56" i="34"/>
  <c r="S56" i="34"/>
  <c r="T56" i="34"/>
  <c r="U56" i="34"/>
  <c r="V56" i="34"/>
  <c r="W56" i="34"/>
  <c r="X56" i="34"/>
  <c r="O57" i="34"/>
  <c r="P57" i="34"/>
  <c r="Q57" i="34"/>
  <c r="R57" i="34"/>
  <c r="S57" i="34"/>
  <c r="T57" i="34"/>
  <c r="U57" i="34"/>
  <c r="V57" i="34"/>
  <c r="W57" i="34"/>
  <c r="X57" i="34"/>
  <c r="O58" i="34"/>
  <c r="P58" i="34"/>
  <c r="Q58" i="34"/>
  <c r="R58" i="34"/>
  <c r="S58" i="34"/>
  <c r="T58" i="34"/>
  <c r="U58" i="34"/>
  <c r="V58" i="34"/>
  <c r="W58" i="34"/>
  <c r="X58" i="34"/>
  <c r="O59" i="34"/>
  <c r="P59" i="34"/>
  <c r="Q59" i="34"/>
  <c r="R59" i="34"/>
  <c r="S59" i="34"/>
  <c r="T59" i="34"/>
  <c r="U59" i="34"/>
  <c r="V59" i="34"/>
  <c r="W59" i="34"/>
  <c r="X59" i="34"/>
  <c r="O60" i="34"/>
  <c r="P60" i="34"/>
  <c r="Q60" i="34"/>
  <c r="R60" i="34"/>
  <c r="S60" i="34"/>
  <c r="T60" i="34"/>
  <c r="U60" i="34"/>
  <c r="V60" i="34"/>
  <c r="W60" i="34"/>
  <c r="X60" i="34"/>
  <c r="O61" i="34"/>
  <c r="P61" i="34"/>
  <c r="Q61" i="34"/>
  <c r="R61" i="34"/>
  <c r="S61" i="34"/>
  <c r="T61" i="34"/>
  <c r="U61" i="34"/>
  <c r="V61" i="34"/>
  <c r="W61" i="34"/>
  <c r="X61" i="34"/>
  <c r="O62" i="34"/>
  <c r="P62" i="34"/>
  <c r="Q62" i="34"/>
  <c r="R62" i="34"/>
  <c r="S62" i="34"/>
  <c r="T62" i="34"/>
  <c r="U62" i="34"/>
  <c r="V62" i="34"/>
  <c r="W62" i="34"/>
  <c r="X62" i="34"/>
  <c r="O63" i="34"/>
  <c r="P63" i="34"/>
  <c r="Q63" i="34"/>
  <c r="R63" i="34"/>
  <c r="S63" i="34"/>
  <c r="T63" i="34"/>
  <c r="U63" i="34"/>
  <c r="V63" i="34"/>
  <c r="W63" i="34"/>
  <c r="X63" i="34"/>
  <c r="O64" i="34"/>
  <c r="P64" i="34"/>
  <c r="Q64" i="34"/>
  <c r="R64" i="34"/>
  <c r="S64" i="34"/>
  <c r="T64" i="34"/>
  <c r="U64" i="34"/>
  <c r="V64" i="34"/>
  <c r="W64" i="34"/>
  <c r="X64" i="34"/>
  <c r="O65" i="34"/>
  <c r="P65" i="34"/>
  <c r="Q65" i="34"/>
  <c r="R65" i="34"/>
  <c r="S65" i="34"/>
  <c r="T65" i="34"/>
  <c r="U65" i="34"/>
  <c r="V65" i="34"/>
  <c r="W65" i="34"/>
  <c r="X65" i="34"/>
  <c r="O66" i="34"/>
  <c r="P66" i="34"/>
  <c r="Q66" i="34"/>
  <c r="R66" i="34"/>
  <c r="S66" i="34"/>
  <c r="T66" i="34"/>
  <c r="U66" i="34"/>
  <c r="V66" i="34"/>
  <c r="W66" i="34"/>
  <c r="X66" i="34"/>
  <c r="O67" i="34"/>
  <c r="P67" i="34"/>
  <c r="Q67" i="34"/>
  <c r="R67" i="34"/>
  <c r="S67" i="34"/>
  <c r="T67" i="34"/>
  <c r="U67" i="34"/>
  <c r="V67" i="34"/>
  <c r="W67" i="34"/>
  <c r="X67" i="34"/>
  <c r="O68" i="34"/>
  <c r="P68" i="34"/>
  <c r="Q68" i="34"/>
  <c r="R68" i="34"/>
  <c r="S68" i="34"/>
  <c r="T68" i="34"/>
  <c r="U68" i="34"/>
  <c r="V68" i="34"/>
  <c r="W68" i="34"/>
  <c r="X68" i="34"/>
  <c r="O69" i="34"/>
  <c r="P69" i="34"/>
  <c r="Q69" i="34"/>
  <c r="R69" i="34"/>
  <c r="S69" i="34"/>
  <c r="T69" i="34"/>
  <c r="U69" i="34"/>
  <c r="V69" i="34"/>
  <c r="W69" i="34"/>
  <c r="X69" i="34"/>
  <c r="O70" i="34"/>
  <c r="P70" i="34"/>
  <c r="Q70" i="34"/>
  <c r="R70" i="34"/>
  <c r="S70" i="34"/>
  <c r="T70" i="34"/>
  <c r="U70" i="34"/>
  <c r="V70" i="34"/>
  <c r="W70" i="34"/>
  <c r="X70" i="34"/>
  <c r="O71" i="34"/>
  <c r="P71" i="34"/>
  <c r="Q71" i="34"/>
  <c r="R71" i="34"/>
  <c r="S71" i="34"/>
  <c r="T71" i="34"/>
  <c r="U71" i="34"/>
  <c r="V71" i="34"/>
  <c r="W71" i="34"/>
  <c r="X71" i="34"/>
  <c r="O72" i="34"/>
  <c r="P72" i="34"/>
  <c r="Q72" i="34"/>
  <c r="R72" i="34"/>
  <c r="S72" i="34"/>
  <c r="T72" i="34"/>
  <c r="U72" i="34"/>
  <c r="V72" i="34"/>
  <c r="W72" i="34"/>
  <c r="X72" i="34"/>
  <c r="O73" i="34"/>
  <c r="P73" i="34"/>
  <c r="Q73" i="34"/>
  <c r="R73" i="34"/>
  <c r="S73" i="34"/>
  <c r="T73" i="34"/>
  <c r="U73" i="34"/>
  <c r="V73" i="34"/>
  <c r="W73" i="34"/>
  <c r="X73" i="34"/>
  <c r="O74" i="34"/>
  <c r="P74" i="34"/>
  <c r="Q74" i="34"/>
  <c r="R74" i="34"/>
  <c r="S74" i="34"/>
  <c r="T74" i="34"/>
  <c r="U74" i="34"/>
  <c r="V74" i="34"/>
  <c r="W74" i="34"/>
  <c r="X74" i="34"/>
  <c r="O75" i="34"/>
  <c r="P75" i="34"/>
  <c r="Q75" i="34"/>
  <c r="R75" i="34"/>
  <c r="S75" i="34"/>
  <c r="T75" i="34"/>
  <c r="U75" i="34"/>
  <c r="V75" i="34"/>
  <c r="W75" i="34"/>
  <c r="X75" i="34"/>
  <c r="O76" i="34"/>
  <c r="P76" i="34"/>
  <c r="Q76" i="34"/>
  <c r="R76" i="34"/>
  <c r="S76" i="34"/>
  <c r="T76" i="34"/>
  <c r="U76" i="34"/>
  <c r="V76" i="34"/>
  <c r="W76" i="34"/>
  <c r="X76" i="34"/>
  <c r="O77" i="34"/>
  <c r="P77" i="34"/>
  <c r="Q77" i="34"/>
  <c r="R77" i="34"/>
  <c r="S77" i="34"/>
  <c r="T77" i="34"/>
  <c r="U77" i="34"/>
  <c r="V77" i="34"/>
  <c r="W77" i="34"/>
  <c r="X77" i="34"/>
  <c r="O78" i="34"/>
  <c r="P78" i="34"/>
  <c r="Q78" i="34"/>
  <c r="R78" i="34"/>
  <c r="S78" i="34"/>
  <c r="T78" i="34"/>
  <c r="U78" i="34"/>
  <c r="V78" i="34"/>
  <c r="W78" i="34"/>
  <c r="X78" i="34"/>
  <c r="O79" i="34"/>
  <c r="P79" i="34"/>
  <c r="Q79" i="34"/>
  <c r="R79" i="34"/>
  <c r="S79" i="34"/>
  <c r="T79" i="34"/>
  <c r="U79" i="34"/>
  <c r="V79" i="34"/>
  <c r="W79" i="34"/>
  <c r="X79" i="34"/>
  <c r="O80" i="34"/>
  <c r="P80" i="34"/>
  <c r="Q80" i="34"/>
  <c r="R80" i="34"/>
  <c r="S80" i="34"/>
  <c r="T80" i="34"/>
  <c r="U80" i="34"/>
  <c r="V80" i="34"/>
  <c r="W80" i="34"/>
  <c r="X80" i="34"/>
  <c r="O81" i="34"/>
  <c r="P81" i="34"/>
  <c r="Q81" i="34"/>
  <c r="R81" i="34"/>
  <c r="S81" i="34"/>
  <c r="T81" i="34"/>
  <c r="U81" i="34"/>
  <c r="V81" i="34"/>
  <c r="W81" i="34"/>
  <c r="X81" i="34"/>
  <c r="O82" i="34"/>
  <c r="P82" i="34"/>
  <c r="Q82" i="34"/>
  <c r="R82" i="34"/>
  <c r="S82" i="34"/>
  <c r="T82" i="34"/>
  <c r="U82" i="34"/>
  <c r="V82" i="34"/>
  <c r="W82" i="34"/>
  <c r="X82" i="34"/>
  <c r="O83" i="34"/>
  <c r="P83" i="34"/>
  <c r="Q83" i="34"/>
  <c r="R83" i="34"/>
  <c r="S83" i="34"/>
  <c r="T83" i="34"/>
  <c r="U83" i="34"/>
  <c r="V83" i="34"/>
  <c r="W83" i="34"/>
  <c r="X83" i="34"/>
  <c r="O84" i="34"/>
  <c r="P84" i="34"/>
  <c r="Q84" i="34"/>
  <c r="R84" i="34"/>
  <c r="S84" i="34"/>
  <c r="T84" i="34"/>
  <c r="U84" i="34"/>
  <c r="V84" i="34"/>
  <c r="W84" i="34"/>
  <c r="X84" i="34"/>
  <c r="O85" i="34"/>
  <c r="P85" i="34"/>
  <c r="Q85" i="34"/>
  <c r="R85" i="34"/>
  <c r="S85" i="34"/>
  <c r="T85" i="34"/>
  <c r="U85" i="34"/>
  <c r="V85" i="34"/>
  <c r="W85" i="34"/>
  <c r="X85" i="34"/>
  <c r="O86" i="34"/>
  <c r="P86" i="34"/>
  <c r="Q86" i="34"/>
  <c r="R86" i="34"/>
  <c r="S86" i="34"/>
  <c r="T86" i="34"/>
  <c r="U86" i="34"/>
  <c r="V86" i="34"/>
  <c r="W86" i="34"/>
  <c r="X86" i="34"/>
  <c r="O87" i="34"/>
  <c r="P87" i="34"/>
  <c r="Q87" i="34"/>
  <c r="R87" i="34"/>
  <c r="S87" i="34"/>
  <c r="T87" i="34"/>
  <c r="U87" i="34"/>
  <c r="V87" i="34"/>
  <c r="W87" i="34"/>
  <c r="X87" i="34"/>
  <c r="O88" i="34"/>
  <c r="P88" i="34"/>
  <c r="Q88" i="34"/>
  <c r="R88" i="34"/>
  <c r="S88" i="34"/>
  <c r="T88" i="34"/>
  <c r="U88" i="34"/>
  <c r="V88" i="34"/>
  <c r="W88" i="34"/>
  <c r="X88" i="34"/>
  <c r="O89" i="34"/>
  <c r="P89" i="34"/>
  <c r="Q89" i="34"/>
  <c r="R89" i="34"/>
  <c r="S89" i="34"/>
  <c r="T89" i="34"/>
  <c r="U89" i="34"/>
  <c r="V89" i="34"/>
  <c r="W89" i="34"/>
  <c r="X89" i="34"/>
  <c r="O90" i="34"/>
  <c r="P90" i="34"/>
  <c r="Q90" i="34"/>
  <c r="R90" i="34"/>
  <c r="S90" i="34"/>
  <c r="T90" i="34"/>
  <c r="U90" i="34"/>
  <c r="V90" i="34"/>
  <c r="W90" i="34"/>
  <c r="X90" i="34"/>
  <c r="O91" i="34"/>
  <c r="P91" i="34"/>
  <c r="Q91" i="34"/>
  <c r="R91" i="34"/>
  <c r="S91" i="34"/>
  <c r="T91" i="34"/>
  <c r="U91" i="34"/>
  <c r="V91" i="34"/>
  <c r="W91" i="34"/>
  <c r="X91" i="34"/>
  <c r="O92" i="34"/>
  <c r="P92" i="34"/>
  <c r="Q92" i="34"/>
  <c r="R92" i="34"/>
  <c r="S92" i="34"/>
  <c r="T92" i="34"/>
  <c r="U92" i="34"/>
  <c r="V92" i="34"/>
  <c r="W92" i="34"/>
  <c r="X92" i="34"/>
  <c r="AB4" i="34"/>
  <c r="AC4" i="34"/>
  <c r="AD4" i="34"/>
  <c r="AE4" i="34"/>
  <c r="AF4" i="34"/>
  <c r="AG4" i="34"/>
  <c r="AH4" i="34"/>
  <c r="AI4" i="34"/>
  <c r="AJ4" i="34"/>
  <c r="AK4" i="34"/>
  <c r="AB5" i="34"/>
  <c r="AC5" i="34"/>
  <c r="AD5" i="34"/>
  <c r="AE5" i="34"/>
  <c r="AF5" i="34"/>
  <c r="AG5" i="34"/>
  <c r="AH5" i="34"/>
  <c r="AI5" i="34"/>
  <c r="AJ5" i="34"/>
  <c r="AK5" i="34"/>
  <c r="AB6" i="34"/>
  <c r="AC6" i="34"/>
  <c r="AD6" i="34"/>
  <c r="AE6" i="34"/>
  <c r="AF6" i="34"/>
  <c r="AG6" i="34"/>
  <c r="AH6" i="34"/>
  <c r="AI6" i="34"/>
  <c r="AJ6" i="34"/>
  <c r="AK6" i="34"/>
  <c r="AB7" i="34"/>
  <c r="AC7" i="34"/>
  <c r="AD7" i="34"/>
  <c r="AE7" i="34"/>
  <c r="AF7" i="34"/>
  <c r="AG7" i="34"/>
  <c r="AH7" i="34"/>
  <c r="AI7" i="34"/>
  <c r="AJ7" i="34"/>
  <c r="AK7" i="34"/>
  <c r="AB8" i="34"/>
  <c r="AC8" i="34"/>
  <c r="AD8" i="34"/>
  <c r="AE8" i="34"/>
  <c r="AF8" i="34"/>
  <c r="AG8" i="34"/>
  <c r="AH8" i="34"/>
  <c r="AI8" i="34"/>
  <c r="AJ8" i="34"/>
  <c r="AK8" i="34"/>
  <c r="AB9" i="34"/>
  <c r="AC9" i="34"/>
  <c r="AD9" i="34"/>
  <c r="AE9" i="34"/>
  <c r="AF9" i="34"/>
  <c r="AG9" i="34"/>
  <c r="AH9" i="34"/>
  <c r="AI9" i="34"/>
  <c r="AJ9" i="34"/>
  <c r="AK9" i="34"/>
  <c r="AB10" i="34"/>
  <c r="AC10" i="34"/>
  <c r="AD10" i="34"/>
  <c r="AE10" i="34"/>
  <c r="AF10" i="34"/>
  <c r="AG10" i="34"/>
  <c r="AH10" i="34"/>
  <c r="AI10" i="34"/>
  <c r="AJ10" i="34"/>
  <c r="AK10" i="34"/>
  <c r="AB11" i="34"/>
  <c r="AC11" i="34"/>
  <c r="AD11" i="34"/>
  <c r="AE11" i="34"/>
  <c r="AF11" i="34"/>
  <c r="AG11" i="34"/>
  <c r="AH11" i="34"/>
  <c r="AI11" i="34"/>
  <c r="AJ11" i="34"/>
  <c r="AK11" i="34"/>
  <c r="AB12" i="34"/>
  <c r="AC12" i="34"/>
  <c r="AD12" i="34"/>
  <c r="AE12" i="34"/>
  <c r="AF12" i="34"/>
  <c r="AG12" i="34"/>
  <c r="AH12" i="34"/>
  <c r="AI12" i="34"/>
  <c r="AJ12" i="34"/>
  <c r="AK12" i="34"/>
  <c r="AB13" i="34"/>
  <c r="AC13" i="34"/>
  <c r="AD13" i="34"/>
  <c r="AE13" i="34"/>
  <c r="AF13" i="34"/>
  <c r="AG13" i="34"/>
  <c r="AH13" i="34"/>
  <c r="AI13" i="34"/>
  <c r="AJ13" i="34"/>
  <c r="AK13" i="34"/>
  <c r="AB14" i="34"/>
  <c r="AC14" i="34"/>
  <c r="AD14" i="34"/>
  <c r="AE14" i="34"/>
  <c r="AF14" i="34"/>
  <c r="AG14" i="34"/>
  <c r="AH14" i="34"/>
  <c r="AI14" i="34"/>
  <c r="AJ14" i="34"/>
  <c r="AK14" i="34"/>
  <c r="AB15" i="34"/>
  <c r="AC15" i="34"/>
  <c r="AD15" i="34"/>
  <c r="AE15" i="34"/>
  <c r="AF15" i="34"/>
  <c r="AG15" i="34"/>
  <c r="AH15" i="34"/>
  <c r="AI15" i="34"/>
  <c r="AJ15" i="34"/>
  <c r="AK15" i="34"/>
  <c r="AB16" i="34"/>
  <c r="AC16" i="34"/>
  <c r="AD16" i="34"/>
  <c r="AE16" i="34"/>
  <c r="AF16" i="34"/>
  <c r="AG16" i="34"/>
  <c r="AH16" i="34"/>
  <c r="AI16" i="34"/>
  <c r="AJ16" i="34"/>
  <c r="AK16" i="34"/>
  <c r="AB17" i="34"/>
  <c r="AC17" i="34"/>
  <c r="AD17" i="34"/>
  <c r="AE17" i="34"/>
  <c r="AF17" i="34"/>
  <c r="AG17" i="34"/>
  <c r="AH17" i="34"/>
  <c r="AI17" i="34"/>
  <c r="AJ17" i="34"/>
  <c r="AK17" i="34"/>
  <c r="AB18" i="34"/>
  <c r="AC18" i="34"/>
  <c r="AD18" i="34"/>
  <c r="AE18" i="34"/>
  <c r="AF18" i="34"/>
  <c r="AG18" i="34"/>
  <c r="AH18" i="34"/>
  <c r="AI18" i="34"/>
  <c r="AJ18" i="34"/>
  <c r="AK18" i="34"/>
  <c r="AB19" i="34"/>
  <c r="AC19" i="34"/>
  <c r="AD19" i="34"/>
  <c r="AE19" i="34"/>
  <c r="AF19" i="34"/>
  <c r="AG19" i="34"/>
  <c r="AH19" i="34"/>
  <c r="AI19" i="34"/>
  <c r="AJ19" i="34"/>
  <c r="AK19" i="34"/>
  <c r="AB20" i="34"/>
  <c r="AC20" i="34"/>
  <c r="AD20" i="34"/>
  <c r="AE20" i="34"/>
  <c r="AF20" i="34"/>
  <c r="AG20" i="34"/>
  <c r="AH20" i="34"/>
  <c r="AI20" i="34"/>
  <c r="AJ20" i="34"/>
  <c r="AK20" i="34"/>
  <c r="AB21" i="34"/>
  <c r="AC21" i="34"/>
  <c r="AD21" i="34"/>
  <c r="AE21" i="34"/>
  <c r="AF21" i="34"/>
  <c r="AG21" i="34"/>
  <c r="AH21" i="34"/>
  <c r="AI21" i="34"/>
  <c r="AJ21" i="34"/>
  <c r="AK21" i="34"/>
  <c r="AB22" i="34"/>
  <c r="AC22" i="34"/>
  <c r="AD22" i="34"/>
  <c r="AE22" i="34"/>
  <c r="AF22" i="34"/>
  <c r="AG22" i="34"/>
  <c r="AH22" i="34"/>
  <c r="AI22" i="34"/>
  <c r="AJ22" i="34"/>
  <c r="AK22" i="34"/>
  <c r="AB23" i="34"/>
  <c r="AC23" i="34"/>
  <c r="AD23" i="34"/>
  <c r="AE23" i="34"/>
  <c r="AF23" i="34"/>
  <c r="AG23" i="34"/>
  <c r="AH23" i="34"/>
  <c r="AI23" i="34"/>
  <c r="AJ23" i="34"/>
  <c r="AK23" i="34"/>
  <c r="AB24" i="34"/>
  <c r="AC24" i="34"/>
  <c r="AD24" i="34"/>
  <c r="AE24" i="34"/>
  <c r="AF24" i="34"/>
  <c r="AG24" i="34"/>
  <c r="AH24" i="34"/>
  <c r="AI24" i="34"/>
  <c r="AJ24" i="34"/>
  <c r="AK24" i="34"/>
  <c r="AB25" i="34"/>
  <c r="AC25" i="34"/>
  <c r="AD25" i="34"/>
  <c r="AE25" i="34"/>
  <c r="AF25" i="34"/>
  <c r="AG25" i="34"/>
  <c r="AH25" i="34"/>
  <c r="AI25" i="34"/>
  <c r="AJ25" i="34"/>
  <c r="AK25" i="34"/>
  <c r="AB26" i="34"/>
  <c r="AC26" i="34"/>
  <c r="AD26" i="34"/>
  <c r="AE26" i="34"/>
  <c r="AF26" i="34"/>
  <c r="AG26" i="34"/>
  <c r="AH26" i="34"/>
  <c r="AI26" i="34"/>
  <c r="AJ26" i="34"/>
  <c r="AK26" i="34"/>
  <c r="AB27" i="34"/>
  <c r="AC27" i="34"/>
  <c r="AD27" i="34"/>
  <c r="AE27" i="34"/>
  <c r="AF27" i="34"/>
  <c r="AG27" i="34"/>
  <c r="AH27" i="34"/>
  <c r="AI27" i="34"/>
  <c r="AJ27" i="34"/>
  <c r="AK27" i="34"/>
  <c r="AB28" i="34"/>
  <c r="AC28" i="34"/>
  <c r="AD28" i="34"/>
  <c r="AE28" i="34"/>
  <c r="AF28" i="34"/>
  <c r="AG28" i="34"/>
  <c r="AH28" i="34"/>
  <c r="AI28" i="34"/>
  <c r="AJ28" i="34"/>
  <c r="AK28" i="34"/>
  <c r="AB29" i="34"/>
  <c r="AC29" i="34"/>
  <c r="AD29" i="34"/>
  <c r="AE29" i="34"/>
  <c r="AF29" i="34"/>
  <c r="AG29" i="34"/>
  <c r="AH29" i="34"/>
  <c r="AI29" i="34"/>
  <c r="AJ29" i="34"/>
  <c r="AK29" i="34"/>
  <c r="AB30" i="34"/>
  <c r="AC30" i="34"/>
  <c r="AD30" i="34"/>
  <c r="AE30" i="34"/>
  <c r="AF30" i="34"/>
  <c r="AG30" i="34"/>
  <c r="AH30" i="34"/>
  <c r="AI30" i="34"/>
  <c r="AJ30" i="34"/>
  <c r="AK30" i="34"/>
  <c r="AB31" i="34"/>
  <c r="AC31" i="34"/>
  <c r="AD31" i="34"/>
  <c r="AE31" i="34"/>
  <c r="AF31" i="34"/>
  <c r="AG31" i="34"/>
  <c r="AH31" i="34"/>
  <c r="AI31" i="34"/>
  <c r="AJ31" i="34"/>
  <c r="AK31" i="34"/>
  <c r="AB32" i="34"/>
  <c r="AC32" i="34"/>
  <c r="AD32" i="34"/>
  <c r="AE32" i="34"/>
  <c r="AF32" i="34"/>
  <c r="AG32" i="34"/>
  <c r="AH32" i="34"/>
  <c r="AI32" i="34"/>
  <c r="AJ32" i="34"/>
  <c r="AK32" i="34"/>
  <c r="AB33" i="34"/>
  <c r="AC33" i="34"/>
  <c r="AD33" i="34"/>
  <c r="AE33" i="34"/>
  <c r="AF33" i="34"/>
  <c r="AG33" i="34"/>
  <c r="AH33" i="34"/>
  <c r="AI33" i="34"/>
  <c r="AJ33" i="34"/>
  <c r="AK33" i="34"/>
  <c r="AB34" i="34"/>
  <c r="AC34" i="34"/>
  <c r="AD34" i="34"/>
  <c r="AE34" i="34"/>
  <c r="AF34" i="34"/>
  <c r="AG34" i="34"/>
  <c r="AH34" i="34"/>
  <c r="AI34" i="34"/>
  <c r="AJ34" i="34"/>
  <c r="AK34" i="34"/>
  <c r="AB35" i="34"/>
  <c r="AC35" i="34"/>
  <c r="AD35" i="34"/>
  <c r="AE35" i="34"/>
  <c r="AF35" i="34"/>
  <c r="AG35" i="34"/>
  <c r="AH35" i="34"/>
  <c r="AI35" i="34"/>
  <c r="AJ35" i="34"/>
  <c r="AK35" i="34"/>
  <c r="AB36" i="34"/>
  <c r="AC36" i="34"/>
  <c r="AD36" i="34"/>
  <c r="AE36" i="34"/>
  <c r="AF36" i="34"/>
  <c r="AG36" i="34"/>
  <c r="AH36" i="34"/>
  <c r="AI36" i="34"/>
  <c r="AJ36" i="34"/>
  <c r="AK36" i="34"/>
  <c r="AB37" i="34"/>
  <c r="AC37" i="34"/>
  <c r="AD37" i="34"/>
  <c r="AE37" i="34"/>
  <c r="AF37" i="34"/>
  <c r="AG37" i="34"/>
  <c r="AH37" i="34"/>
  <c r="AI37" i="34"/>
  <c r="AJ37" i="34"/>
  <c r="AK37" i="34"/>
  <c r="AB38" i="34"/>
  <c r="AC38" i="34"/>
  <c r="AD38" i="34"/>
  <c r="AE38" i="34"/>
  <c r="AF38" i="34"/>
  <c r="AG38" i="34"/>
  <c r="AH38" i="34"/>
  <c r="AI38" i="34"/>
  <c r="AJ38" i="34"/>
  <c r="AK38" i="34"/>
  <c r="AB39" i="34"/>
  <c r="AC39" i="34"/>
  <c r="AD39" i="34"/>
  <c r="AE39" i="34"/>
  <c r="AF39" i="34"/>
  <c r="AG39" i="34"/>
  <c r="AH39" i="34"/>
  <c r="AI39" i="34"/>
  <c r="AJ39" i="34"/>
  <c r="AK39" i="34"/>
  <c r="AB40" i="34"/>
  <c r="AC40" i="34"/>
  <c r="AD40" i="34"/>
  <c r="AE40" i="34"/>
  <c r="AF40" i="34"/>
  <c r="AG40" i="34"/>
  <c r="AH40" i="34"/>
  <c r="AI40" i="34"/>
  <c r="AJ40" i="34"/>
  <c r="AK40" i="34"/>
  <c r="AB41" i="34"/>
  <c r="AC41" i="34"/>
  <c r="AD41" i="34"/>
  <c r="AE41" i="34"/>
  <c r="AF41" i="34"/>
  <c r="AG41" i="34"/>
  <c r="AH41" i="34"/>
  <c r="AI41" i="34"/>
  <c r="AJ41" i="34"/>
  <c r="AK41" i="34"/>
  <c r="AB42" i="34"/>
  <c r="AC42" i="34"/>
  <c r="AD42" i="34"/>
  <c r="AE42" i="34"/>
  <c r="AF42" i="34"/>
  <c r="AG42" i="34"/>
  <c r="AH42" i="34"/>
  <c r="AI42" i="34"/>
  <c r="AJ42" i="34"/>
  <c r="AK42" i="34"/>
  <c r="AB43" i="34"/>
  <c r="AC43" i="34"/>
  <c r="AD43" i="34"/>
  <c r="AE43" i="34"/>
  <c r="AF43" i="34"/>
  <c r="AG43" i="34"/>
  <c r="AH43" i="34"/>
  <c r="AI43" i="34"/>
  <c r="AJ43" i="34"/>
  <c r="AK43" i="34"/>
  <c r="AB44" i="34"/>
  <c r="AC44" i="34"/>
  <c r="AD44" i="34"/>
  <c r="AE44" i="34"/>
  <c r="AF44" i="34"/>
  <c r="AG44" i="34"/>
  <c r="AH44" i="34"/>
  <c r="AI44" i="34"/>
  <c r="AJ44" i="34"/>
  <c r="AK44" i="34"/>
  <c r="AB45" i="34"/>
  <c r="AC45" i="34"/>
  <c r="AD45" i="34"/>
  <c r="AE45" i="34"/>
  <c r="AF45" i="34"/>
  <c r="AG45" i="34"/>
  <c r="AH45" i="34"/>
  <c r="AI45" i="34"/>
  <c r="AJ45" i="34"/>
  <c r="AK45" i="34"/>
  <c r="AB46" i="34"/>
  <c r="AC46" i="34"/>
  <c r="AD46" i="34"/>
  <c r="AE46" i="34"/>
  <c r="AF46" i="34"/>
  <c r="AG46" i="34"/>
  <c r="AH46" i="34"/>
  <c r="AI46" i="34"/>
  <c r="AJ46" i="34"/>
  <c r="AK46" i="34"/>
  <c r="AB47" i="34"/>
  <c r="AC47" i="34"/>
  <c r="AD47" i="34"/>
  <c r="AE47" i="34"/>
  <c r="AF47" i="34"/>
  <c r="AG47" i="34"/>
  <c r="AH47" i="34"/>
  <c r="AI47" i="34"/>
  <c r="AJ47" i="34"/>
  <c r="AK47" i="34"/>
  <c r="AB48" i="34"/>
  <c r="AC48" i="34"/>
  <c r="AD48" i="34"/>
  <c r="AE48" i="34"/>
  <c r="AF48" i="34"/>
  <c r="AG48" i="34"/>
  <c r="AH48" i="34"/>
  <c r="AI48" i="34"/>
  <c r="AJ48" i="34"/>
  <c r="AK48" i="34"/>
  <c r="AB49" i="34"/>
  <c r="AC49" i="34"/>
  <c r="AD49" i="34"/>
  <c r="AE49" i="34"/>
  <c r="AF49" i="34"/>
  <c r="AG49" i="34"/>
  <c r="AH49" i="34"/>
  <c r="AI49" i="34"/>
  <c r="AJ49" i="34"/>
  <c r="AK49" i="34"/>
  <c r="AB50" i="34"/>
  <c r="AC50" i="34"/>
  <c r="AD50" i="34"/>
  <c r="AE50" i="34"/>
  <c r="AF50" i="34"/>
  <c r="AG50" i="34"/>
  <c r="AH50" i="34"/>
  <c r="AI50" i="34"/>
  <c r="AJ50" i="34"/>
  <c r="AK50" i="34"/>
  <c r="AB51" i="34"/>
  <c r="AC51" i="34"/>
  <c r="AD51" i="34"/>
  <c r="AE51" i="34"/>
  <c r="AF51" i="34"/>
  <c r="AG51" i="34"/>
  <c r="AH51" i="34"/>
  <c r="AI51" i="34"/>
  <c r="AJ51" i="34"/>
  <c r="AK51" i="34"/>
  <c r="AB52" i="34"/>
  <c r="AC52" i="34"/>
  <c r="AD52" i="34"/>
  <c r="AE52" i="34"/>
  <c r="AF52" i="34"/>
  <c r="AG52" i="34"/>
  <c r="AH52" i="34"/>
  <c r="AI52" i="34"/>
  <c r="AJ52" i="34"/>
  <c r="AK52" i="34"/>
  <c r="AB53" i="34"/>
  <c r="AC53" i="34"/>
  <c r="AD53" i="34"/>
  <c r="AE53" i="34"/>
  <c r="AF53" i="34"/>
  <c r="AG53" i="34"/>
  <c r="AH53" i="34"/>
  <c r="AI53" i="34"/>
  <c r="AJ53" i="34"/>
  <c r="AK53" i="34"/>
  <c r="AB54" i="34"/>
  <c r="AC54" i="34"/>
  <c r="AD54" i="34"/>
  <c r="AE54" i="34"/>
  <c r="AF54" i="34"/>
  <c r="AG54" i="34"/>
  <c r="AH54" i="34"/>
  <c r="AI54" i="34"/>
  <c r="AJ54" i="34"/>
  <c r="AK54" i="34"/>
  <c r="AB55" i="34"/>
  <c r="AC55" i="34"/>
  <c r="AD55" i="34"/>
  <c r="AE55" i="34"/>
  <c r="AF55" i="34"/>
  <c r="AG55" i="34"/>
  <c r="AH55" i="34"/>
  <c r="AI55" i="34"/>
  <c r="AJ55" i="34"/>
  <c r="AK55" i="34"/>
  <c r="AB56" i="34"/>
  <c r="AC56" i="34"/>
  <c r="AD56" i="34"/>
  <c r="AE56" i="34"/>
  <c r="AF56" i="34"/>
  <c r="AG56" i="34"/>
  <c r="AH56" i="34"/>
  <c r="AI56" i="34"/>
  <c r="AJ56" i="34"/>
  <c r="AK56" i="34"/>
  <c r="AB57" i="34"/>
  <c r="AC57" i="34"/>
  <c r="AD57" i="34"/>
  <c r="AE57" i="34"/>
  <c r="AF57" i="34"/>
  <c r="AG57" i="34"/>
  <c r="AH57" i="34"/>
  <c r="AI57" i="34"/>
  <c r="AJ57" i="34"/>
  <c r="AK57" i="34"/>
  <c r="AB58" i="34"/>
  <c r="AC58" i="34"/>
  <c r="AD58" i="34"/>
  <c r="AE58" i="34"/>
  <c r="AF58" i="34"/>
  <c r="AG58" i="34"/>
  <c r="AH58" i="34"/>
  <c r="AI58" i="34"/>
  <c r="AJ58" i="34"/>
  <c r="AK58" i="34"/>
  <c r="AB59" i="34"/>
  <c r="AC59" i="34"/>
  <c r="AD59" i="34"/>
  <c r="AE59" i="34"/>
  <c r="AF59" i="34"/>
  <c r="AG59" i="34"/>
  <c r="AH59" i="34"/>
  <c r="AI59" i="34"/>
  <c r="AJ59" i="34"/>
  <c r="AK59" i="34"/>
  <c r="AB60" i="34"/>
  <c r="AC60" i="34"/>
  <c r="AD60" i="34"/>
  <c r="AE60" i="34"/>
  <c r="AF60" i="34"/>
  <c r="AG60" i="34"/>
  <c r="AH60" i="34"/>
  <c r="AI60" i="34"/>
  <c r="AJ60" i="34"/>
  <c r="AK60" i="34"/>
  <c r="AB61" i="34"/>
  <c r="AC61" i="34"/>
  <c r="AD61" i="34"/>
  <c r="AE61" i="34"/>
  <c r="AF61" i="34"/>
  <c r="AG61" i="34"/>
  <c r="AH61" i="34"/>
  <c r="AI61" i="34"/>
  <c r="AJ61" i="34"/>
  <c r="AK61" i="34"/>
  <c r="AB62" i="34"/>
  <c r="AC62" i="34"/>
  <c r="AD62" i="34"/>
  <c r="AE62" i="34"/>
  <c r="AF62" i="34"/>
  <c r="AG62" i="34"/>
  <c r="AH62" i="34"/>
  <c r="AI62" i="34"/>
  <c r="AJ62" i="34"/>
  <c r="AK62" i="34"/>
  <c r="AB63" i="34"/>
  <c r="AC63" i="34"/>
  <c r="AD63" i="34"/>
  <c r="AE63" i="34"/>
  <c r="AF63" i="34"/>
  <c r="AG63" i="34"/>
  <c r="AH63" i="34"/>
  <c r="AI63" i="34"/>
  <c r="AJ63" i="34"/>
  <c r="AK63" i="34"/>
  <c r="AB64" i="34"/>
  <c r="AC64" i="34"/>
  <c r="AD64" i="34"/>
  <c r="AE64" i="34"/>
  <c r="AF64" i="34"/>
  <c r="AG64" i="34"/>
  <c r="AH64" i="34"/>
  <c r="AI64" i="34"/>
  <c r="AJ64" i="34"/>
  <c r="AK64" i="34"/>
  <c r="AB65" i="34"/>
  <c r="AC65" i="34"/>
  <c r="AD65" i="34"/>
  <c r="AE65" i="34"/>
  <c r="AF65" i="34"/>
  <c r="AG65" i="34"/>
  <c r="AH65" i="34"/>
  <c r="AI65" i="34"/>
  <c r="AJ65" i="34"/>
  <c r="AK65" i="34"/>
  <c r="AB66" i="34"/>
  <c r="AC66" i="34"/>
  <c r="AD66" i="34"/>
  <c r="AE66" i="34"/>
  <c r="AF66" i="34"/>
  <c r="AG66" i="34"/>
  <c r="AH66" i="34"/>
  <c r="AI66" i="34"/>
  <c r="AJ66" i="34"/>
  <c r="AK66" i="34"/>
  <c r="AB67" i="34"/>
  <c r="AC67" i="34"/>
  <c r="AD67" i="34"/>
  <c r="AE67" i="34"/>
  <c r="AF67" i="34"/>
  <c r="AG67" i="34"/>
  <c r="AH67" i="34"/>
  <c r="AI67" i="34"/>
  <c r="AJ67" i="34"/>
  <c r="AK67" i="34"/>
  <c r="AB68" i="34"/>
  <c r="AC68" i="34"/>
  <c r="AD68" i="34"/>
  <c r="AE68" i="34"/>
  <c r="AF68" i="34"/>
  <c r="AG68" i="34"/>
  <c r="AH68" i="34"/>
  <c r="AI68" i="34"/>
  <c r="AJ68" i="34"/>
  <c r="AK68" i="34"/>
  <c r="AB69" i="34"/>
  <c r="AC69" i="34"/>
  <c r="AD69" i="34"/>
  <c r="AE69" i="34"/>
  <c r="AF69" i="34"/>
  <c r="AG69" i="34"/>
  <c r="AH69" i="34"/>
  <c r="AI69" i="34"/>
  <c r="AJ69" i="34"/>
  <c r="AK69" i="34"/>
  <c r="AB70" i="34"/>
  <c r="AC70" i="34"/>
  <c r="AD70" i="34"/>
  <c r="AE70" i="34"/>
  <c r="AF70" i="34"/>
  <c r="AG70" i="34"/>
  <c r="AH70" i="34"/>
  <c r="AI70" i="34"/>
  <c r="AJ70" i="34"/>
  <c r="AK70" i="34"/>
  <c r="AB71" i="34"/>
  <c r="AC71" i="34"/>
  <c r="AD71" i="34"/>
  <c r="AE71" i="34"/>
  <c r="AF71" i="34"/>
  <c r="AG71" i="34"/>
  <c r="AH71" i="34"/>
  <c r="AI71" i="34"/>
  <c r="AJ71" i="34"/>
  <c r="AK71" i="34"/>
  <c r="AB72" i="34"/>
  <c r="AC72" i="34"/>
  <c r="AD72" i="34"/>
  <c r="AE72" i="34"/>
  <c r="AF72" i="34"/>
  <c r="AG72" i="34"/>
  <c r="AH72" i="34"/>
  <c r="AI72" i="34"/>
  <c r="AJ72" i="34"/>
  <c r="AK72" i="34"/>
  <c r="AB73" i="34"/>
  <c r="AC73" i="34"/>
  <c r="AD73" i="34"/>
  <c r="AE73" i="34"/>
  <c r="AF73" i="34"/>
  <c r="AG73" i="34"/>
  <c r="AH73" i="34"/>
  <c r="AI73" i="34"/>
  <c r="AJ73" i="34"/>
  <c r="AK73" i="34"/>
  <c r="AB74" i="34"/>
  <c r="AC74" i="34"/>
  <c r="AD74" i="34"/>
  <c r="AE74" i="34"/>
  <c r="AF74" i="34"/>
  <c r="AG74" i="34"/>
  <c r="AH74" i="34"/>
  <c r="AI74" i="34"/>
  <c r="AJ74" i="34"/>
  <c r="AK74" i="34"/>
  <c r="AB75" i="34"/>
  <c r="AC75" i="34"/>
  <c r="AD75" i="34"/>
  <c r="AE75" i="34"/>
  <c r="AF75" i="34"/>
  <c r="AG75" i="34"/>
  <c r="AH75" i="34"/>
  <c r="AI75" i="34"/>
  <c r="AJ75" i="34"/>
  <c r="AK75" i="34"/>
  <c r="AB76" i="34"/>
  <c r="AC76" i="34"/>
  <c r="AD76" i="34"/>
  <c r="AE76" i="34"/>
  <c r="AF76" i="34"/>
  <c r="AG76" i="34"/>
  <c r="AH76" i="34"/>
  <c r="AI76" i="34"/>
  <c r="AJ76" i="34"/>
  <c r="AK76" i="34"/>
  <c r="AB77" i="34"/>
  <c r="AC77" i="34"/>
  <c r="AD77" i="34"/>
  <c r="AE77" i="34"/>
  <c r="AF77" i="34"/>
  <c r="AG77" i="34"/>
  <c r="AH77" i="34"/>
  <c r="AI77" i="34"/>
  <c r="AJ77" i="34"/>
  <c r="AK77" i="34"/>
  <c r="AB78" i="34"/>
  <c r="AC78" i="34"/>
  <c r="AD78" i="34"/>
  <c r="AE78" i="34"/>
  <c r="AF78" i="34"/>
  <c r="AG78" i="34"/>
  <c r="AH78" i="34"/>
  <c r="AI78" i="34"/>
  <c r="AJ78" i="34"/>
  <c r="AK78" i="34"/>
  <c r="AB79" i="34"/>
  <c r="AC79" i="34"/>
  <c r="AD79" i="34"/>
  <c r="AE79" i="34"/>
  <c r="AF79" i="34"/>
  <c r="AG79" i="34"/>
  <c r="AH79" i="34"/>
  <c r="AI79" i="34"/>
  <c r="AJ79" i="34"/>
  <c r="AK79" i="34"/>
  <c r="AB80" i="34"/>
  <c r="AC80" i="34"/>
  <c r="AD80" i="34"/>
  <c r="AE80" i="34"/>
  <c r="AF80" i="34"/>
  <c r="AG80" i="34"/>
  <c r="AH80" i="34"/>
  <c r="AI80" i="34"/>
  <c r="AJ80" i="34"/>
  <c r="AK80" i="34"/>
  <c r="AB81" i="34"/>
  <c r="AC81" i="34"/>
  <c r="AD81" i="34"/>
  <c r="AE81" i="34"/>
  <c r="AF81" i="34"/>
  <c r="AG81" i="34"/>
  <c r="AH81" i="34"/>
  <c r="AI81" i="34"/>
  <c r="AJ81" i="34"/>
  <c r="AK81" i="34"/>
  <c r="AB82" i="34"/>
  <c r="AC82" i="34"/>
  <c r="AD82" i="34"/>
  <c r="AE82" i="34"/>
  <c r="AF82" i="34"/>
  <c r="AG82" i="34"/>
  <c r="AH82" i="34"/>
  <c r="AI82" i="34"/>
  <c r="AJ82" i="34"/>
  <c r="AK82" i="34"/>
  <c r="AB83" i="34"/>
  <c r="AC83" i="34"/>
  <c r="AD83" i="34"/>
  <c r="AE83" i="34"/>
  <c r="AF83" i="34"/>
  <c r="AG83" i="34"/>
  <c r="AH83" i="34"/>
  <c r="AI83" i="34"/>
  <c r="AJ83" i="34"/>
  <c r="AK83" i="34"/>
  <c r="AB84" i="34"/>
  <c r="AC84" i="34"/>
  <c r="AD84" i="34"/>
  <c r="AE84" i="34"/>
  <c r="AF84" i="34"/>
  <c r="AG84" i="34"/>
  <c r="AH84" i="34"/>
  <c r="AI84" i="34"/>
  <c r="AJ84" i="34"/>
  <c r="AK84" i="34"/>
  <c r="AB85" i="34"/>
  <c r="AC85" i="34"/>
  <c r="AD85" i="34"/>
  <c r="AE85" i="34"/>
  <c r="AF85" i="34"/>
  <c r="AG85" i="34"/>
  <c r="AH85" i="34"/>
  <c r="AI85" i="34"/>
  <c r="AJ85" i="34"/>
  <c r="AK85" i="34"/>
  <c r="AB86" i="34"/>
  <c r="AC86" i="34"/>
  <c r="AD86" i="34"/>
  <c r="AE86" i="34"/>
  <c r="AF86" i="34"/>
  <c r="AG86" i="34"/>
  <c r="AH86" i="34"/>
  <c r="AI86" i="34"/>
  <c r="AJ86" i="34"/>
  <c r="AK86" i="34"/>
  <c r="AB87" i="34"/>
  <c r="AC87" i="34"/>
  <c r="AD87" i="34"/>
  <c r="AE87" i="34"/>
  <c r="AF87" i="34"/>
  <c r="AG87" i="34"/>
  <c r="AH87" i="34"/>
  <c r="AI87" i="34"/>
  <c r="AJ87" i="34"/>
  <c r="AK87" i="34"/>
  <c r="AB88" i="34"/>
  <c r="AC88" i="34"/>
  <c r="AD88" i="34"/>
  <c r="AE88" i="34"/>
  <c r="AF88" i="34"/>
  <c r="AG88" i="34"/>
  <c r="AH88" i="34"/>
  <c r="AI88" i="34"/>
  <c r="AJ88" i="34"/>
  <c r="AK88" i="34"/>
  <c r="AB89" i="34"/>
  <c r="AC89" i="34"/>
  <c r="AD89" i="34"/>
  <c r="AE89" i="34"/>
  <c r="AF89" i="34"/>
  <c r="AG89" i="34"/>
  <c r="AH89" i="34"/>
  <c r="AI89" i="34"/>
  <c r="AJ89" i="34"/>
  <c r="AK89" i="34"/>
  <c r="AB90" i="34"/>
  <c r="AC90" i="34"/>
  <c r="AD90" i="34"/>
  <c r="AE90" i="34"/>
  <c r="AF90" i="34"/>
  <c r="AG90" i="34"/>
  <c r="AH90" i="34"/>
  <c r="AI90" i="34"/>
  <c r="AJ90" i="34"/>
  <c r="AK90" i="34"/>
  <c r="AB91" i="34"/>
  <c r="AC91" i="34"/>
  <c r="AD91" i="34"/>
  <c r="AE91" i="34"/>
  <c r="AF91" i="34"/>
  <c r="AG91" i="34"/>
  <c r="AH91" i="34"/>
  <c r="AI91" i="34"/>
  <c r="AJ91" i="34"/>
  <c r="AK91" i="34"/>
  <c r="AB92" i="34"/>
  <c r="AC92" i="34"/>
  <c r="AD92" i="34"/>
  <c r="AE92" i="34"/>
  <c r="AF92" i="34"/>
  <c r="AG92" i="34"/>
  <c r="AH92" i="34"/>
  <c r="AI92" i="34"/>
  <c r="AJ92" i="34"/>
  <c r="AK92" i="34"/>
  <c r="AK3" i="34"/>
  <c r="AJ3" i="34"/>
  <c r="AI3" i="34"/>
  <c r="AH3" i="34"/>
  <c r="AG3" i="34"/>
  <c r="AF3" i="34"/>
  <c r="AE3" i="34"/>
  <c r="AD3" i="34"/>
  <c r="AC3" i="34"/>
  <c r="AB3" i="34"/>
  <c r="X3" i="34"/>
  <c r="W3" i="34"/>
  <c r="V3" i="34"/>
  <c r="U3" i="34"/>
  <c r="T3" i="34"/>
  <c r="S3" i="34"/>
  <c r="R3" i="34"/>
  <c r="Q3" i="34"/>
  <c r="P3" i="34"/>
  <c r="O3" i="34"/>
  <c r="B4" i="34"/>
  <c r="C4" i="34"/>
  <c r="D4" i="34"/>
  <c r="E4" i="34"/>
  <c r="F4" i="34"/>
  <c r="G4" i="34"/>
  <c r="H4" i="34"/>
  <c r="I4" i="34"/>
  <c r="J4" i="34"/>
  <c r="K4" i="34"/>
  <c r="B5" i="34"/>
  <c r="C5" i="34"/>
  <c r="D5" i="34"/>
  <c r="E5" i="34"/>
  <c r="F5" i="34"/>
  <c r="G5" i="34"/>
  <c r="H5" i="34"/>
  <c r="I5" i="34"/>
  <c r="J5" i="34"/>
  <c r="K5" i="34"/>
  <c r="B6" i="34"/>
  <c r="C6" i="34"/>
  <c r="D6" i="34"/>
  <c r="E6" i="34"/>
  <c r="F6" i="34"/>
  <c r="G6" i="34"/>
  <c r="H6" i="34"/>
  <c r="I6" i="34"/>
  <c r="J6" i="34"/>
  <c r="K6" i="34"/>
  <c r="B7" i="34"/>
  <c r="C7" i="34"/>
  <c r="D7" i="34"/>
  <c r="E7" i="34"/>
  <c r="F7" i="34"/>
  <c r="G7" i="34"/>
  <c r="H7" i="34"/>
  <c r="I7" i="34"/>
  <c r="J7" i="34"/>
  <c r="K7" i="34"/>
  <c r="B8" i="34"/>
  <c r="C8" i="34"/>
  <c r="D8" i="34"/>
  <c r="E8" i="34"/>
  <c r="F8" i="34"/>
  <c r="G8" i="34"/>
  <c r="H8" i="34"/>
  <c r="I8" i="34"/>
  <c r="J8" i="34"/>
  <c r="K8" i="34"/>
  <c r="B9" i="34"/>
  <c r="C9" i="34"/>
  <c r="D9" i="34"/>
  <c r="E9" i="34"/>
  <c r="F9" i="34"/>
  <c r="G9" i="34"/>
  <c r="H9" i="34"/>
  <c r="I9" i="34"/>
  <c r="J9" i="34"/>
  <c r="K9" i="34"/>
  <c r="B10" i="34"/>
  <c r="C10" i="34"/>
  <c r="D10" i="34"/>
  <c r="E10" i="34"/>
  <c r="F10" i="34"/>
  <c r="G10" i="34"/>
  <c r="H10" i="34"/>
  <c r="I10" i="34"/>
  <c r="J10" i="34"/>
  <c r="K10" i="34"/>
  <c r="B11" i="34"/>
  <c r="C11" i="34"/>
  <c r="D11" i="34"/>
  <c r="E11" i="34"/>
  <c r="F11" i="34"/>
  <c r="G11" i="34"/>
  <c r="H11" i="34"/>
  <c r="I11" i="34"/>
  <c r="J11" i="34"/>
  <c r="K11" i="34"/>
  <c r="B12" i="34"/>
  <c r="C12" i="34"/>
  <c r="D12" i="34"/>
  <c r="E12" i="34"/>
  <c r="F12" i="34"/>
  <c r="G12" i="34"/>
  <c r="H12" i="34"/>
  <c r="I12" i="34"/>
  <c r="J12" i="34"/>
  <c r="K12" i="34"/>
  <c r="B13" i="34"/>
  <c r="C13" i="34"/>
  <c r="D13" i="34"/>
  <c r="E13" i="34"/>
  <c r="F13" i="34"/>
  <c r="G13" i="34"/>
  <c r="H13" i="34"/>
  <c r="I13" i="34"/>
  <c r="J13" i="34"/>
  <c r="K13" i="34"/>
  <c r="B14" i="34"/>
  <c r="C14" i="34"/>
  <c r="D14" i="34"/>
  <c r="E14" i="34"/>
  <c r="F14" i="34"/>
  <c r="G14" i="34"/>
  <c r="H14" i="34"/>
  <c r="I14" i="34"/>
  <c r="J14" i="34"/>
  <c r="K14" i="34"/>
  <c r="B15" i="34"/>
  <c r="C15" i="34"/>
  <c r="D15" i="34"/>
  <c r="E15" i="34"/>
  <c r="F15" i="34"/>
  <c r="G15" i="34"/>
  <c r="H15" i="34"/>
  <c r="I15" i="34"/>
  <c r="J15" i="34"/>
  <c r="K15" i="34"/>
  <c r="B16" i="34"/>
  <c r="C16" i="34"/>
  <c r="D16" i="34"/>
  <c r="E16" i="34"/>
  <c r="F16" i="34"/>
  <c r="G16" i="34"/>
  <c r="H16" i="34"/>
  <c r="I16" i="34"/>
  <c r="J16" i="34"/>
  <c r="K16" i="34"/>
  <c r="B17" i="34"/>
  <c r="C17" i="34"/>
  <c r="D17" i="34"/>
  <c r="E17" i="34"/>
  <c r="F17" i="34"/>
  <c r="G17" i="34"/>
  <c r="H17" i="34"/>
  <c r="I17" i="34"/>
  <c r="J17" i="34"/>
  <c r="K17" i="34"/>
  <c r="B18" i="34"/>
  <c r="C18" i="34"/>
  <c r="D18" i="34"/>
  <c r="E18" i="34"/>
  <c r="F18" i="34"/>
  <c r="G18" i="34"/>
  <c r="H18" i="34"/>
  <c r="I18" i="34"/>
  <c r="J18" i="34"/>
  <c r="K18" i="34"/>
  <c r="B19" i="34"/>
  <c r="C19" i="34"/>
  <c r="D19" i="34"/>
  <c r="E19" i="34"/>
  <c r="F19" i="34"/>
  <c r="G19" i="34"/>
  <c r="H19" i="34"/>
  <c r="I19" i="34"/>
  <c r="J19" i="34"/>
  <c r="K19" i="34"/>
  <c r="B20" i="34"/>
  <c r="C20" i="34"/>
  <c r="D20" i="34"/>
  <c r="E20" i="34"/>
  <c r="F20" i="34"/>
  <c r="G20" i="34"/>
  <c r="H20" i="34"/>
  <c r="I20" i="34"/>
  <c r="J20" i="34"/>
  <c r="K20" i="34"/>
  <c r="B21" i="34"/>
  <c r="C21" i="34"/>
  <c r="D21" i="34"/>
  <c r="E21" i="34"/>
  <c r="F21" i="34"/>
  <c r="G21" i="34"/>
  <c r="H21" i="34"/>
  <c r="I21" i="34"/>
  <c r="J21" i="34"/>
  <c r="K21" i="34"/>
  <c r="B22" i="34"/>
  <c r="C22" i="34"/>
  <c r="D22" i="34"/>
  <c r="E22" i="34"/>
  <c r="F22" i="34"/>
  <c r="G22" i="34"/>
  <c r="H22" i="34"/>
  <c r="I22" i="34"/>
  <c r="J22" i="34"/>
  <c r="K22" i="34"/>
  <c r="B23" i="34"/>
  <c r="C23" i="34"/>
  <c r="D23" i="34"/>
  <c r="E23" i="34"/>
  <c r="F23" i="34"/>
  <c r="G23" i="34"/>
  <c r="H23" i="34"/>
  <c r="I23" i="34"/>
  <c r="J23" i="34"/>
  <c r="K23" i="34"/>
  <c r="B24" i="34"/>
  <c r="C24" i="34"/>
  <c r="D24" i="34"/>
  <c r="E24" i="34"/>
  <c r="F24" i="34"/>
  <c r="G24" i="34"/>
  <c r="H24" i="34"/>
  <c r="I24" i="34"/>
  <c r="J24" i="34"/>
  <c r="K24" i="34"/>
  <c r="B25" i="34"/>
  <c r="C25" i="34"/>
  <c r="D25" i="34"/>
  <c r="E25" i="34"/>
  <c r="F25" i="34"/>
  <c r="G25" i="34"/>
  <c r="H25" i="34"/>
  <c r="I25" i="34"/>
  <c r="J25" i="34"/>
  <c r="K25" i="34"/>
  <c r="B26" i="34"/>
  <c r="C26" i="34"/>
  <c r="D26" i="34"/>
  <c r="E26" i="34"/>
  <c r="F26" i="34"/>
  <c r="G26" i="34"/>
  <c r="H26" i="34"/>
  <c r="I26" i="34"/>
  <c r="J26" i="34"/>
  <c r="K26" i="34"/>
  <c r="B27" i="34"/>
  <c r="C27" i="34"/>
  <c r="D27" i="34"/>
  <c r="E27" i="34"/>
  <c r="F27" i="34"/>
  <c r="G27" i="34"/>
  <c r="H27" i="34"/>
  <c r="I27" i="34"/>
  <c r="J27" i="34"/>
  <c r="K27" i="34"/>
  <c r="B28" i="34"/>
  <c r="C28" i="34"/>
  <c r="D28" i="34"/>
  <c r="E28" i="34"/>
  <c r="F28" i="34"/>
  <c r="G28" i="34"/>
  <c r="H28" i="34"/>
  <c r="I28" i="34"/>
  <c r="J28" i="34"/>
  <c r="K28" i="34"/>
  <c r="B29" i="34"/>
  <c r="C29" i="34"/>
  <c r="D29" i="34"/>
  <c r="E29" i="34"/>
  <c r="F29" i="34"/>
  <c r="G29" i="34"/>
  <c r="H29" i="34"/>
  <c r="I29" i="34"/>
  <c r="J29" i="34"/>
  <c r="K29" i="34"/>
  <c r="B30" i="34"/>
  <c r="C30" i="34"/>
  <c r="D30" i="34"/>
  <c r="E30" i="34"/>
  <c r="F30" i="34"/>
  <c r="G30" i="34"/>
  <c r="H30" i="34"/>
  <c r="I30" i="34"/>
  <c r="J30" i="34"/>
  <c r="K30" i="34"/>
  <c r="B31" i="34"/>
  <c r="C31" i="34"/>
  <c r="D31" i="34"/>
  <c r="E31" i="34"/>
  <c r="F31" i="34"/>
  <c r="G31" i="34"/>
  <c r="H31" i="34"/>
  <c r="I31" i="34"/>
  <c r="J31" i="34"/>
  <c r="K31" i="34"/>
  <c r="B32" i="34"/>
  <c r="C32" i="34"/>
  <c r="D32" i="34"/>
  <c r="E32" i="34"/>
  <c r="F32" i="34"/>
  <c r="G32" i="34"/>
  <c r="H32" i="34"/>
  <c r="I32" i="34"/>
  <c r="J32" i="34"/>
  <c r="K32" i="34"/>
  <c r="B33" i="34"/>
  <c r="C33" i="34"/>
  <c r="D33" i="34"/>
  <c r="E33" i="34"/>
  <c r="F33" i="34"/>
  <c r="G33" i="34"/>
  <c r="H33" i="34"/>
  <c r="I33" i="34"/>
  <c r="J33" i="34"/>
  <c r="K33" i="34"/>
  <c r="B34" i="34"/>
  <c r="C34" i="34"/>
  <c r="D34" i="34"/>
  <c r="E34" i="34"/>
  <c r="F34" i="34"/>
  <c r="G34" i="34"/>
  <c r="H34" i="34"/>
  <c r="I34" i="34"/>
  <c r="J34" i="34"/>
  <c r="K34" i="34"/>
  <c r="B35" i="34"/>
  <c r="C35" i="34"/>
  <c r="D35" i="34"/>
  <c r="E35" i="34"/>
  <c r="F35" i="34"/>
  <c r="G35" i="34"/>
  <c r="H35" i="34"/>
  <c r="I35" i="34"/>
  <c r="J35" i="34"/>
  <c r="K35" i="34"/>
  <c r="B36" i="34"/>
  <c r="C36" i="34"/>
  <c r="D36" i="34"/>
  <c r="E36" i="34"/>
  <c r="F36" i="34"/>
  <c r="G36" i="34"/>
  <c r="H36" i="34"/>
  <c r="I36" i="34"/>
  <c r="J36" i="34"/>
  <c r="K36" i="34"/>
  <c r="B37" i="34"/>
  <c r="C37" i="34"/>
  <c r="D37" i="34"/>
  <c r="E37" i="34"/>
  <c r="F37" i="34"/>
  <c r="G37" i="34"/>
  <c r="H37" i="34"/>
  <c r="I37" i="34"/>
  <c r="J37" i="34"/>
  <c r="K37" i="34"/>
  <c r="B38" i="34"/>
  <c r="C38" i="34"/>
  <c r="D38" i="34"/>
  <c r="E38" i="34"/>
  <c r="F38" i="34"/>
  <c r="G38" i="34"/>
  <c r="H38" i="34"/>
  <c r="I38" i="34"/>
  <c r="J38" i="34"/>
  <c r="K38" i="34"/>
  <c r="B39" i="34"/>
  <c r="C39" i="34"/>
  <c r="D39" i="34"/>
  <c r="E39" i="34"/>
  <c r="F39" i="34"/>
  <c r="G39" i="34"/>
  <c r="H39" i="34"/>
  <c r="I39" i="34"/>
  <c r="J39" i="34"/>
  <c r="K39" i="34"/>
  <c r="B40" i="34"/>
  <c r="C40" i="34"/>
  <c r="D40" i="34"/>
  <c r="E40" i="34"/>
  <c r="F40" i="34"/>
  <c r="G40" i="34"/>
  <c r="H40" i="34"/>
  <c r="I40" i="34"/>
  <c r="J40" i="34"/>
  <c r="K40" i="34"/>
  <c r="B41" i="34"/>
  <c r="C41" i="34"/>
  <c r="D41" i="34"/>
  <c r="E41" i="34"/>
  <c r="F41" i="34"/>
  <c r="G41" i="34"/>
  <c r="H41" i="34"/>
  <c r="I41" i="34"/>
  <c r="J41" i="34"/>
  <c r="K41" i="34"/>
  <c r="B42" i="34"/>
  <c r="C42" i="34"/>
  <c r="D42" i="34"/>
  <c r="E42" i="34"/>
  <c r="F42" i="34"/>
  <c r="G42" i="34"/>
  <c r="H42" i="34"/>
  <c r="I42" i="34"/>
  <c r="J42" i="34"/>
  <c r="K42" i="34"/>
  <c r="B43" i="34"/>
  <c r="C43" i="34"/>
  <c r="D43" i="34"/>
  <c r="E43" i="34"/>
  <c r="F43" i="34"/>
  <c r="G43" i="34"/>
  <c r="H43" i="34"/>
  <c r="I43" i="34"/>
  <c r="J43" i="34"/>
  <c r="K43" i="34"/>
  <c r="B44" i="34"/>
  <c r="C44" i="34"/>
  <c r="D44" i="34"/>
  <c r="E44" i="34"/>
  <c r="F44" i="34"/>
  <c r="G44" i="34"/>
  <c r="H44" i="34"/>
  <c r="I44" i="34"/>
  <c r="J44" i="34"/>
  <c r="K44" i="34"/>
  <c r="B45" i="34"/>
  <c r="C45" i="34"/>
  <c r="D45" i="34"/>
  <c r="E45" i="34"/>
  <c r="F45" i="34"/>
  <c r="G45" i="34"/>
  <c r="H45" i="34"/>
  <c r="I45" i="34"/>
  <c r="J45" i="34"/>
  <c r="K45" i="34"/>
  <c r="B46" i="34"/>
  <c r="C46" i="34"/>
  <c r="D46" i="34"/>
  <c r="E46" i="34"/>
  <c r="F46" i="34"/>
  <c r="G46" i="34"/>
  <c r="H46" i="34"/>
  <c r="I46" i="34"/>
  <c r="J46" i="34"/>
  <c r="K46" i="34"/>
  <c r="B47" i="34"/>
  <c r="C47" i="34"/>
  <c r="D47" i="34"/>
  <c r="E47" i="34"/>
  <c r="F47" i="34"/>
  <c r="G47" i="34"/>
  <c r="H47" i="34"/>
  <c r="I47" i="34"/>
  <c r="J47" i="34"/>
  <c r="K47" i="34"/>
  <c r="B48" i="34"/>
  <c r="C48" i="34"/>
  <c r="D48" i="34"/>
  <c r="E48" i="34"/>
  <c r="F48" i="34"/>
  <c r="G48" i="34"/>
  <c r="H48" i="34"/>
  <c r="I48" i="34"/>
  <c r="J48" i="34"/>
  <c r="K48" i="34"/>
  <c r="B49" i="34"/>
  <c r="C49" i="34"/>
  <c r="D49" i="34"/>
  <c r="E49" i="34"/>
  <c r="F49" i="34"/>
  <c r="G49" i="34"/>
  <c r="H49" i="34"/>
  <c r="I49" i="34"/>
  <c r="J49" i="34"/>
  <c r="K49" i="34"/>
  <c r="B50" i="34"/>
  <c r="C50" i="34"/>
  <c r="D50" i="34"/>
  <c r="E50" i="34"/>
  <c r="F50" i="34"/>
  <c r="G50" i="34"/>
  <c r="H50" i="34"/>
  <c r="I50" i="34"/>
  <c r="J50" i="34"/>
  <c r="K50" i="34"/>
  <c r="B51" i="34"/>
  <c r="C51" i="34"/>
  <c r="D51" i="34"/>
  <c r="E51" i="34"/>
  <c r="F51" i="34"/>
  <c r="G51" i="34"/>
  <c r="H51" i="34"/>
  <c r="I51" i="34"/>
  <c r="J51" i="34"/>
  <c r="K51" i="34"/>
  <c r="B52" i="34"/>
  <c r="C52" i="34"/>
  <c r="D52" i="34"/>
  <c r="E52" i="34"/>
  <c r="F52" i="34"/>
  <c r="G52" i="34"/>
  <c r="H52" i="34"/>
  <c r="I52" i="34"/>
  <c r="J52" i="34"/>
  <c r="K52" i="34"/>
  <c r="B53" i="34"/>
  <c r="C53" i="34"/>
  <c r="D53" i="34"/>
  <c r="E53" i="34"/>
  <c r="F53" i="34"/>
  <c r="G53" i="34"/>
  <c r="H53" i="34"/>
  <c r="I53" i="34"/>
  <c r="J53" i="34"/>
  <c r="K53" i="34"/>
  <c r="B54" i="34"/>
  <c r="C54" i="34"/>
  <c r="D54" i="34"/>
  <c r="E54" i="34"/>
  <c r="F54" i="34"/>
  <c r="G54" i="34"/>
  <c r="H54" i="34"/>
  <c r="I54" i="34"/>
  <c r="J54" i="34"/>
  <c r="K54" i="34"/>
  <c r="B55" i="34"/>
  <c r="C55" i="34"/>
  <c r="D55" i="34"/>
  <c r="E55" i="34"/>
  <c r="F55" i="34"/>
  <c r="G55" i="34"/>
  <c r="H55" i="34"/>
  <c r="I55" i="34"/>
  <c r="J55" i="34"/>
  <c r="K55" i="34"/>
  <c r="B56" i="34"/>
  <c r="C56" i="34"/>
  <c r="D56" i="34"/>
  <c r="E56" i="34"/>
  <c r="F56" i="34"/>
  <c r="G56" i="34"/>
  <c r="H56" i="34"/>
  <c r="I56" i="34"/>
  <c r="J56" i="34"/>
  <c r="K56" i="34"/>
  <c r="B57" i="34"/>
  <c r="C57" i="34"/>
  <c r="D57" i="34"/>
  <c r="E57" i="34"/>
  <c r="F57" i="34"/>
  <c r="G57" i="34"/>
  <c r="H57" i="34"/>
  <c r="I57" i="34"/>
  <c r="J57" i="34"/>
  <c r="K57" i="34"/>
  <c r="B58" i="34"/>
  <c r="C58" i="34"/>
  <c r="D58" i="34"/>
  <c r="E58" i="34"/>
  <c r="F58" i="34"/>
  <c r="G58" i="34"/>
  <c r="H58" i="34"/>
  <c r="I58" i="34"/>
  <c r="J58" i="34"/>
  <c r="K58" i="34"/>
  <c r="B59" i="34"/>
  <c r="C59" i="34"/>
  <c r="D59" i="34"/>
  <c r="E59" i="34"/>
  <c r="F59" i="34"/>
  <c r="G59" i="34"/>
  <c r="H59" i="34"/>
  <c r="I59" i="34"/>
  <c r="J59" i="34"/>
  <c r="K59" i="34"/>
  <c r="B60" i="34"/>
  <c r="C60" i="34"/>
  <c r="D60" i="34"/>
  <c r="E60" i="34"/>
  <c r="F60" i="34"/>
  <c r="G60" i="34"/>
  <c r="H60" i="34"/>
  <c r="I60" i="34"/>
  <c r="J60" i="34"/>
  <c r="K60" i="34"/>
  <c r="B61" i="34"/>
  <c r="C61" i="34"/>
  <c r="D61" i="34"/>
  <c r="E61" i="34"/>
  <c r="F61" i="34"/>
  <c r="G61" i="34"/>
  <c r="H61" i="34"/>
  <c r="I61" i="34"/>
  <c r="J61" i="34"/>
  <c r="K61" i="34"/>
  <c r="B62" i="34"/>
  <c r="C62" i="34"/>
  <c r="D62" i="34"/>
  <c r="E62" i="34"/>
  <c r="F62" i="34"/>
  <c r="G62" i="34"/>
  <c r="H62" i="34"/>
  <c r="I62" i="34"/>
  <c r="J62" i="34"/>
  <c r="K62" i="34"/>
  <c r="B63" i="34"/>
  <c r="C63" i="34"/>
  <c r="D63" i="34"/>
  <c r="E63" i="34"/>
  <c r="F63" i="34"/>
  <c r="G63" i="34"/>
  <c r="H63" i="34"/>
  <c r="I63" i="34"/>
  <c r="J63" i="34"/>
  <c r="K63" i="34"/>
  <c r="B64" i="34"/>
  <c r="C64" i="34"/>
  <c r="D64" i="34"/>
  <c r="E64" i="34"/>
  <c r="F64" i="34"/>
  <c r="G64" i="34"/>
  <c r="H64" i="34"/>
  <c r="I64" i="34"/>
  <c r="J64" i="34"/>
  <c r="K64" i="34"/>
  <c r="B65" i="34"/>
  <c r="C65" i="34"/>
  <c r="D65" i="34"/>
  <c r="E65" i="34"/>
  <c r="F65" i="34"/>
  <c r="G65" i="34"/>
  <c r="H65" i="34"/>
  <c r="I65" i="34"/>
  <c r="J65" i="34"/>
  <c r="K65" i="34"/>
  <c r="B66" i="34"/>
  <c r="C66" i="34"/>
  <c r="D66" i="34"/>
  <c r="E66" i="34"/>
  <c r="F66" i="34"/>
  <c r="G66" i="34"/>
  <c r="H66" i="34"/>
  <c r="I66" i="34"/>
  <c r="J66" i="34"/>
  <c r="K66" i="34"/>
  <c r="B67" i="34"/>
  <c r="C67" i="34"/>
  <c r="D67" i="34"/>
  <c r="E67" i="34"/>
  <c r="F67" i="34"/>
  <c r="G67" i="34"/>
  <c r="H67" i="34"/>
  <c r="I67" i="34"/>
  <c r="J67" i="34"/>
  <c r="K67" i="34"/>
  <c r="B68" i="34"/>
  <c r="C68" i="34"/>
  <c r="D68" i="34"/>
  <c r="E68" i="34"/>
  <c r="F68" i="34"/>
  <c r="G68" i="34"/>
  <c r="H68" i="34"/>
  <c r="I68" i="34"/>
  <c r="J68" i="34"/>
  <c r="K68" i="34"/>
  <c r="B69" i="34"/>
  <c r="C69" i="34"/>
  <c r="D69" i="34"/>
  <c r="E69" i="34"/>
  <c r="F69" i="34"/>
  <c r="G69" i="34"/>
  <c r="H69" i="34"/>
  <c r="I69" i="34"/>
  <c r="J69" i="34"/>
  <c r="K69" i="34"/>
  <c r="B70" i="34"/>
  <c r="C70" i="34"/>
  <c r="D70" i="34"/>
  <c r="E70" i="34"/>
  <c r="F70" i="34"/>
  <c r="G70" i="34"/>
  <c r="H70" i="34"/>
  <c r="I70" i="34"/>
  <c r="J70" i="34"/>
  <c r="K70" i="34"/>
  <c r="B71" i="34"/>
  <c r="C71" i="34"/>
  <c r="D71" i="34"/>
  <c r="E71" i="34"/>
  <c r="F71" i="34"/>
  <c r="G71" i="34"/>
  <c r="H71" i="34"/>
  <c r="I71" i="34"/>
  <c r="J71" i="34"/>
  <c r="K71" i="34"/>
  <c r="B72" i="34"/>
  <c r="C72" i="34"/>
  <c r="D72" i="34"/>
  <c r="E72" i="34"/>
  <c r="F72" i="34"/>
  <c r="G72" i="34"/>
  <c r="H72" i="34"/>
  <c r="I72" i="34"/>
  <c r="J72" i="34"/>
  <c r="K72" i="34"/>
  <c r="B73" i="34"/>
  <c r="C73" i="34"/>
  <c r="D73" i="34"/>
  <c r="E73" i="34"/>
  <c r="F73" i="34"/>
  <c r="G73" i="34"/>
  <c r="H73" i="34"/>
  <c r="I73" i="34"/>
  <c r="J73" i="34"/>
  <c r="K73" i="34"/>
  <c r="B74" i="34"/>
  <c r="C74" i="34"/>
  <c r="D74" i="34"/>
  <c r="E74" i="34"/>
  <c r="F74" i="34"/>
  <c r="G74" i="34"/>
  <c r="H74" i="34"/>
  <c r="I74" i="34"/>
  <c r="J74" i="34"/>
  <c r="K74" i="34"/>
  <c r="B75" i="34"/>
  <c r="C75" i="34"/>
  <c r="D75" i="34"/>
  <c r="E75" i="34"/>
  <c r="F75" i="34"/>
  <c r="G75" i="34"/>
  <c r="H75" i="34"/>
  <c r="I75" i="34"/>
  <c r="J75" i="34"/>
  <c r="K75" i="34"/>
  <c r="B76" i="34"/>
  <c r="C76" i="34"/>
  <c r="D76" i="34"/>
  <c r="E76" i="34"/>
  <c r="F76" i="34"/>
  <c r="G76" i="34"/>
  <c r="H76" i="34"/>
  <c r="I76" i="34"/>
  <c r="J76" i="34"/>
  <c r="K76" i="34"/>
  <c r="B77" i="34"/>
  <c r="C77" i="34"/>
  <c r="D77" i="34"/>
  <c r="E77" i="34"/>
  <c r="F77" i="34"/>
  <c r="G77" i="34"/>
  <c r="H77" i="34"/>
  <c r="I77" i="34"/>
  <c r="J77" i="34"/>
  <c r="K77" i="34"/>
  <c r="B78" i="34"/>
  <c r="C78" i="34"/>
  <c r="D78" i="34"/>
  <c r="E78" i="34"/>
  <c r="F78" i="34"/>
  <c r="G78" i="34"/>
  <c r="H78" i="34"/>
  <c r="I78" i="34"/>
  <c r="J78" i="34"/>
  <c r="K78" i="34"/>
  <c r="B79" i="34"/>
  <c r="C79" i="34"/>
  <c r="D79" i="34"/>
  <c r="E79" i="34"/>
  <c r="F79" i="34"/>
  <c r="G79" i="34"/>
  <c r="H79" i="34"/>
  <c r="I79" i="34"/>
  <c r="J79" i="34"/>
  <c r="K79" i="34"/>
  <c r="B80" i="34"/>
  <c r="C80" i="34"/>
  <c r="D80" i="34"/>
  <c r="E80" i="34"/>
  <c r="F80" i="34"/>
  <c r="G80" i="34"/>
  <c r="H80" i="34"/>
  <c r="I80" i="34"/>
  <c r="J80" i="34"/>
  <c r="K80" i="34"/>
  <c r="B81" i="34"/>
  <c r="C81" i="34"/>
  <c r="D81" i="34"/>
  <c r="E81" i="34"/>
  <c r="F81" i="34"/>
  <c r="G81" i="34"/>
  <c r="H81" i="34"/>
  <c r="I81" i="34"/>
  <c r="J81" i="34"/>
  <c r="K81" i="34"/>
  <c r="B82" i="34"/>
  <c r="C82" i="34"/>
  <c r="D82" i="34"/>
  <c r="E82" i="34"/>
  <c r="F82" i="34"/>
  <c r="G82" i="34"/>
  <c r="H82" i="34"/>
  <c r="I82" i="34"/>
  <c r="J82" i="34"/>
  <c r="K82" i="34"/>
  <c r="B83" i="34"/>
  <c r="C83" i="34"/>
  <c r="D83" i="34"/>
  <c r="E83" i="34"/>
  <c r="F83" i="34"/>
  <c r="G83" i="34"/>
  <c r="H83" i="34"/>
  <c r="I83" i="34"/>
  <c r="J83" i="34"/>
  <c r="K83" i="34"/>
  <c r="B84" i="34"/>
  <c r="C84" i="34"/>
  <c r="D84" i="34"/>
  <c r="E84" i="34"/>
  <c r="F84" i="34"/>
  <c r="G84" i="34"/>
  <c r="H84" i="34"/>
  <c r="I84" i="34"/>
  <c r="J84" i="34"/>
  <c r="K84" i="34"/>
  <c r="B85" i="34"/>
  <c r="C85" i="34"/>
  <c r="D85" i="34"/>
  <c r="E85" i="34"/>
  <c r="F85" i="34"/>
  <c r="G85" i="34"/>
  <c r="H85" i="34"/>
  <c r="I85" i="34"/>
  <c r="J85" i="34"/>
  <c r="K85" i="34"/>
  <c r="B86" i="34"/>
  <c r="C86" i="34"/>
  <c r="D86" i="34"/>
  <c r="E86" i="34"/>
  <c r="F86" i="34"/>
  <c r="G86" i="34"/>
  <c r="H86" i="34"/>
  <c r="I86" i="34"/>
  <c r="J86" i="34"/>
  <c r="K86" i="34"/>
  <c r="B87" i="34"/>
  <c r="C87" i="34"/>
  <c r="D87" i="34"/>
  <c r="E87" i="34"/>
  <c r="F87" i="34"/>
  <c r="G87" i="34"/>
  <c r="H87" i="34"/>
  <c r="I87" i="34"/>
  <c r="J87" i="34"/>
  <c r="K87" i="34"/>
  <c r="B88" i="34"/>
  <c r="C88" i="34"/>
  <c r="D88" i="34"/>
  <c r="E88" i="34"/>
  <c r="F88" i="34"/>
  <c r="G88" i="34"/>
  <c r="H88" i="34"/>
  <c r="I88" i="34"/>
  <c r="J88" i="34"/>
  <c r="K88" i="34"/>
  <c r="B89" i="34"/>
  <c r="C89" i="34"/>
  <c r="D89" i="34"/>
  <c r="E89" i="34"/>
  <c r="F89" i="34"/>
  <c r="G89" i="34"/>
  <c r="H89" i="34"/>
  <c r="I89" i="34"/>
  <c r="J89" i="34"/>
  <c r="K89" i="34"/>
  <c r="B90" i="34"/>
  <c r="C90" i="34"/>
  <c r="D90" i="34"/>
  <c r="E90" i="34"/>
  <c r="F90" i="34"/>
  <c r="G90" i="34"/>
  <c r="H90" i="34"/>
  <c r="I90" i="34"/>
  <c r="J90" i="34"/>
  <c r="K90" i="34"/>
  <c r="B91" i="34"/>
  <c r="C91" i="34"/>
  <c r="D91" i="34"/>
  <c r="E91" i="34"/>
  <c r="F91" i="34"/>
  <c r="G91" i="34"/>
  <c r="H91" i="34"/>
  <c r="I91" i="34"/>
  <c r="J91" i="34"/>
  <c r="K91" i="34"/>
  <c r="B92" i="34"/>
  <c r="C92" i="34"/>
  <c r="D92" i="34"/>
  <c r="E92" i="34"/>
  <c r="F92" i="34"/>
  <c r="G92" i="34"/>
  <c r="H92" i="34"/>
  <c r="I92" i="34"/>
  <c r="J92" i="34"/>
  <c r="K92" i="34"/>
  <c r="K3" i="34"/>
  <c r="J3" i="34"/>
  <c r="I3" i="34"/>
  <c r="H3" i="34"/>
  <c r="G3" i="34"/>
  <c r="F3" i="34"/>
  <c r="E3" i="34"/>
  <c r="D3" i="34"/>
  <c r="C3" i="34"/>
  <c r="B3" i="34"/>
  <c r="T5" i="31"/>
  <c r="T8" i="31"/>
  <c r="T11" i="31"/>
  <c r="T13" i="31"/>
  <c r="M5" i="31"/>
  <c r="M7" i="31"/>
  <c r="M10" i="31"/>
  <c r="M13" i="31"/>
  <c r="F9" i="31"/>
  <c r="F12" i="31"/>
  <c r="R13" i="31"/>
  <c r="S13" i="31" s="1"/>
  <c r="R12" i="31"/>
  <c r="R11" i="31"/>
  <c r="S11" i="31" s="1"/>
  <c r="R10" i="31"/>
  <c r="S10" i="31" s="1"/>
  <c r="R9" i="31"/>
  <c r="S9" i="31" s="1"/>
  <c r="R8" i="31"/>
  <c r="S8" i="31" s="1"/>
  <c r="R7" i="31"/>
  <c r="S7" i="31" s="1"/>
  <c r="R6" i="31"/>
  <c r="S6" i="31" s="1"/>
  <c r="R5" i="31"/>
  <c r="S5" i="31" s="1"/>
  <c r="R4" i="31"/>
  <c r="S4" i="31" s="1"/>
  <c r="K13" i="31"/>
  <c r="K12" i="31"/>
  <c r="L12" i="31" s="1"/>
  <c r="K11" i="31"/>
  <c r="L11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K4" i="31"/>
  <c r="D13" i="31"/>
  <c r="E13" i="31" s="1"/>
  <c r="D12" i="31"/>
  <c r="E12" i="31" s="1"/>
  <c r="D11" i="31"/>
  <c r="D10" i="31"/>
  <c r="E10" i="31" s="1"/>
  <c r="D9" i="31"/>
  <c r="E9" i="31" s="1"/>
  <c r="D8" i="31"/>
  <c r="E8" i="31" s="1"/>
  <c r="D7" i="31"/>
  <c r="E7" i="31" s="1"/>
  <c r="D6" i="31"/>
  <c r="E6" i="31" s="1"/>
  <c r="D5" i="31"/>
  <c r="E5" i="31" s="1"/>
  <c r="D4" i="31"/>
  <c r="E4" i="31" s="1"/>
  <c r="Q12" i="31"/>
  <c r="T12" i="31" s="1"/>
  <c r="Q11" i="31"/>
  <c r="Q9" i="31"/>
  <c r="T9" i="31" s="1"/>
  <c r="Q8" i="31"/>
  <c r="Q7" i="31"/>
  <c r="T7" i="31" s="1"/>
  <c r="Q6" i="31"/>
  <c r="T6" i="31" s="1"/>
  <c r="Q5" i="31"/>
  <c r="Q4" i="31"/>
  <c r="T4" i="31" s="1"/>
  <c r="J13" i="31"/>
  <c r="J12" i="31"/>
  <c r="M12" i="31" s="1"/>
  <c r="J11" i="31"/>
  <c r="M11" i="31" s="1"/>
  <c r="J10" i="31"/>
  <c r="J8" i="31"/>
  <c r="M8" i="31" s="1"/>
  <c r="J7" i="31"/>
  <c r="J6" i="31"/>
  <c r="M6" i="31" s="1"/>
  <c r="J5" i="31"/>
  <c r="J4" i="31"/>
  <c r="M4" i="31" s="1"/>
  <c r="C13" i="31"/>
  <c r="F13" i="31" s="1"/>
  <c r="C12" i="31"/>
  <c r="C10" i="31"/>
  <c r="F10" i="31" s="1"/>
  <c r="C9" i="31"/>
  <c r="C8" i="31"/>
  <c r="F8" i="31" s="1"/>
  <c r="C7" i="31"/>
  <c r="F7" i="31" s="1"/>
  <c r="C6" i="31"/>
  <c r="F6" i="31" s="1"/>
  <c r="C5" i="31"/>
  <c r="F5" i="31" s="1"/>
  <c r="C4" i="31"/>
  <c r="F4" i="31" s="1"/>
  <c r="E11" i="31"/>
  <c r="L13" i="31"/>
  <c r="Q10" i="31"/>
  <c r="T10" i="31" s="1"/>
  <c r="Q13" i="31"/>
  <c r="S12" i="31"/>
  <c r="L4" i="31"/>
  <c r="C11" i="31"/>
  <c r="F11" i="31" s="1"/>
  <c r="I21" i="33"/>
  <c r="F21" i="33"/>
  <c r="C21" i="33"/>
  <c r="B19" i="5"/>
  <c r="B19" i="4"/>
  <c r="B19" i="3"/>
  <c r="C22" i="33" l="1"/>
  <c r="I22" i="33"/>
  <c r="F22" i="33"/>
  <c r="L3" i="34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AA4" i="34"/>
  <c r="AA5" i="34"/>
  <c r="AA6" i="34"/>
  <c r="AA7" i="34"/>
  <c r="AA8" i="34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AA22" i="34"/>
  <c r="AA23" i="34"/>
  <c r="AA24" i="34"/>
  <c r="AA25" i="34"/>
  <c r="AA26" i="34"/>
  <c r="AA27" i="34"/>
  <c r="AA28" i="34"/>
  <c r="AA29" i="34"/>
  <c r="AA30" i="34"/>
  <c r="AA31" i="34"/>
  <c r="AA32" i="34"/>
  <c r="AA33" i="34"/>
  <c r="AA34" i="34"/>
  <c r="AA35" i="34"/>
  <c r="AA36" i="34"/>
  <c r="AA37" i="34"/>
  <c r="AA38" i="34"/>
  <c r="AA39" i="34"/>
  <c r="AA40" i="34"/>
  <c r="AA41" i="34"/>
  <c r="AA42" i="34"/>
  <c r="AA43" i="34"/>
  <c r="AA44" i="34"/>
  <c r="AA45" i="34"/>
  <c r="AA46" i="34"/>
  <c r="AA47" i="34"/>
  <c r="AA48" i="34"/>
  <c r="AA49" i="34"/>
  <c r="AA50" i="34"/>
  <c r="AA51" i="34"/>
  <c r="AA52" i="34"/>
  <c r="AA53" i="34"/>
  <c r="AA54" i="34"/>
  <c r="AA55" i="34"/>
  <c r="AA56" i="34"/>
  <c r="AA57" i="34"/>
  <c r="AA58" i="34"/>
  <c r="AA59" i="34"/>
  <c r="AA60" i="34"/>
  <c r="AA61" i="34"/>
  <c r="AA62" i="34"/>
  <c r="AA63" i="34"/>
  <c r="AA64" i="34"/>
  <c r="AA65" i="34"/>
  <c r="AA66" i="34"/>
  <c r="AA67" i="34"/>
  <c r="AA68" i="34"/>
  <c r="AA69" i="34"/>
  <c r="AA70" i="34"/>
  <c r="AA71" i="34"/>
  <c r="AA72" i="34"/>
  <c r="AA73" i="34"/>
  <c r="AA74" i="34"/>
  <c r="AA75" i="34"/>
  <c r="AA76" i="34"/>
  <c r="AA77" i="34"/>
  <c r="AA78" i="34"/>
  <c r="AA79" i="34"/>
  <c r="AA80" i="34"/>
  <c r="AA81" i="34"/>
  <c r="AA82" i="34"/>
  <c r="AA83" i="34"/>
  <c r="AA84" i="34"/>
  <c r="AA85" i="34"/>
  <c r="AA86" i="34"/>
  <c r="AA87" i="34"/>
  <c r="AA88" i="34"/>
  <c r="AA89" i="34"/>
  <c r="AA90" i="34"/>
  <c r="AA91" i="34"/>
  <c r="AA92" i="34"/>
  <c r="AA3" i="34"/>
  <c r="N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3" i="34"/>
  <c r="AL92" i="34"/>
  <c r="Y92" i="34"/>
  <c r="L92" i="34"/>
  <c r="AL91" i="34"/>
  <c r="Y91" i="34"/>
  <c r="L91" i="34"/>
  <c r="AL90" i="34"/>
  <c r="Y90" i="34"/>
  <c r="L90" i="34"/>
  <c r="AL89" i="34"/>
  <c r="Y89" i="34"/>
  <c r="L89" i="34"/>
  <c r="AL88" i="34"/>
  <c r="Y88" i="34"/>
  <c r="L88" i="34"/>
  <c r="AL87" i="34"/>
  <c r="Y87" i="34"/>
  <c r="L87" i="34"/>
  <c r="AL86" i="34"/>
  <c r="Y86" i="34"/>
  <c r="L86" i="34"/>
  <c r="AL85" i="34"/>
  <c r="Y85" i="34"/>
  <c r="L85" i="34"/>
  <c r="AL84" i="34"/>
  <c r="Y84" i="34"/>
  <c r="L84" i="34"/>
  <c r="AL83" i="34"/>
  <c r="Y83" i="34"/>
  <c r="L83" i="34"/>
  <c r="AL82" i="34"/>
  <c r="Y82" i="34"/>
  <c r="L82" i="34"/>
  <c r="AL81" i="34"/>
  <c r="Y81" i="34"/>
  <c r="L81" i="34"/>
  <c r="AL80" i="34"/>
  <c r="Y80" i="34"/>
  <c r="L80" i="34"/>
  <c r="AL79" i="34"/>
  <c r="Y79" i="34"/>
  <c r="L79" i="34"/>
  <c r="AL78" i="34"/>
  <c r="Y78" i="34"/>
  <c r="L78" i="34"/>
  <c r="AL77" i="34"/>
  <c r="Y77" i="34"/>
  <c r="L77" i="34"/>
  <c r="AL76" i="34"/>
  <c r="Y76" i="34"/>
  <c r="L76" i="34"/>
  <c r="AL75" i="34"/>
  <c r="Y75" i="34"/>
  <c r="L75" i="34"/>
  <c r="AL74" i="34"/>
  <c r="Y74" i="34"/>
  <c r="L74" i="34"/>
  <c r="AL73" i="34"/>
  <c r="Y73" i="34"/>
  <c r="L73" i="34"/>
  <c r="AL72" i="34"/>
  <c r="Y72" i="34"/>
  <c r="L72" i="34"/>
  <c r="AL71" i="34"/>
  <c r="Y71" i="34"/>
  <c r="L71" i="34"/>
  <c r="AL70" i="34"/>
  <c r="Y70" i="34"/>
  <c r="L70" i="34"/>
  <c r="AL69" i="34"/>
  <c r="Y69" i="34"/>
  <c r="L69" i="34"/>
  <c r="AL68" i="34"/>
  <c r="Y68" i="34"/>
  <c r="L68" i="34"/>
  <c r="AL67" i="34"/>
  <c r="Y67" i="34"/>
  <c r="L67" i="34"/>
  <c r="AL66" i="34"/>
  <c r="Y66" i="34"/>
  <c r="L66" i="34"/>
  <c r="AL65" i="34"/>
  <c r="Y65" i="34"/>
  <c r="L65" i="34"/>
  <c r="AL64" i="34"/>
  <c r="Y64" i="34"/>
  <c r="L64" i="34"/>
  <c r="AL63" i="34"/>
  <c r="Y63" i="34"/>
  <c r="L63" i="34"/>
  <c r="AL62" i="34"/>
  <c r="Y62" i="34"/>
  <c r="L62" i="34"/>
  <c r="AL61" i="34"/>
  <c r="Y61" i="34"/>
  <c r="L61" i="34"/>
  <c r="AL60" i="34"/>
  <c r="Y60" i="34"/>
  <c r="L60" i="34"/>
  <c r="AL59" i="34"/>
  <c r="Y59" i="34"/>
  <c r="L59" i="34"/>
  <c r="AL58" i="34"/>
  <c r="Y58" i="34"/>
  <c r="L58" i="34"/>
  <c r="AL57" i="34"/>
  <c r="Y57" i="34"/>
  <c r="L57" i="34"/>
  <c r="AL56" i="34"/>
  <c r="Y56" i="34"/>
  <c r="L56" i="34"/>
  <c r="AL55" i="34"/>
  <c r="Y55" i="34"/>
  <c r="L55" i="34"/>
  <c r="AL54" i="34"/>
  <c r="Y54" i="34"/>
  <c r="L54" i="34"/>
  <c r="AL53" i="34"/>
  <c r="Y53" i="34"/>
  <c r="L53" i="34"/>
  <c r="AL52" i="34"/>
  <c r="Y52" i="34"/>
  <c r="L52" i="34"/>
  <c r="AL51" i="34"/>
  <c r="Y51" i="34"/>
  <c r="L51" i="34"/>
  <c r="AL50" i="34"/>
  <c r="Y50" i="34"/>
  <c r="L50" i="34"/>
  <c r="AL49" i="34"/>
  <c r="Y49" i="34"/>
  <c r="L49" i="34"/>
  <c r="AL48" i="34"/>
  <c r="Y48" i="34"/>
  <c r="L48" i="34"/>
  <c r="AL47" i="34"/>
  <c r="Y47" i="34"/>
  <c r="L47" i="34"/>
  <c r="AL46" i="34"/>
  <c r="Y46" i="34"/>
  <c r="L46" i="34"/>
  <c r="AL45" i="34"/>
  <c r="Y45" i="34"/>
  <c r="L45" i="34"/>
  <c r="AL44" i="34"/>
  <c r="Y44" i="34"/>
  <c r="L44" i="34"/>
  <c r="AL43" i="34"/>
  <c r="Y43" i="34"/>
  <c r="L43" i="34"/>
  <c r="AL42" i="34"/>
  <c r="Y42" i="34"/>
  <c r="L42" i="34"/>
  <c r="AL41" i="34"/>
  <c r="Y41" i="34"/>
  <c r="L41" i="34"/>
  <c r="AL40" i="34"/>
  <c r="Y40" i="34"/>
  <c r="L40" i="34"/>
  <c r="AL39" i="34"/>
  <c r="Y39" i="34"/>
  <c r="L39" i="34"/>
  <c r="AL38" i="34"/>
  <c r="Y38" i="34"/>
  <c r="L38" i="34"/>
  <c r="AL37" i="34"/>
  <c r="Y37" i="34"/>
  <c r="L37" i="34"/>
  <c r="AL36" i="34"/>
  <c r="Y36" i="34"/>
  <c r="L36" i="34"/>
  <c r="AL35" i="34"/>
  <c r="Y35" i="34"/>
  <c r="L35" i="34"/>
  <c r="AL34" i="34"/>
  <c r="Y34" i="34"/>
  <c r="L34" i="34"/>
  <c r="AL33" i="34"/>
  <c r="Y33" i="34"/>
  <c r="L33" i="34"/>
  <c r="AL32" i="34"/>
  <c r="Y32" i="34"/>
  <c r="L32" i="34"/>
  <c r="AL31" i="34"/>
  <c r="Y31" i="34"/>
  <c r="L31" i="34"/>
  <c r="AL30" i="34"/>
  <c r="Y30" i="34"/>
  <c r="L30" i="34"/>
  <c r="AL29" i="34"/>
  <c r="Y29" i="34"/>
  <c r="L29" i="34"/>
  <c r="AL28" i="34"/>
  <c r="Y28" i="34"/>
  <c r="L28" i="34"/>
  <c r="AL27" i="34"/>
  <c r="Y27" i="34"/>
  <c r="L27" i="34"/>
  <c r="AL26" i="34"/>
  <c r="Y26" i="34"/>
  <c r="L26" i="34"/>
  <c r="AL25" i="34"/>
  <c r="Y25" i="34"/>
  <c r="L25" i="34"/>
  <c r="AL24" i="34"/>
  <c r="Y24" i="34"/>
  <c r="L24" i="34"/>
  <c r="AL23" i="34"/>
  <c r="Y23" i="34"/>
  <c r="L23" i="34"/>
  <c r="AL22" i="34"/>
  <c r="Y22" i="34"/>
  <c r="L22" i="34"/>
  <c r="AL21" i="34"/>
  <c r="Y21" i="34"/>
  <c r="L21" i="34"/>
  <c r="AL20" i="34"/>
  <c r="Y20" i="34"/>
  <c r="L20" i="34"/>
  <c r="AL19" i="34"/>
  <c r="Y19" i="34"/>
  <c r="L19" i="34"/>
  <c r="AL18" i="34"/>
  <c r="Y18" i="34"/>
  <c r="L18" i="34"/>
  <c r="AL17" i="34"/>
  <c r="Y17" i="34"/>
  <c r="L17" i="34"/>
  <c r="AL16" i="34"/>
  <c r="Y16" i="34"/>
  <c r="L16" i="34"/>
  <c r="AL15" i="34"/>
  <c r="Y15" i="34"/>
  <c r="L15" i="34"/>
  <c r="AL14" i="34"/>
  <c r="Y14" i="34"/>
  <c r="L14" i="34"/>
  <c r="AL13" i="34"/>
  <c r="Y13" i="34"/>
  <c r="L13" i="34"/>
  <c r="AL12" i="34"/>
  <c r="Y12" i="34"/>
  <c r="L12" i="34"/>
  <c r="AL11" i="34"/>
  <c r="Y11" i="34"/>
  <c r="L11" i="34"/>
  <c r="AL10" i="34"/>
  <c r="Y10" i="34"/>
  <c r="L10" i="34"/>
  <c r="AL9" i="34"/>
  <c r="Y9" i="34"/>
  <c r="L9" i="34"/>
  <c r="AL8" i="34"/>
  <c r="Y8" i="34"/>
  <c r="L8" i="34"/>
  <c r="AL7" i="34"/>
  <c r="Y7" i="34"/>
  <c r="L7" i="34"/>
  <c r="AL6" i="34"/>
  <c r="Y6" i="34"/>
  <c r="L6" i="34"/>
  <c r="AL5" i="34"/>
  <c r="Y5" i="34"/>
  <c r="L5" i="34"/>
  <c r="AL4" i="34"/>
  <c r="Y4" i="34"/>
  <c r="L4" i="34"/>
  <c r="AL3" i="34"/>
  <c r="Y3" i="34"/>
  <c r="I23" i="33"/>
  <c r="F23" i="33"/>
  <c r="C23" i="33"/>
  <c r="I16" i="33" l="1"/>
  <c r="I17" i="33" s="1"/>
  <c r="I18" i="33" s="1"/>
  <c r="I19" i="33" s="1"/>
  <c r="F16" i="33"/>
  <c r="F17" i="33" s="1"/>
  <c r="F18" i="33" s="1"/>
  <c r="F19" i="33" s="1"/>
  <c r="C16" i="33"/>
  <c r="C17" i="33" s="1"/>
  <c r="C18" i="33" s="1"/>
  <c r="C19" i="33" s="1"/>
  <c r="I14" i="33"/>
  <c r="F14" i="33"/>
  <c r="C14" i="33"/>
  <c r="C20" i="33" l="1"/>
  <c r="F20" i="33"/>
  <c r="I20" i="33"/>
  <c r="B29" i="3"/>
  <c r="M3" i="25" s="1"/>
  <c r="B28" i="3"/>
  <c r="M5" i="27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5" i="5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5" i="4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5" i="3"/>
  <c r="M5" i="25" l="1"/>
  <c r="AE5" i="22" l="1"/>
  <c r="Q5" i="22" l="1"/>
  <c r="AF5" i="22"/>
  <c r="AE6" i="22"/>
  <c r="AF6" i="22" s="1"/>
  <c r="Q6" i="22" l="1"/>
  <c r="AE7" i="22"/>
  <c r="AF7" i="22" s="1"/>
  <c r="R93" i="13"/>
  <c r="P93" i="13"/>
  <c r="R92" i="13"/>
  <c r="P92" i="13"/>
  <c r="R91" i="13"/>
  <c r="P91" i="13"/>
  <c r="R90" i="13"/>
  <c r="P90" i="13"/>
  <c r="R89" i="13"/>
  <c r="P89" i="13"/>
  <c r="R88" i="13"/>
  <c r="P88" i="13"/>
  <c r="R87" i="13"/>
  <c r="P87" i="13"/>
  <c r="R86" i="13"/>
  <c r="P86" i="13"/>
  <c r="R85" i="13"/>
  <c r="P85" i="13"/>
  <c r="R84" i="13"/>
  <c r="P84" i="13"/>
  <c r="R83" i="13"/>
  <c r="P83" i="13"/>
  <c r="R82" i="13"/>
  <c r="P82" i="13"/>
  <c r="R81" i="13"/>
  <c r="P81" i="13"/>
  <c r="R80" i="13"/>
  <c r="P80" i="13"/>
  <c r="R79" i="13"/>
  <c r="P79" i="13"/>
  <c r="R78" i="13"/>
  <c r="P78" i="13"/>
  <c r="R77" i="13"/>
  <c r="P77" i="13"/>
  <c r="R76" i="13"/>
  <c r="P76" i="13"/>
  <c r="R75" i="13"/>
  <c r="P75" i="13"/>
  <c r="R74" i="13"/>
  <c r="P74" i="13"/>
  <c r="R73" i="13"/>
  <c r="P73" i="13"/>
  <c r="R72" i="13"/>
  <c r="P72" i="13"/>
  <c r="R71" i="13"/>
  <c r="P71" i="13"/>
  <c r="R70" i="13"/>
  <c r="P70" i="13"/>
  <c r="R69" i="13"/>
  <c r="P69" i="13"/>
  <c r="R68" i="13"/>
  <c r="P68" i="13"/>
  <c r="R67" i="13"/>
  <c r="P67" i="13"/>
  <c r="R66" i="13"/>
  <c r="P66" i="13"/>
  <c r="R65" i="13"/>
  <c r="P65" i="13"/>
  <c r="R64" i="13"/>
  <c r="P64" i="13"/>
  <c r="R63" i="13"/>
  <c r="P63" i="13"/>
  <c r="R62" i="13"/>
  <c r="P62" i="13"/>
  <c r="R61" i="13"/>
  <c r="P61" i="13"/>
  <c r="R60" i="13"/>
  <c r="P60" i="13"/>
  <c r="R59" i="13"/>
  <c r="P59" i="13"/>
  <c r="R58" i="13"/>
  <c r="P58" i="13"/>
  <c r="R57" i="13"/>
  <c r="P57" i="13"/>
  <c r="R56" i="13"/>
  <c r="P56" i="13"/>
  <c r="R55" i="13"/>
  <c r="P55" i="13"/>
  <c r="R54" i="13"/>
  <c r="P54" i="13"/>
  <c r="R53" i="13"/>
  <c r="P53" i="13"/>
  <c r="R52" i="13"/>
  <c r="P52" i="13"/>
  <c r="R51" i="13"/>
  <c r="P51" i="13"/>
  <c r="R50" i="13"/>
  <c r="P50" i="13"/>
  <c r="R49" i="13"/>
  <c r="P49" i="13"/>
  <c r="R48" i="13"/>
  <c r="P48" i="13"/>
  <c r="R47" i="13"/>
  <c r="P47" i="13"/>
  <c r="R46" i="13"/>
  <c r="P46" i="13"/>
  <c r="R45" i="13"/>
  <c r="P45" i="13"/>
  <c r="R44" i="13"/>
  <c r="P44" i="13"/>
  <c r="R43" i="13"/>
  <c r="P43" i="13"/>
  <c r="R42" i="13"/>
  <c r="P42" i="13"/>
  <c r="R41" i="13"/>
  <c r="P41" i="13"/>
  <c r="R40" i="13"/>
  <c r="P40" i="13"/>
  <c r="R39" i="13"/>
  <c r="P39" i="13"/>
  <c r="R38" i="13"/>
  <c r="P38" i="13"/>
  <c r="R37" i="13"/>
  <c r="P37" i="13"/>
  <c r="R36" i="13"/>
  <c r="P36" i="13"/>
  <c r="R35" i="13"/>
  <c r="P35" i="13"/>
  <c r="R34" i="13"/>
  <c r="P34" i="13"/>
  <c r="R33" i="13"/>
  <c r="P33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6" i="13"/>
  <c r="P26" i="13"/>
  <c r="R25" i="13"/>
  <c r="P25" i="13"/>
  <c r="R24" i="13"/>
  <c r="P24" i="13"/>
  <c r="R23" i="13"/>
  <c r="P23" i="13"/>
  <c r="R22" i="13"/>
  <c r="P22" i="13"/>
  <c r="R21" i="13"/>
  <c r="P21" i="13"/>
  <c r="R20" i="13"/>
  <c r="P20" i="13"/>
  <c r="R19" i="13"/>
  <c r="P19" i="13"/>
  <c r="R18" i="13"/>
  <c r="P18" i="13"/>
  <c r="R17" i="13"/>
  <c r="P17" i="13"/>
  <c r="R16" i="13"/>
  <c r="P16" i="13"/>
  <c r="R15" i="13"/>
  <c r="P15" i="13"/>
  <c r="R14" i="13"/>
  <c r="P14" i="13"/>
  <c r="R13" i="13"/>
  <c r="P13" i="13"/>
  <c r="R12" i="13"/>
  <c r="P12" i="13"/>
  <c r="R11" i="13"/>
  <c r="P11" i="13"/>
  <c r="R10" i="13"/>
  <c r="P10" i="13"/>
  <c r="R9" i="13"/>
  <c r="P9" i="13"/>
  <c r="R8" i="13"/>
  <c r="P8" i="13"/>
  <c r="R7" i="13"/>
  <c r="P7" i="13"/>
  <c r="R6" i="13"/>
  <c r="P6" i="13"/>
  <c r="R5" i="13"/>
  <c r="P5" i="13"/>
  <c r="R4" i="13"/>
  <c r="P4" i="13"/>
  <c r="L93" i="13"/>
  <c r="J93" i="13"/>
  <c r="L92" i="13"/>
  <c r="J92" i="13"/>
  <c r="L91" i="13"/>
  <c r="J91" i="13"/>
  <c r="L90" i="13"/>
  <c r="J90" i="13"/>
  <c r="L89" i="13"/>
  <c r="J89" i="13"/>
  <c r="L88" i="13"/>
  <c r="J88" i="13"/>
  <c r="L87" i="13"/>
  <c r="J87" i="13"/>
  <c r="L86" i="13"/>
  <c r="J86" i="13"/>
  <c r="L85" i="13"/>
  <c r="J85" i="13"/>
  <c r="L84" i="13"/>
  <c r="J84" i="13"/>
  <c r="L83" i="13"/>
  <c r="J83" i="13"/>
  <c r="L82" i="13"/>
  <c r="J82" i="13"/>
  <c r="L81" i="13"/>
  <c r="J81" i="13"/>
  <c r="L80" i="13"/>
  <c r="J80" i="13"/>
  <c r="L79" i="13"/>
  <c r="J79" i="13"/>
  <c r="L78" i="13"/>
  <c r="J78" i="13"/>
  <c r="L77" i="13"/>
  <c r="J77" i="13"/>
  <c r="L76" i="13"/>
  <c r="J76" i="13"/>
  <c r="L75" i="13"/>
  <c r="J75" i="13"/>
  <c r="L74" i="13"/>
  <c r="J74" i="13"/>
  <c r="L73" i="13"/>
  <c r="J73" i="13"/>
  <c r="L72" i="13"/>
  <c r="J72" i="13"/>
  <c r="L71" i="13"/>
  <c r="J71" i="13"/>
  <c r="L70" i="13"/>
  <c r="J70" i="13"/>
  <c r="L69" i="13"/>
  <c r="J69" i="13"/>
  <c r="L68" i="13"/>
  <c r="J68" i="13"/>
  <c r="L67" i="13"/>
  <c r="J67" i="13"/>
  <c r="L66" i="13"/>
  <c r="J66" i="13"/>
  <c r="L65" i="13"/>
  <c r="J65" i="13"/>
  <c r="L64" i="13"/>
  <c r="J64" i="13"/>
  <c r="L63" i="13"/>
  <c r="J63" i="13"/>
  <c r="L62" i="13"/>
  <c r="J62" i="13"/>
  <c r="L61" i="13"/>
  <c r="J61" i="13"/>
  <c r="L60" i="13"/>
  <c r="J60" i="13"/>
  <c r="L59" i="13"/>
  <c r="J59" i="13"/>
  <c r="L58" i="13"/>
  <c r="J58" i="13"/>
  <c r="L57" i="13"/>
  <c r="J57" i="13"/>
  <c r="L56" i="13"/>
  <c r="J56" i="13"/>
  <c r="L55" i="13"/>
  <c r="J55" i="13"/>
  <c r="L54" i="13"/>
  <c r="J54" i="13"/>
  <c r="L53" i="13"/>
  <c r="J53" i="13"/>
  <c r="L52" i="13"/>
  <c r="J52" i="13"/>
  <c r="L51" i="13"/>
  <c r="J51" i="13"/>
  <c r="L50" i="13"/>
  <c r="J50" i="13"/>
  <c r="L49" i="13"/>
  <c r="J49" i="13"/>
  <c r="L48" i="13"/>
  <c r="J48" i="13"/>
  <c r="L47" i="13"/>
  <c r="J47" i="13"/>
  <c r="L46" i="13"/>
  <c r="J46" i="13"/>
  <c r="L45" i="13"/>
  <c r="J45" i="13"/>
  <c r="L44" i="13"/>
  <c r="J44" i="13"/>
  <c r="L43" i="13"/>
  <c r="J43" i="13"/>
  <c r="L42" i="13"/>
  <c r="J42" i="13"/>
  <c r="L41" i="13"/>
  <c r="J41" i="13"/>
  <c r="L40" i="13"/>
  <c r="J40" i="13"/>
  <c r="L39" i="13"/>
  <c r="J39" i="13"/>
  <c r="L38" i="13"/>
  <c r="J38" i="13"/>
  <c r="L37" i="13"/>
  <c r="J37" i="13"/>
  <c r="L36" i="13"/>
  <c r="J36" i="13"/>
  <c r="L35" i="13"/>
  <c r="J35" i="13"/>
  <c r="L34" i="13"/>
  <c r="J34" i="13"/>
  <c r="L33" i="13"/>
  <c r="J33" i="13"/>
  <c r="L32" i="13"/>
  <c r="J32" i="13"/>
  <c r="L31" i="13"/>
  <c r="J31" i="13"/>
  <c r="L30" i="13"/>
  <c r="J30" i="13"/>
  <c r="L29" i="13"/>
  <c r="J29" i="13"/>
  <c r="L28" i="13"/>
  <c r="J28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J16" i="13"/>
  <c r="L15" i="13"/>
  <c r="J15" i="13"/>
  <c r="L14" i="13"/>
  <c r="J14" i="13"/>
  <c r="L13" i="13"/>
  <c r="J13" i="13"/>
  <c r="L12" i="13"/>
  <c r="J12" i="13"/>
  <c r="L11" i="13"/>
  <c r="J11" i="13"/>
  <c r="L10" i="13"/>
  <c r="J10" i="13"/>
  <c r="L9" i="13"/>
  <c r="J9" i="13"/>
  <c r="L8" i="13"/>
  <c r="J8" i="13"/>
  <c r="L7" i="13"/>
  <c r="J7" i="13"/>
  <c r="L6" i="13"/>
  <c r="J6" i="13"/>
  <c r="L5" i="13"/>
  <c r="J5" i="13"/>
  <c r="L4" i="13"/>
  <c r="J4" i="13"/>
  <c r="F93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AE8" i="22" l="1"/>
  <c r="AF8" i="22" s="1"/>
  <c r="B3" i="25"/>
  <c r="J4" i="25"/>
  <c r="K4" i="25" s="1"/>
  <c r="B3" i="27"/>
  <c r="J4" i="27"/>
  <c r="J5" i="27" s="1"/>
  <c r="J6" i="27" s="1"/>
  <c r="J7" i="27" s="1"/>
  <c r="J8" i="27" s="1"/>
  <c r="J9" i="27" s="1"/>
  <c r="J10" i="27" s="1"/>
  <c r="J11" i="27" s="1"/>
  <c r="J12" i="27" s="1"/>
  <c r="B49" i="5"/>
  <c r="B36" i="5"/>
  <c r="B26" i="5"/>
  <c r="B5" i="5"/>
  <c r="B3" i="5"/>
  <c r="K4" i="27" l="1"/>
  <c r="AE9" i="22"/>
  <c r="AF9" i="22" s="1"/>
  <c r="J5" i="25"/>
  <c r="H3" i="25"/>
  <c r="B4" i="25"/>
  <c r="B5" i="25" s="1"/>
  <c r="K5" i="27"/>
  <c r="K7" i="27"/>
  <c r="K9" i="27"/>
  <c r="B4" i="27"/>
  <c r="J13" i="27"/>
  <c r="K12" i="27"/>
  <c r="K11" i="27"/>
  <c r="H3" i="27"/>
  <c r="K6" i="27"/>
  <c r="K8" i="27"/>
  <c r="K10" i="27"/>
  <c r="AE10" i="22" l="1"/>
  <c r="AF10" i="22" s="1"/>
  <c r="J6" i="25"/>
  <c r="K5" i="25"/>
  <c r="H4" i="25"/>
  <c r="B6" i="25"/>
  <c r="H5" i="25"/>
  <c r="B5" i="27"/>
  <c r="H4" i="27"/>
  <c r="J14" i="27"/>
  <c r="K13" i="27"/>
  <c r="AE11" i="22" l="1"/>
  <c r="AF11" i="22" s="1"/>
  <c r="J7" i="25"/>
  <c r="K6" i="25"/>
  <c r="H6" i="25"/>
  <c r="B7" i="25"/>
  <c r="J15" i="27"/>
  <c r="K14" i="27"/>
  <c r="B6" i="27"/>
  <c r="H5" i="27"/>
  <c r="AE12" i="22" l="1"/>
  <c r="AF12" i="22" s="1"/>
  <c r="J8" i="25"/>
  <c r="K7" i="25"/>
  <c r="H7" i="25"/>
  <c r="B8" i="25"/>
  <c r="H6" i="27"/>
  <c r="B7" i="27"/>
  <c r="J16" i="27"/>
  <c r="K15" i="27"/>
  <c r="AE13" i="22" l="1"/>
  <c r="AF13" i="22" s="1"/>
  <c r="J9" i="25"/>
  <c r="K8" i="25"/>
  <c r="B9" i="25"/>
  <c r="H8" i="25"/>
  <c r="J17" i="27"/>
  <c r="K16" i="27"/>
  <c r="B8" i="27"/>
  <c r="H7" i="27"/>
  <c r="B3" i="3"/>
  <c r="B5" i="3"/>
  <c r="B26" i="3"/>
  <c r="B36" i="3"/>
  <c r="B49" i="3"/>
  <c r="AE14" i="22" l="1"/>
  <c r="AF14" i="22" s="1"/>
  <c r="J10" i="25"/>
  <c r="K9" i="25"/>
  <c r="B10" i="25"/>
  <c r="H9" i="25"/>
  <c r="J18" i="27"/>
  <c r="K17" i="27"/>
  <c r="H8" i="27"/>
  <c r="B9" i="27"/>
  <c r="AE15" i="22" l="1"/>
  <c r="AF15" i="22" s="1"/>
  <c r="J11" i="25"/>
  <c r="K10" i="25"/>
  <c r="H10" i="25"/>
  <c r="B11" i="25"/>
  <c r="B10" i="27"/>
  <c r="H9" i="27"/>
  <c r="J19" i="27"/>
  <c r="K18" i="27"/>
  <c r="X3" i="12"/>
  <c r="Y3" i="12"/>
  <c r="Y4" i="12" s="1"/>
  <c r="Y5" i="12" s="1"/>
  <c r="Y6" i="12" s="1"/>
  <c r="Y7" i="12" s="1"/>
  <c r="Y8" i="12" s="1"/>
  <c r="Y9" i="12" s="1"/>
  <c r="Y10" i="12" s="1"/>
  <c r="Y11" i="12" s="1"/>
  <c r="Y12" i="12" s="1"/>
  <c r="Y13" i="12" s="1"/>
  <c r="Y14" i="12" s="1"/>
  <c r="Y15" i="12" s="1"/>
  <c r="Y16" i="12" s="1"/>
  <c r="Y17" i="12" s="1"/>
  <c r="Y18" i="12" s="1"/>
  <c r="Y19" i="12" s="1"/>
  <c r="Y20" i="12" s="1"/>
  <c r="Y21" i="12" s="1"/>
  <c r="Y22" i="12" s="1"/>
  <c r="Y23" i="12" s="1"/>
  <c r="Y24" i="12" s="1"/>
  <c r="Y25" i="12" s="1"/>
  <c r="Y26" i="12" s="1"/>
  <c r="Y27" i="12" s="1"/>
  <c r="Y28" i="12" s="1"/>
  <c r="Y29" i="12" s="1"/>
  <c r="Y30" i="12" s="1"/>
  <c r="Y31" i="12" s="1"/>
  <c r="Y32" i="12" s="1"/>
  <c r="Y33" i="12" s="1"/>
  <c r="Y34" i="12" s="1"/>
  <c r="Y35" i="12" s="1"/>
  <c r="Y36" i="12" s="1"/>
  <c r="Y37" i="12" s="1"/>
  <c r="Y38" i="12" s="1"/>
  <c r="Y39" i="12" s="1"/>
  <c r="Y40" i="12" s="1"/>
  <c r="Y41" i="12" s="1"/>
  <c r="Y42" i="12" s="1"/>
  <c r="Y43" i="12" s="1"/>
  <c r="Y44" i="12" s="1"/>
  <c r="Y45" i="12" s="1"/>
  <c r="Y46" i="12" s="1"/>
  <c r="Y47" i="12" s="1"/>
  <c r="Y48" i="12" s="1"/>
  <c r="Y49" i="12" s="1"/>
  <c r="Y50" i="12" s="1"/>
  <c r="Y51" i="12" s="1"/>
  <c r="Y52" i="12" s="1"/>
  <c r="Y53" i="12" s="1"/>
  <c r="Y54" i="12" s="1"/>
  <c r="Y55" i="12" s="1"/>
  <c r="Y56" i="12" s="1"/>
  <c r="Y57" i="12" s="1"/>
  <c r="Y58" i="12" s="1"/>
  <c r="Y59" i="12" s="1"/>
  <c r="Y60" i="12" s="1"/>
  <c r="Y61" i="12" s="1"/>
  <c r="Y62" i="12" s="1"/>
  <c r="Y63" i="12" s="1"/>
  <c r="Y64" i="12" s="1"/>
  <c r="Y65" i="12" s="1"/>
  <c r="Y66" i="12" s="1"/>
  <c r="Y67" i="12" s="1"/>
  <c r="Y68" i="12" s="1"/>
  <c r="Y69" i="12" s="1"/>
  <c r="Y70" i="12" s="1"/>
  <c r="Y71" i="12" s="1"/>
  <c r="Y72" i="12" s="1"/>
  <c r="Y73" i="12" s="1"/>
  <c r="Y74" i="12" s="1"/>
  <c r="Y75" i="12" s="1"/>
  <c r="Y76" i="12" s="1"/>
  <c r="Y77" i="12" s="1"/>
  <c r="Y78" i="12" s="1"/>
  <c r="Y79" i="12" s="1"/>
  <c r="Y80" i="12" s="1"/>
  <c r="Y81" i="12" s="1"/>
  <c r="Y82" i="12" s="1"/>
  <c r="Y83" i="12" s="1"/>
  <c r="Y84" i="12" s="1"/>
  <c r="Y85" i="12" s="1"/>
  <c r="Y86" i="12" s="1"/>
  <c r="Y87" i="12" s="1"/>
  <c r="Y88" i="12" s="1"/>
  <c r="Y89" i="12" s="1"/>
  <c r="Y90" i="12" s="1"/>
  <c r="Y91" i="12" s="1"/>
  <c r="Y92" i="12" s="1"/>
  <c r="N3" i="12"/>
  <c r="N4" i="12" s="1"/>
  <c r="N5" i="12" s="1"/>
  <c r="N6" i="12" s="1"/>
  <c r="N7" i="12" s="1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N56" i="12" s="1"/>
  <c r="N57" i="12" s="1"/>
  <c r="N58" i="12" s="1"/>
  <c r="N59" i="12" s="1"/>
  <c r="N60" i="12" s="1"/>
  <c r="N61" i="12" s="1"/>
  <c r="N62" i="12" s="1"/>
  <c r="N63" i="12" s="1"/>
  <c r="N64" i="12" s="1"/>
  <c r="N65" i="12" s="1"/>
  <c r="N66" i="12" s="1"/>
  <c r="N67" i="12" s="1"/>
  <c r="N68" i="12" s="1"/>
  <c r="N69" i="12" s="1"/>
  <c r="N70" i="12" s="1"/>
  <c r="N71" i="12" s="1"/>
  <c r="N72" i="12" s="1"/>
  <c r="N73" i="12" s="1"/>
  <c r="N74" i="12" s="1"/>
  <c r="N75" i="12" s="1"/>
  <c r="N76" i="12" s="1"/>
  <c r="N77" i="12" s="1"/>
  <c r="N78" i="12" s="1"/>
  <c r="N79" i="12" s="1"/>
  <c r="N80" i="12" s="1"/>
  <c r="N81" i="12" s="1"/>
  <c r="N82" i="12" s="1"/>
  <c r="N83" i="12" s="1"/>
  <c r="N84" i="12" s="1"/>
  <c r="N85" i="12" s="1"/>
  <c r="N86" i="12" s="1"/>
  <c r="N87" i="12" s="1"/>
  <c r="N88" i="12" s="1"/>
  <c r="N89" i="12" s="1"/>
  <c r="N90" i="12" s="1"/>
  <c r="N91" i="12" s="1"/>
  <c r="N92" i="12" s="1"/>
  <c r="Q3" i="12"/>
  <c r="Q4" i="12" s="1"/>
  <c r="Q5" i="12" s="1"/>
  <c r="Q6" i="12" s="1"/>
  <c r="Q7" i="12" s="1"/>
  <c r="Q8" i="12" s="1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Q57" i="12" s="1"/>
  <c r="Q58" i="12" s="1"/>
  <c r="Q59" i="12" s="1"/>
  <c r="Q60" i="12" s="1"/>
  <c r="Q61" i="12" s="1"/>
  <c r="Q62" i="12" s="1"/>
  <c r="Q63" i="12" s="1"/>
  <c r="Q64" i="12" s="1"/>
  <c r="Q65" i="12" s="1"/>
  <c r="Q66" i="12" s="1"/>
  <c r="Q67" i="12" s="1"/>
  <c r="Q68" i="12" s="1"/>
  <c r="Q69" i="12" s="1"/>
  <c r="Q70" i="12" s="1"/>
  <c r="Q71" i="12" s="1"/>
  <c r="Q72" i="12" s="1"/>
  <c r="Q73" i="12" s="1"/>
  <c r="Q74" i="12" s="1"/>
  <c r="Q75" i="12" s="1"/>
  <c r="Q76" i="12" s="1"/>
  <c r="Q77" i="12" s="1"/>
  <c r="Q78" i="12" s="1"/>
  <c r="Q79" i="12" s="1"/>
  <c r="Q80" i="12" s="1"/>
  <c r="Q81" i="12" s="1"/>
  <c r="Q82" i="12" s="1"/>
  <c r="Q83" i="12" s="1"/>
  <c r="Q84" i="12" s="1"/>
  <c r="Q85" i="12" s="1"/>
  <c r="Q86" i="12" s="1"/>
  <c r="Q87" i="12" s="1"/>
  <c r="Q88" i="12" s="1"/>
  <c r="Q89" i="12" s="1"/>
  <c r="Q90" i="12" s="1"/>
  <c r="Q91" i="12" s="1"/>
  <c r="Q92" i="12" s="1"/>
  <c r="F3" i="12"/>
  <c r="F4" i="12" s="1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M3" i="12"/>
  <c r="M4" i="12" s="1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C3" i="12"/>
  <c r="C4" i="12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AE16" i="22" l="1"/>
  <c r="AF16" i="22" s="1"/>
  <c r="J12" i="25"/>
  <c r="K11" i="25"/>
  <c r="H11" i="25"/>
  <c r="B12" i="25"/>
  <c r="B11" i="27"/>
  <c r="H10" i="27"/>
  <c r="J20" i="27"/>
  <c r="K19" i="27"/>
  <c r="M71" i="12"/>
  <c r="B71" i="12"/>
  <c r="AE17" i="22" l="1"/>
  <c r="AF17" i="22" s="1"/>
  <c r="J13" i="25"/>
  <c r="K12" i="25"/>
  <c r="H12" i="25"/>
  <c r="B13" i="25"/>
  <c r="J21" i="27"/>
  <c r="K20" i="27"/>
  <c r="H11" i="27"/>
  <c r="B12" i="27"/>
  <c r="M72" i="12"/>
  <c r="B72" i="12"/>
  <c r="AE18" i="22" l="1"/>
  <c r="AF18" i="22" s="1"/>
  <c r="J14" i="25"/>
  <c r="K13" i="25"/>
  <c r="H13" i="25"/>
  <c r="B14" i="25"/>
  <c r="J22" i="27"/>
  <c r="K21" i="27"/>
  <c r="B13" i="27"/>
  <c r="H12" i="27"/>
  <c r="M73" i="12"/>
  <c r="B73" i="12"/>
  <c r="B49" i="4"/>
  <c r="B3" i="26"/>
  <c r="J4" i="26"/>
  <c r="J5" i="26" s="1"/>
  <c r="K4" i="26" l="1"/>
  <c r="AE19" i="22"/>
  <c r="AF19" i="22" s="1"/>
  <c r="J15" i="25"/>
  <c r="K14" i="25"/>
  <c r="H14" i="25"/>
  <c r="B15" i="25"/>
  <c r="H13" i="27"/>
  <c r="B14" i="27"/>
  <c r="K22" i="27"/>
  <c r="J23" i="27"/>
  <c r="H3" i="26"/>
  <c r="M74" i="12"/>
  <c r="B74" i="12"/>
  <c r="K5" i="26"/>
  <c r="J6" i="26"/>
  <c r="B4" i="26"/>
  <c r="AE20" i="22" l="1"/>
  <c r="AF20" i="22" s="1"/>
  <c r="J16" i="25"/>
  <c r="K15" i="25"/>
  <c r="H15" i="25"/>
  <c r="B16" i="25"/>
  <c r="K23" i="27"/>
  <c r="J24" i="27"/>
  <c r="B15" i="27"/>
  <c r="H14" i="27"/>
  <c r="M75" i="12"/>
  <c r="B75" i="12"/>
  <c r="B5" i="26"/>
  <c r="H4" i="26"/>
  <c r="J7" i="26"/>
  <c r="K6" i="26"/>
  <c r="AE21" i="22" l="1"/>
  <c r="AF21" i="22" s="1"/>
  <c r="J17" i="25"/>
  <c r="K16" i="25"/>
  <c r="B17" i="25"/>
  <c r="H16" i="25"/>
  <c r="B16" i="27"/>
  <c r="H15" i="27"/>
  <c r="J25" i="27"/>
  <c r="K24" i="27"/>
  <c r="M76" i="12"/>
  <c r="B76" i="12"/>
  <c r="J8" i="26"/>
  <c r="K7" i="26"/>
  <c r="B6" i="26"/>
  <c r="H5" i="26"/>
  <c r="B26" i="4"/>
  <c r="P5" i="22"/>
  <c r="P6" i="22" s="1"/>
  <c r="P7" i="22" s="1"/>
  <c r="A5" i="22"/>
  <c r="AP4" i="22"/>
  <c r="AA4" i="22"/>
  <c r="L4" i="22"/>
  <c r="A6" i="22" l="1"/>
  <c r="B5" i="22"/>
  <c r="L5" i="22" s="1"/>
  <c r="A7" i="22"/>
  <c r="AE22" i="22"/>
  <c r="AF22" i="22" s="1"/>
  <c r="J18" i="25"/>
  <c r="K17" i="25"/>
  <c r="H17" i="25"/>
  <c r="B18" i="25"/>
  <c r="B17" i="27"/>
  <c r="H16" i="27"/>
  <c r="K25" i="27"/>
  <c r="J26" i="27"/>
  <c r="M77" i="12"/>
  <c r="B77" i="12"/>
  <c r="B7" i="26"/>
  <c r="H6" i="26"/>
  <c r="K8" i="26"/>
  <c r="J9" i="26"/>
  <c r="P8" i="22"/>
  <c r="B6" i="22" l="1"/>
  <c r="A8" i="22"/>
  <c r="AE23" i="22"/>
  <c r="AF23" i="22" s="1"/>
  <c r="J19" i="25"/>
  <c r="K18" i="25"/>
  <c r="B19" i="25"/>
  <c r="H18" i="25"/>
  <c r="J27" i="27"/>
  <c r="K26" i="27"/>
  <c r="B18" i="27"/>
  <c r="H17" i="27"/>
  <c r="M78" i="12"/>
  <c r="B78" i="12"/>
  <c r="J10" i="26"/>
  <c r="K9" i="26"/>
  <c r="B8" i="26"/>
  <c r="H7" i="26"/>
  <c r="AA5" i="22"/>
  <c r="P9" i="22"/>
  <c r="AP5" i="22"/>
  <c r="B8" i="22" l="1"/>
  <c r="L8" i="22" s="1"/>
  <c r="B7" i="22"/>
  <c r="L7" i="22" s="1"/>
  <c r="L6" i="22"/>
  <c r="AP6" i="22"/>
  <c r="Q7" i="22"/>
  <c r="A9" i="22"/>
  <c r="B9" i="22" s="1"/>
  <c r="L9" i="22" s="1"/>
  <c r="Q8" i="22"/>
  <c r="AE24" i="22"/>
  <c r="AF24" i="22" s="1"/>
  <c r="J20" i="25"/>
  <c r="K19" i="25"/>
  <c r="H19" i="25"/>
  <c r="B20" i="25"/>
  <c r="B19" i="27"/>
  <c r="H18" i="27"/>
  <c r="J28" i="27"/>
  <c r="K27" i="27"/>
  <c r="M79" i="12"/>
  <c r="B79" i="12"/>
  <c r="B9" i="26"/>
  <c r="H8" i="26"/>
  <c r="J11" i="26"/>
  <c r="K10" i="26"/>
  <c r="AA6" i="22"/>
  <c r="P10" i="22"/>
  <c r="AP7" i="22"/>
  <c r="A10" i="22" l="1"/>
  <c r="B10" i="22" s="1"/>
  <c r="L10" i="22" s="1"/>
  <c r="AE25" i="22"/>
  <c r="AF25" i="22" s="1"/>
  <c r="J21" i="25"/>
  <c r="K20" i="25"/>
  <c r="H20" i="25"/>
  <c r="B21" i="25"/>
  <c r="B20" i="27"/>
  <c r="H19" i="27"/>
  <c r="K28" i="27"/>
  <c r="J29" i="27"/>
  <c r="M80" i="12"/>
  <c r="B80" i="12"/>
  <c r="K11" i="26"/>
  <c r="J12" i="26"/>
  <c r="B10" i="26"/>
  <c r="H9" i="26"/>
  <c r="P11" i="22"/>
  <c r="AA7" i="22"/>
  <c r="Q9" i="22" l="1"/>
  <c r="AP8" i="22"/>
  <c r="A11" i="22"/>
  <c r="B11" i="22" s="1"/>
  <c r="L11" i="22" s="1"/>
  <c r="AE26" i="22"/>
  <c r="AF26" i="22" s="1"/>
  <c r="J22" i="25"/>
  <c r="K21" i="25"/>
  <c r="B22" i="25"/>
  <c r="H21" i="25"/>
  <c r="J30" i="27"/>
  <c r="K29" i="27"/>
  <c r="B21" i="27"/>
  <c r="H20" i="27"/>
  <c r="M81" i="12"/>
  <c r="B81" i="12"/>
  <c r="B11" i="26"/>
  <c r="H10" i="26"/>
  <c r="J13" i="26"/>
  <c r="K12" i="26"/>
  <c r="P12" i="22"/>
  <c r="AA8" i="22"/>
  <c r="Q10" i="22" l="1"/>
  <c r="AP9" i="22"/>
  <c r="A12" i="22"/>
  <c r="B12" i="22" s="1"/>
  <c r="L12" i="22" s="1"/>
  <c r="AE27" i="22"/>
  <c r="AF27" i="22" s="1"/>
  <c r="J23" i="25"/>
  <c r="K22" i="25"/>
  <c r="H22" i="25"/>
  <c r="B23" i="25"/>
  <c r="B22" i="27"/>
  <c r="H21" i="27"/>
  <c r="K30" i="27"/>
  <c r="J31" i="27"/>
  <c r="M82" i="12"/>
  <c r="B82" i="12"/>
  <c r="K13" i="26"/>
  <c r="J14" i="26"/>
  <c r="B12" i="26"/>
  <c r="H11" i="26"/>
  <c r="P13" i="22"/>
  <c r="AA9" i="22"/>
  <c r="Q11" i="22" l="1"/>
  <c r="AP10" i="22"/>
  <c r="A13" i="22"/>
  <c r="B13" i="22" s="1"/>
  <c r="L13" i="22" s="1"/>
  <c r="AE28" i="22"/>
  <c r="AF28" i="22" s="1"/>
  <c r="J24" i="25"/>
  <c r="K23" i="25"/>
  <c r="H23" i="25"/>
  <c r="B24" i="25"/>
  <c r="B23" i="27"/>
  <c r="H22" i="27"/>
  <c r="J32" i="27"/>
  <c r="K31" i="27"/>
  <c r="M83" i="12"/>
  <c r="B83" i="12"/>
  <c r="B13" i="26"/>
  <c r="H12" i="26"/>
  <c r="J15" i="26"/>
  <c r="K14" i="26"/>
  <c r="AA10" i="22"/>
  <c r="P14" i="22"/>
  <c r="Q12" i="22" l="1"/>
  <c r="AP11" i="22"/>
  <c r="A14" i="22"/>
  <c r="B14" i="22" s="1"/>
  <c r="L14" i="22" s="1"/>
  <c r="AE29" i="22"/>
  <c r="AF29" i="22" s="1"/>
  <c r="J25" i="25"/>
  <c r="K24" i="25"/>
  <c r="B25" i="25"/>
  <c r="H24" i="25"/>
  <c r="H23" i="27"/>
  <c r="B24" i="27"/>
  <c r="K32" i="27"/>
  <c r="J33" i="27"/>
  <c r="M84" i="12"/>
  <c r="B84" i="12"/>
  <c r="K15" i="26"/>
  <c r="J16" i="26"/>
  <c r="B14" i="26"/>
  <c r="H13" i="26"/>
  <c r="AA11" i="22"/>
  <c r="P15" i="22"/>
  <c r="Q13" i="22" l="1"/>
  <c r="AP12" i="22"/>
  <c r="A15" i="22"/>
  <c r="B15" i="22" s="1"/>
  <c r="L15" i="22" s="1"/>
  <c r="AE30" i="22"/>
  <c r="AF30" i="22" s="1"/>
  <c r="J26" i="25"/>
  <c r="K25" i="25"/>
  <c r="H25" i="25"/>
  <c r="B26" i="25"/>
  <c r="J34" i="27"/>
  <c r="K33" i="27"/>
  <c r="B25" i="27"/>
  <c r="H24" i="27"/>
  <c r="M85" i="12"/>
  <c r="B85" i="12"/>
  <c r="B15" i="26"/>
  <c r="H14" i="26"/>
  <c r="K16" i="26"/>
  <c r="J17" i="26"/>
  <c r="P16" i="22"/>
  <c r="AA12" i="22"/>
  <c r="Q14" i="22" l="1"/>
  <c r="AP13" i="22"/>
  <c r="A16" i="22"/>
  <c r="B16" i="22" s="1"/>
  <c r="L16" i="22" s="1"/>
  <c r="AE31" i="22"/>
  <c r="AF31" i="22" s="1"/>
  <c r="J27" i="25"/>
  <c r="K26" i="25"/>
  <c r="B27" i="25"/>
  <c r="H26" i="25"/>
  <c r="K34" i="27"/>
  <c r="J35" i="27"/>
  <c r="B26" i="27"/>
  <c r="H25" i="27"/>
  <c r="M86" i="12"/>
  <c r="B86" i="12"/>
  <c r="K17" i="26"/>
  <c r="J18" i="26"/>
  <c r="B16" i="26"/>
  <c r="H15" i="26"/>
  <c r="AA13" i="22"/>
  <c r="P17" i="22"/>
  <c r="Q15" i="22" l="1"/>
  <c r="AP14" i="22"/>
  <c r="A17" i="22"/>
  <c r="B17" i="22" s="1"/>
  <c r="L17" i="22" s="1"/>
  <c r="AE32" i="22"/>
  <c r="AF32" i="22" s="1"/>
  <c r="J28" i="25"/>
  <c r="K27" i="25"/>
  <c r="H27" i="25"/>
  <c r="B28" i="25"/>
  <c r="J36" i="27"/>
  <c r="K35" i="27"/>
  <c r="B27" i="27"/>
  <c r="H26" i="27"/>
  <c r="M87" i="12"/>
  <c r="B87" i="12"/>
  <c r="B17" i="26"/>
  <c r="H16" i="26"/>
  <c r="J19" i="26"/>
  <c r="K18" i="26"/>
  <c r="AA14" i="22"/>
  <c r="P18" i="22"/>
  <c r="Q16" i="22" l="1"/>
  <c r="AP15" i="22"/>
  <c r="A18" i="22"/>
  <c r="B18" i="22" s="1"/>
  <c r="L18" i="22" s="1"/>
  <c r="AE33" i="22"/>
  <c r="AF33" i="22" s="1"/>
  <c r="J29" i="25"/>
  <c r="K28" i="25"/>
  <c r="H28" i="25"/>
  <c r="B29" i="25"/>
  <c r="B28" i="27"/>
  <c r="H27" i="27"/>
  <c r="K36" i="27"/>
  <c r="J37" i="27"/>
  <c r="M88" i="12"/>
  <c r="B88" i="12"/>
  <c r="K19" i="26"/>
  <c r="J20" i="26"/>
  <c r="B18" i="26"/>
  <c r="H17" i="26"/>
  <c r="P19" i="22"/>
  <c r="AA15" i="22"/>
  <c r="Q17" i="22" l="1"/>
  <c r="AP16" i="22"/>
  <c r="A19" i="22"/>
  <c r="B19" i="22" s="1"/>
  <c r="L19" i="22" s="1"/>
  <c r="AE34" i="22"/>
  <c r="AF34" i="22" s="1"/>
  <c r="J30" i="25"/>
  <c r="K29" i="25"/>
  <c r="B30" i="25"/>
  <c r="H29" i="25"/>
  <c r="J38" i="27"/>
  <c r="K37" i="27"/>
  <c r="B29" i="27"/>
  <c r="H28" i="27"/>
  <c r="M89" i="12"/>
  <c r="B89" i="12"/>
  <c r="B19" i="26"/>
  <c r="H18" i="26"/>
  <c r="J21" i="26"/>
  <c r="K20" i="26"/>
  <c r="AA16" i="22"/>
  <c r="P20" i="22"/>
  <c r="Q18" i="22" l="1"/>
  <c r="AP17" i="22"/>
  <c r="A20" i="22"/>
  <c r="B20" i="22" s="1"/>
  <c r="L20" i="22" s="1"/>
  <c r="AE35" i="22"/>
  <c r="AF35" i="22" s="1"/>
  <c r="J31" i="25"/>
  <c r="K30" i="25"/>
  <c r="H30" i="25"/>
  <c r="B31" i="25"/>
  <c r="H29" i="27"/>
  <c r="B30" i="27"/>
  <c r="K38" i="27"/>
  <c r="J39" i="27"/>
  <c r="M90" i="12"/>
  <c r="B90" i="12"/>
  <c r="J22" i="26"/>
  <c r="K21" i="26"/>
  <c r="H19" i="26"/>
  <c r="B20" i="26"/>
  <c r="P21" i="22"/>
  <c r="AA17" i="22"/>
  <c r="Q19" i="22" l="1"/>
  <c r="AP18" i="22"/>
  <c r="A21" i="22"/>
  <c r="B21" i="22" s="1"/>
  <c r="L21" i="22" s="1"/>
  <c r="AE36" i="22"/>
  <c r="AF36" i="22" s="1"/>
  <c r="J32" i="25"/>
  <c r="K31" i="25"/>
  <c r="B32" i="25"/>
  <c r="H31" i="25"/>
  <c r="J40" i="27"/>
  <c r="K39" i="27"/>
  <c r="B31" i="27"/>
  <c r="H30" i="27"/>
  <c r="M91" i="12"/>
  <c r="B91" i="12"/>
  <c r="H20" i="26"/>
  <c r="B21" i="26"/>
  <c r="J23" i="26"/>
  <c r="K22" i="26"/>
  <c r="AA18" i="22"/>
  <c r="P22" i="22"/>
  <c r="Q20" i="22" l="1"/>
  <c r="AP19" i="22"/>
  <c r="A22" i="22"/>
  <c r="B22" i="22" s="1"/>
  <c r="L22" i="22" s="1"/>
  <c r="AE37" i="22"/>
  <c r="AF37" i="22" s="1"/>
  <c r="K32" i="25"/>
  <c r="J33" i="25"/>
  <c r="B33" i="25"/>
  <c r="H32" i="25"/>
  <c r="H31" i="27"/>
  <c r="B32" i="27"/>
  <c r="J41" i="27"/>
  <c r="K40" i="27"/>
  <c r="M92" i="12"/>
  <c r="B92" i="12"/>
  <c r="J24" i="26"/>
  <c r="K23" i="26"/>
  <c r="B22" i="26"/>
  <c r="H21" i="26"/>
  <c r="AA19" i="22"/>
  <c r="P23" i="22"/>
  <c r="Q21" i="22" l="1"/>
  <c r="AP20" i="22"/>
  <c r="A23" i="22"/>
  <c r="B23" i="22" s="1"/>
  <c r="L23" i="22" s="1"/>
  <c r="AE38" i="22"/>
  <c r="AF38" i="22" s="1"/>
  <c r="K33" i="25"/>
  <c r="J34" i="25"/>
  <c r="H33" i="25"/>
  <c r="B34" i="25"/>
  <c r="J42" i="27"/>
  <c r="K41" i="27"/>
  <c r="B33" i="27"/>
  <c r="H32" i="27"/>
  <c r="B23" i="26"/>
  <c r="H22" i="26"/>
  <c r="J25" i="26"/>
  <c r="K24" i="26"/>
  <c r="P24" i="22"/>
  <c r="AA20" i="22"/>
  <c r="Q22" i="22" l="1"/>
  <c r="AP21" i="22"/>
  <c r="A24" i="22"/>
  <c r="B24" i="22" s="1"/>
  <c r="L24" i="22" s="1"/>
  <c r="AE39" i="22"/>
  <c r="AF39" i="22" s="1"/>
  <c r="K34" i="25"/>
  <c r="J35" i="25"/>
  <c r="B35" i="25"/>
  <c r="H34" i="25"/>
  <c r="H33" i="27"/>
  <c r="B34" i="27"/>
  <c r="J43" i="27"/>
  <c r="K42" i="27"/>
  <c r="J26" i="26"/>
  <c r="K25" i="26"/>
  <c r="B24" i="26"/>
  <c r="H23" i="26"/>
  <c r="AA21" i="22"/>
  <c r="P25" i="22"/>
  <c r="Q23" i="22" l="1"/>
  <c r="AP22" i="22"/>
  <c r="A25" i="22"/>
  <c r="B25" i="22" s="1"/>
  <c r="L25" i="22" s="1"/>
  <c r="AE40" i="22"/>
  <c r="AF40" i="22" s="1"/>
  <c r="J36" i="25"/>
  <c r="K35" i="25"/>
  <c r="H35" i="25"/>
  <c r="B36" i="25"/>
  <c r="J44" i="27"/>
  <c r="K43" i="27"/>
  <c r="B35" i="27"/>
  <c r="H34" i="27"/>
  <c r="J27" i="26"/>
  <c r="K26" i="26"/>
  <c r="B25" i="26"/>
  <c r="H24" i="26"/>
  <c r="P26" i="22"/>
  <c r="AA22" i="22"/>
  <c r="Q24" i="22" l="1"/>
  <c r="AP23" i="22"/>
  <c r="A26" i="22"/>
  <c r="B26" i="22" s="1"/>
  <c r="L26" i="22" s="1"/>
  <c r="AE41" i="22"/>
  <c r="K36" i="25"/>
  <c r="J37" i="25"/>
  <c r="B37" i="25"/>
  <c r="H36" i="25"/>
  <c r="J45" i="27"/>
  <c r="K44" i="27"/>
  <c r="B36" i="27"/>
  <c r="H35" i="27"/>
  <c r="H25" i="26"/>
  <c r="B26" i="26"/>
  <c r="J28" i="26"/>
  <c r="K27" i="26"/>
  <c r="P27" i="22"/>
  <c r="AA23" i="22"/>
  <c r="AF41" i="22" l="1"/>
  <c r="AL41" i="22" s="1"/>
  <c r="Q41" i="22"/>
  <c r="W41" i="22" s="1"/>
  <c r="Q25" i="22"/>
  <c r="AP24" i="22"/>
  <c r="A27" i="22"/>
  <c r="B27" i="22" s="1"/>
  <c r="L27" i="22" s="1"/>
  <c r="AE42" i="22"/>
  <c r="J38" i="25"/>
  <c r="K37" i="25"/>
  <c r="H37" i="25"/>
  <c r="B38" i="25"/>
  <c r="J46" i="27"/>
  <c r="K45" i="27"/>
  <c r="B37" i="27"/>
  <c r="H36" i="27"/>
  <c r="H26" i="26"/>
  <c r="B27" i="26"/>
  <c r="J29" i="26"/>
  <c r="K28" i="26"/>
  <c r="P28" i="22"/>
  <c r="AA24" i="22"/>
  <c r="Q42" i="22" l="1"/>
  <c r="W42" i="22" s="1"/>
  <c r="AF42" i="22"/>
  <c r="AL42" i="22" s="1"/>
  <c r="Q26" i="22"/>
  <c r="AP25" i="22"/>
  <c r="A28" i="22"/>
  <c r="B28" i="22" s="1"/>
  <c r="L28" i="22" s="1"/>
  <c r="AE43" i="22"/>
  <c r="K38" i="25"/>
  <c r="J39" i="25"/>
  <c r="B39" i="25"/>
  <c r="H38" i="25"/>
  <c r="J47" i="27"/>
  <c r="K46" i="27"/>
  <c r="B38" i="27"/>
  <c r="H37" i="27"/>
  <c r="H27" i="26"/>
  <c r="B28" i="26"/>
  <c r="J30" i="26"/>
  <c r="K29" i="26"/>
  <c r="P29" i="22"/>
  <c r="AA25" i="22"/>
  <c r="AF43" i="22" l="1"/>
  <c r="AL43" i="22" s="1"/>
  <c r="Q43" i="22"/>
  <c r="W43" i="22" s="1"/>
  <c r="Q27" i="22"/>
  <c r="AP26" i="22"/>
  <c r="A29" i="22"/>
  <c r="B29" i="22" s="1"/>
  <c r="L29" i="22" s="1"/>
  <c r="AE44" i="22"/>
  <c r="J40" i="25"/>
  <c r="K39" i="25"/>
  <c r="H39" i="25"/>
  <c r="B40" i="25"/>
  <c r="J48" i="27"/>
  <c r="K47" i="27"/>
  <c r="B39" i="27"/>
  <c r="H38" i="27"/>
  <c r="H28" i="26"/>
  <c r="B29" i="26"/>
  <c r="K30" i="26"/>
  <c r="J31" i="26"/>
  <c r="AA26" i="22"/>
  <c r="P30" i="22"/>
  <c r="Q44" i="22" l="1"/>
  <c r="W44" i="22" s="1"/>
  <c r="AF44" i="22"/>
  <c r="AL44" i="22" s="1"/>
  <c r="Q28" i="22"/>
  <c r="AP27" i="22"/>
  <c r="A30" i="22"/>
  <c r="B30" i="22" s="1"/>
  <c r="L30" i="22" s="1"/>
  <c r="AE45" i="22"/>
  <c r="K40" i="25"/>
  <c r="J41" i="25"/>
  <c r="B41" i="25"/>
  <c r="H40" i="25"/>
  <c r="J49" i="27"/>
  <c r="K48" i="27"/>
  <c r="B40" i="27"/>
  <c r="H39" i="27"/>
  <c r="J32" i="26"/>
  <c r="K31" i="26"/>
  <c r="B30" i="26"/>
  <c r="H29" i="26"/>
  <c r="P31" i="22"/>
  <c r="AA27" i="22"/>
  <c r="AF45" i="22" l="1"/>
  <c r="AL45" i="22" s="1"/>
  <c r="Q45" i="22"/>
  <c r="W45" i="22" s="1"/>
  <c r="Q29" i="22"/>
  <c r="AP28" i="22"/>
  <c r="A31" i="22"/>
  <c r="B31" i="22" s="1"/>
  <c r="L31" i="22" s="1"/>
  <c r="AE46" i="22"/>
  <c r="J42" i="25"/>
  <c r="K41" i="25"/>
  <c r="H41" i="25"/>
  <c r="B42" i="25"/>
  <c r="B41" i="27"/>
  <c r="H40" i="27"/>
  <c r="K49" i="27"/>
  <c r="J50" i="27"/>
  <c r="H30" i="26"/>
  <c r="B31" i="26"/>
  <c r="K32" i="26"/>
  <c r="J33" i="26"/>
  <c r="P32" i="22"/>
  <c r="AA28" i="22"/>
  <c r="Q46" i="22" l="1"/>
  <c r="W46" i="22" s="1"/>
  <c r="AF46" i="22"/>
  <c r="AL46" i="22" s="1"/>
  <c r="Q30" i="22"/>
  <c r="AP29" i="22"/>
  <c r="A32" i="22"/>
  <c r="B32" i="22" s="1"/>
  <c r="L32" i="22" s="1"/>
  <c r="AE47" i="22"/>
  <c r="J43" i="25"/>
  <c r="K42" i="25"/>
  <c r="B43" i="25"/>
  <c r="H42" i="25"/>
  <c r="J51" i="27"/>
  <c r="K50" i="27"/>
  <c r="B42" i="27"/>
  <c r="H41" i="27"/>
  <c r="B32" i="26"/>
  <c r="H31" i="26"/>
  <c r="J34" i="26"/>
  <c r="K33" i="26"/>
  <c r="AA29" i="22"/>
  <c r="P33" i="22"/>
  <c r="AF47" i="22" l="1"/>
  <c r="AL47" i="22" s="1"/>
  <c r="Q47" i="22"/>
  <c r="W47" i="22" s="1"/>
  <c r="Q31" i="22"/>
  <c r="AP30" i="22"/>
  <c r="A33" i="22"/>
  <c r="B33" i="22" s="1"/>
  <c r="L33" i="22" s="1"/>
  <c r="AE48" i="22"/>
  <c r="J44" i="25"/>
  <c r="K43" i="25"/>
  <c r="H43" i="25"/>
  <c r="B44" i="25"/>
  <c r="B43" i="27"/>
  <c r="H42" i="27"/>
  <c r="K51" i="27"/>
  <c r="J52" i="27"/>
  <c r="J35" i="26"/>
  <c r="K34" i="26"/>
  <c r="H32" i="26"/>
  <c r="B33" i="26"/>
  <c r="AA30" i="22"/>
  <c r="P34" i="22"/>
  <c r="Q48" i="22" l="1"/>
  <c r="W48" i="22" s="1"/>
  <c r="AF48" i="22"/>
  <c r="AL48" i="22" s="1"/>
  <c r="Q32" i="22"/>
  <c r="AP31" i="22"/>
  <c r="A34" i="22"/>
  <c r="B34" i="22" s="1"/>
  <c r="L34" i="22" s="1"/>
  <c r="AE49" i="22"/>
  <c r="K44" i="25"/>
  <c r="J45" i="25"/>
  <c r="H44" i="25"/>
  <c r="B45" i="25"/>
  <c r="J53" i="27"/>
  <c r="K52" i="27"/>
  <c r="H43" i="27"/>
  <c r="B44" i="27"/>
  <c r="H33" i="26"/>
  <c r="B34" i="26"/>
  <c r="J36" i="26"/>
  <c r="K35" i="26"/>
  <c r="AA31" i="22"/>
  <c r="P35" i="22"/>
  <c r="AF49" i="22" l="1"/>
  <c r="AL49" i="22" s="1"/>
  <c r="Q49" i="22"/>
  <c r="W49" i="22" s="1"/>
  <c r="Q33" i="22"/>
  <c r="AP32" i="22"/>
  <c r="A35" i="22"/>
  <c r="B35" i="22" s="1"/>
  <c r="L35" i="22" s="1"/>
  <c r="AE50" i="22"/>
  <c r="J46" i="25"/>
  <c r="K45" i="25"/>
  <c r="H45" i="25"/>
  <c r="B46" i="25"/>
  <c r="K53" i="27"/>
  <c r="J54" i="27"/>
  <c r="B45" i="27"/>
  <c r="H44" i="27"/>
  <c r="J37" i="26"/>
  <c r="K36" i="26"/>
  <c r="B35" i="26"/>
  <c r="H34" i="26"/>
  <c r="AA32" i="22"/>
  <c r="P36" i="22"/>
  <c r="AF50" i="22" l="1"/>
  <c r="AL50" i="22" s="1"/>
  <c r="Q50" i="22"/>
  <c r="W50" i="22" s="1"/>
  <c r="Q34" i="22"/>
  <c r="AP33" i="22"/>
  <c r="A36" i="22"/>
  <c r="B36" i="22" s="1"/>
  <c r="L36" i="22" s="1"/>
  <c r="AE51" i="22"/>
  <c r="J47" i="25"/>
  <c r="K46" i="25"/>
  <c r="H46" i="25"/>
  <c r="B47" i="25"/>
  <c r="J55" i="27"/>
  <c r="K54" i="27"/>
  <c r="H45" i="27"/>
  <c r="B46" i="27"/>
  <c r="B36" i="26"/>
  <c r="H35" i="26"/>
  <c r="J38" i="26"/>
  <c r="K37" i="26"/>
  <c r="AA33" i="22"/>
  <c r="P37" i="22"/>
  <c r="AF51" i="22" l="1"/>
  <c r="AL51" i="22" s="1"/>
  <c r="Q51" i="22"/>
  <c r="W51" i="22" s="1"/>
  <c r="Q35" i="22"/>
  <c r="AP34" i="22"/>
  <c r="A37" i="22"/>
  <c r="B37" i="22" s="1"/>
  <c r="L37" i="22" s="1"/>
  <c r="AE52" i="22"/>
  <c r="J48" i="25"/>
  <c r="K47" i="25"/>
  <c r="B48" i="25"/>
  <c r="H47" i="25"/>
  <c r="K55" i="27"/>
  <c r="J56" i="27"/>
  <c r="H46" i="27"/>
  <c r="B47" i="27"/>
  <c r="H36" i="26"/>
  <c r="B37" i="26"/>
  <c r="J39" i="26"/>
  <c r="K38" i="26"/>
  <c r="AA34" i="22"/>
  <c r="P38" i="22"/>
  <c r="AF52" i="22" l="1"/>
  <c r="AL52" i="22" s="1"/>
  <c r="Q52" i="22"/>
  <c r="W52" i="22" s="1"/>
  <c r="Q36" i="22"/>
  <c r="AP35" i="22"/>
  <c r="A38" i="22"/>
  <c r="B38" i="22" s="1"/>
  <c r="L38" i="22" s="1"/>
  <c r="AE53" i="22"/>
  <c r="J49" i="25"/>
  <c r="K48" i="25"/>
  <c r="B49" i="25"/>
  <c r="H48" i="25"/>
  <c r="J57" i="27"/>
  <c r="K56" i="27"/>
  <c r="H47" i="27"/>
  <c r="B48" i="27"/>
  <c r="B38" i="26"/>
  <c r="H37" i="26"/>
  <c r="J40" i="26"/>
  <c r="K39" i="26"/>
  <c r="P39" i="22"/>
  <c r="AA35" i="22"/>
  <c r="Q53" i="22" l="1"/>
  <c r="W53" i="22" s="1"/>
  <c r="AF53" i="22"/>
  <c r="AL53" i="22" s="1"/>
  <c r="Q37" i="22"/>
  <c r="AP36" i="22"/>
  <c r="A39" i="22"/>
  <c r="B39" i="22" s="1"/>
  <c r="L39" i="22" s="1"/>
  <c r="AE54" i="22"/>
  <c r="J50" i="25"/>
  <c r="K49" i="25"/>
  <c r="H49" i="25"/>
  <c r="B50" i="25"/>
  <c r="J58" i="27"/>
  <c r="K57" i="27"/>
  <c r="H48" i="27"/>
  <c r="B49" i="27"/>
  <c r="H38" i="26"/>
  <c r="B39" i="26"/>
  <c r="J41" i="26"/>
  <c r="K40" i="26"/>
  <c r="P40" i="22"/>
  <c r="AA36" i="22"/>
  <c r="AF54" i="22" l="1"/>
  <c r="AL54" i="22" s="1"/>
  <c r="Q54" i="22"/>
  <c r="W54" i="22" s="1"/>
  <c r="Q38" i="22"/>
  <c r="AP37" i="22"/>
  <c r="A40" i="22"/>
  <c r="B40" i="22" s="1"/>
  <c r="L40" i="22" s="1"/>
  <c r="AE55" i="22"/>
  <c r="J51" i="25"/>
  <c r="K50" i="25"/>
  <c r="B51" i="25"/>
  <c r="H50" i="25"/>
  <c r="B50" i="27"/>
  <c r="H49" i="27"/>
  <c r="J59" i="27"/>
  <c r="K58" i="27"/>
  <c r="B40" i="26"/>
  <c r="H39" i="26"/>
  <c r="J42" i="26"/>
  <c r="K41" i="26"/>
  <c r="P41" i="22"/>
  <c r="AA37" i="22"/>
  <c r="AF55" i="22" l="1"/>
  <c r="AL55" i="22" s="1"/>
  <c r="Q55" i="22"/>
  <c r="W55" i="22" s="1"/>
  <c r="Q39" i="22"/>
  <c r="AP38" i="22"/>
  <c r="A41" i="22"/>
  <c r="B41" i="22" s="1"/>
  <c r="AE56" i="22"/>
  <c r="J52" i="25"/>
  <c r="K51" i="25"/>
  <c r="H51" i="25"/>
  <c r="B52" i="25"/>
  <c r="B51" i="27"/>
  <c r="H50" i="27"/>
  <c r="J60" i="27"/>
  <c r="K59" i="27"/>
  <c r="H40" i="26"/>
  <c r="B41" i="26"/>
  <c r="J43" i="26"/>
  <c r="K42" i="26"/>
  <c r="P42" i="22"/>
  <c r="AA38" i="22"/>
  <c r="Q56" i="22" l="1"/>
  <c r="W56" i="22" s="1"/>
  <c r="AF56" i="22"/>
  <c r="AL56" i="22" s="1"/>
  <c r="H41" i="22"/>
  <c r="L41" i="22"/>
  <c r="Q40" i="22"/>
  <c r="AP39" i="22"/>
  <c r="AP40" i="22"/>
  <c r="A42" i="22"/>
  <c r="B42" i="22" s="1"/>
  <c r="AE57" i="22"/>
  <c r="J53" i="25"/>
  <c r="K52" i="25"/>
  <c r="H52" i="25"/>
  <c r="B53" i="25"/>
  <c r="B52" i="27"/>
  <c r="H51" i="27"/>
  <c r="J61" i="27"/>
  <c r="K60" i="27"/>
  <c r="B42" i="26"/>
  <c r="H41" i="26"/>
  <c r="J44" i="26"/>
  <c r="K43" i="26"/>
  <c r="P43" i="22"/>
  <c r="AP41" i="22"/>
  <c r="AA39" i="22"/>
  <c r="AF57" i="22" l="1"/>
  <c r="AL57" i="22" s="1"/>
  <c r="Q57" i="22"/>
  <c r="W57" i="22" s="1"/>
  <c r="L42" i="22"/>
  <c r="H42" i="22"/>
  <c r="A43" i="22"/>
  <c r="B43" i="22" s="1"/>
  <c r="AE58" i="22"/>
  <c r="J54" i="25"/>
  <c r="K53" i="25"/>
  <c r="B54" i="25"/>
  <c r="H53" i="25"/>
  <c r="B53" i="27"/>
  <c r="H52" i="27"/>
  <c r="J62" i="27"/>
  <c r="K61" i="27"/>
  <c r="K44" i="26"/>
  <c r="J45" i="26"/>
  <c r="H42" i="26"/>
  <c r="B43" i="26"/>
  <c r="P44" i="22"/>
  <c r="AA40" i="22"/>
  <c r="AP42" i="22"/>
  <c r="AF58" i="22" l="1"/>
  <c r="AL58" i="22" s="1"/>
  <c r="Q58" i="22"/>
  <c r="W58" i="22" s="1"/>
  <c r="H43" i="22"/>
  <c r="L43" i="22"/>
  <c r="A44" i="22"/>
  <c r="B44" i="22" s="1"/>
  <c r="AE59" i="22"/>
  <c r="J55" i="25"/>
  <c r="K54" i="25"/>
  <c r="H54" i="25"/>
  <c r="B55" i="25"/>
  <c r="J63" i="27"/>
  <c r="K62" i="27"/>
  <c r="B54" i="27"/>
  <c r="H53" i="27"/>
  <c r="B44" i="26"/>
  <c r="H43" i="26"/>
  <c r="J46" i="26"/>
  <c r="K45" i="26"/>
  <c r="AP43" i="22"/>
  <c r="AA41" i="22"/>
  <c r="P45" i="22"/>
  <c r="AF59" i="22" l="1"/>
  <c r="AL59" i="22" s="1"/>
  <c r="Q59" i="22"/>
  <c r="W59" i="22" s="1"/>
  <c r="H44" i="22"/>
  <c r="L44" i="22"/>
  <c r="A45" i="22"/>
  <c r="B45" i="22" s="1"/>
  <c r="AE60" i="22"/>
  <c r="K55" i="25"/>
  <c r="J56" i="25"/>
  <c r="B56" i="25"/>
  <c r="H55" i="25"/>
  <c r="B55" i="27"/>
  <c r="H54" i="27"/>
  <c r="K63" i="27"/>
  <c r="J64" i="27"/>
  <c r="H44" i="26"/>
  <c r="B45" i="26"/>
  <c r="J47" i="26"/>
  <c r="K46" i="26"/>
  <c r="AP44" i="22"/>
  <c r="AA42" i="22"/>
  <c r="P46" i="22"/>
  <c r="AF60" i="22" l="1"/>
  <c r="AL60" i="22" s="1"/>
  <c r="Q60" i="22"/>
  <c r="W60" i="22" s="1"/>
  <c r="H45" i="22"/>
  <c r="L45" i="22"/>
  <c r="A46" i="22"/>
  <c r="B46" i="22" s="1"/>
  <c r="AE61" i="22"/>
  <c r="J57" i="25"/>
  <c r="K56" i="25"/>
  <c r="B57" i="25"/>
  <c r="H56" i="25"/>
  <c r="J65" i="27"/>
  <c r="K64" i="27"/>
  <c r="B56" i="27"/>
  <c r="H55" i="27"/>
  <c r="H45" i="26"/>
  <c r="B46" i="26"/>
  <c r="K47" i="26"/>
  <c r="J48" i="26"/>
  <c r="P47" i="22"/>
  <c r="AP45" i="22"/>
  <c r="AA43" i="22"/>
  <c r="H46" i="22" l="1"/>
  <c r="L46" i="22"/>
  <c r="Q61" i="22"/>
  <c r="W61" i="22" s="1"/>
  <c r="AF61" i="22"/>
  <c r="AL61" i="22" s="1"/>
  <c r="A47" i="22"/>
  <c r="B47" i="22" s="1"/>
  <c r="AE62" i="22"/>
  <c r="J58" i="25"/>
  <c r="K57" i="25"/>
  <c r="H57" i="25"/>
  <c r="B58" i="25"/>
  <c r="K65" i="27"/>
  <c r="J66" i="27"/>
  <c r="H56" i="27"/>
  <c r="B57" i="27"/>
  <c r="J49" i="26"/>
  <c r="K48" i="26"/>
  <c r="B47" i="26"/>
  <c r="H46" i="26"/>
  <c r="P48" i="22"/>
  <c r="AP46" i="22"/>
  <c r="AA44" i="22"/>
  <c r="H47" i="22" l="1"/>
  <c r="L47" i="22"/>
  <c r="AF62" i="22"/>
  <c r="AL62" i="22" s="1"/>
  <c r="Q62" i="22"/>
  <c r="W62" i="22" s="1"/>
  <c r="A48" i="22"/>
  <c r="B48" i="22" s="1"/>
  <c r="AE63" i="22"/>
  <c r="J59" i="25"/>
  <c r="K58" i="25"/>
  <c r="B59" i="25"/>
  <c r="H58" i="25"/>
  <c r="B58" i="27"/>
  <c r="H57" i="27"/>
  <c r="J67" i="27"/>
  <c r="K66" i="27"/>
  <c r="K49" i="26"/>
  <c r="J50" i="26"/>
  <c r="H47" i="26"/>
  <c r="B48" i="26"/>
  <c r="AA45" i="22"/>
  <c r="P49" i="22"/>
  <c r="AP47" i="22"/>
  <c r="AF63" i="22" l="1"/>
  <c r="AL63" i="22" s="1"/>
  <c r="Q63" i="22"/>
  <c r="W63" i="22" s="1"/>
  <c r="H48" i="22"/>
  <c r="L48" i="22"/>
  <c r="A49" i="22"/>
  <c r="B49" i="22" s="1"/>
  <c r="AE64" i="22"/>
  <c r="J60" i="25"/>
  <c r="K59" i="25"/>
  <c r="H59" i="25"/>
  <c r="B60" i="25"/>
  <c r="J68" i="27"/>
  <c r="K67" i="27"/>
  <c r="H58" i="27"/>
  <c r="B59" i="27"/>
  <c r="J51" i="26"/>
  <c r="K50" i="26"/>
  <c r="B49" i="26"/>
  <c r="H48" i="26"/>
  <c r="P50" i="22"/>
  <c r="AA46" i="22"/>
  <c r="AP48" i="22"/>
  <c r="Q64" i="22" l="1"/>
  <c r="W64" i="22" s="1"/>
  <c r="AF64" i="22"/>
  <c r="AL64" i="22" s="1"/>
  <c r="H49" i="22"/>
  <c r="L49" i="22"/>
  <c r="A50" i="22"/>
  <c r="B50" i="22" s="1"/>
  <c r="AE65" i="22"/>
  <c r="J61" i="25"/>
  <c r="K60" i="25"/>
  <c r="B61" i="25"/>
  <c r="H60" i="25"/>
  <c r="H59" i="27"/>
  <c r="B60" i="27"/>
  <c r="K68" i="27"/>
  <c r="J69" i="27"/>
  <c r="H49" i="26"/>
  <c r="B50" i="26"/>
  <c r="K51" i="26"/>
  <c r="J52" i="26"/>
  <c r="AP49" i="22"/>
  <c r="P51" i="22"/>
  <c r="AA47" i="22"/>
  <c r="H50" i="22" l="1"/>
  <c r="L50" i="22"/>
  <c r="AF65" i="22"/>
  <c r="AL65" i="22" s="1"/>
  <c r="Q65" i="22"/>
  <c r="W65" i="22" s="1"/>
  <c r="A51" i="22"/>
  <c r="B51" i="22" s="1"/>
  <c r="AE66" i="22"/>
  <c r="J62" i="25"/>
  <c r="K61" i="25"/>
  <c r="B62" i="25"/>
  <c r="H61" i="25"/>
  <c r="B61" i="27"/>
  <c r="H60" i="27"/>
  <c r="J70" i="27"/>
  <c r="K69" i="27"/>
  <c r="J53" i="26"/>
  <c r="K52" i="26"/>
  <c r="B51" i="26"/>
  <c r="H50" i="26"/>
  <c r="AP50" i="22"/>
  <c r="AA48" i="22"/>
  <c r="P52" i="22"/>
  <c r="H51" i="22" l="1"/>
  <c r="L51" i="22"/>
  <c r="AF66" i="22"/>
  <c r="AL66" i="22" s="1"/>
  <c r="Q66" i="22"/>
  <c r="W66" i="22" s="1"/>
  <c r="A52" i="22"/>
  <c r="B52" i="22" s="1"/>
  <c r="AE67" i="22"/>
  <c r="J63" i="25"/>
  <c r="K62" i="25"/>
  <c r="H62" i="25"/>
  <c r="B63" i="25"/>
  <c r="J71" i="27"/>
  <c r="K70" i="27"/>
  <c r="B62" i="27"/>
  <c r="H61" i="27"/>
  <c r="H51" i="26"/>
  <c r="B52" i="26"/>
  <c r="J54" i="26"/>
  <c r="K53" i="26"/>
  <c r="AA49" i="22"/>
  <c r="P53" i="22"/>
  <c r="AP51" i="22"/>
  <c r="AF67" i="22" l="1"/>
  <c r="AL67" i="22" s="1"/>
  <c r="Q67" i="22"/>
  <c r="W67" i="22" s="1"/>
  <c r="H52" i="22"/>
  <c r="L52" i="22"/>
  <c r="A53" i="22"/>
  <c r="B53" i="22" s="1"/>
  <c r="AE68" i="22"/>
  <c r="J64" i="25"/>
  <c r="K63" i="25"/>
  <c r="B64" i="25"/>
  <c r="H63" i="25"/>
  <c r="B63" i="27"/>
  <c r="H62" i="27"/>
  <c r="J72" i="27"/>
  <c r="K71" i="27"/>
  <c r="J55" i="26"/>
  <c r="K54" i="26"/>
  <c r="B53" i="26"/>
  <c r="H52" i="26"/>
  <c r="P54" i="22"/>
  <c r="AA50" i="22"/>
  <c r="AP52" i="22"/>
  <c r="H53" i="22" l="1"/>
  <c r="L53" i="22"/>
  <c r="AF68" i="22"/>
  <c r="AL68" i="22" s="1"/>
  <c r="Q68" i="22"/>
  <c r="W68" i="22" s="1"/>
  <c r="A54" i="22"/>
  <c r="B54" i="22" s="1"/>
  <c r="AE69" i="22"/>
  <c r="J65" i="25"/>
  <c r="K64" i="25"/>
  <c r="B65" i="25"/>
  <c r="H64" i="25"/>
  <c r="J73" i="27"/>
  <c r="K72" i="27"/>
  <c r="B64" i="27"/>
  <c r="H63" i="27"/>
  <c r="B54" i="26"/>
  <c r="H53" i="26"/>
  <c r="K55" i="26"/>
  <c r="J56" i="26"/>
  <c r="P55" i="22"/>
  <c r="AA51" i="22"/>
  <c r="AP53" i="22"/>
  <c r="H54" i="22" l="1"/>
  <c r="L54" i="22"/>
  <c r="AF69" i="22"/>
  <c r="AL69" i="22" s="1"/>
  <c r="Q69" i="22"/>
  <c r="W69" i="22" s="1"/>
  <c r="A55" i="22"/>
  <c r="B55" i="22" s="1"/>
  <c r="AE70" i="22"/>
  <c r="J66" i="25"/>
  <c r="K65" i="25"/>
  <c r="B66" i="25"/>
  <c r="H65" i="25"/>
  <c r="J74" i="27"/>
  <c r="K73" i="27"/>
  <c r="B65" i="27"/>
  <c r="H64" i="27"/>
  <c r="J57" i="26"/>
  <c r="K56" i="26"/>
  <c r="B55" i="26"/>
  <c r="H54" i="26"/>
  <c r="AP54" i="22"/>
  <c r="P56" i="22"/>
  <c r="AA52" i="22"/>
  <c r="AF70" i="22" l="1"/>
  <c r="AL70" i="22" s="1"/>
  <c r="Q70" i="22"/>
  <c r="W70" i="22" s="1"/>
  <c r="H55" i="22"/>
  <c r="L55" i="22"/>
  <c r="A56" i="22"/>
  <c r="B56" i="22" s="1"/>
  <c r="AE71" i="22"/>
  <c r="K66" i="25"/>
  <c r="J67" i="25"/>
  <c r="H66" i="25"/>
  <c r="B67" i="25"/>
  <c r="B66" i="27"/>
  <c r="H65" i="27"/>
  <c r="J75" i="27"/>
  <c r="K74" i="27"/>
  <c r="B56" i="26"/>
  <c r="H55" i="26"/>
  <c r="K57" i="26"/>
  <c r="J58" i="26"/>
  <c r="AA53" i="22"/>
  <c r="AP55" i="22"/>
  <c r="P57" i="22"/>
  <c r="H56" i="22" l="1"/>
  <c r="L56" i="22"/>
  <c r="AF71" i="22"/>
  <c r="AL71" i="22" s="1"/>
  <c r="Q71" i="22"/>
  <c r="W71" i="22" s="1"/>
  <c r="A57" i="22"/>
  <c r="B57" i="22" s="1"/>
  <c r="AE72" i="22"/>
  <c r="J68" i="25"/>
  <c r="K67" i="25"/>
  <c r="H67" i="25"/>
  <c r="B68" i="25"/>
  <c r="J76" i="27"/>
  <c r="K75" i="27"/>
  <c r="B67" i="27"/>
  <c r="H66" i="27"/>
  <c r="B57" i="26"/>
  <c r="H56" i="26"/>
  <c r="J59" i="26"/>
  <c r="K58" i="26"/>
  <c r="P58" i="22"/>
  <c r="AP56" i="22"/>
  <c r="AA54" i="22"/>
  <c r="H57" i="22" l="1"/>
  <c r="L57" i="22"/>
  <c r="AF72" i="22"/>
  <c r="AL72" i="22" s="1"/>
  <c r="Q72" i="22"/>
  <c r="W72" i="22" s="1"/>
  <c r="A58" i="22"/>
  <c r="B58" i="22" s="1"/>
  <c r="AE73" i="22"/>
  <c r="J69" i="25"/>
  <c r="K68" i="25"/>
  <c r="B69" i="25"/>
  <c r="H68" i="25"/>
  <c r="J77" i="27"/>
  <c r="K76" i="27"/>
  <c r="B68" i="27"/>
  <c r="H67" i="27"/>
  <c r="K59" i="26"/>
  <c r="J60" i="26"/>
  <c r="B58" i="26"/>
  <c r="H57" i="26"/>
  <c r="P59" i="22"/>
  <c r="AA55" i="22"/>
  <c r="AP57" i="22"/>
  <c r="Q73" i="22" l="1"/>
  <c r="W73" i="22" s="1"/>
  <c r="AF73" i="22"/>
  <c r="AL73" i="22" s="1"/>
  <c r="H58" i="22"/>
  <c r="L58" i="22"/>
  <c r="A59" i="22"/>
  <c r="B59" i="22" s="1"/>
  <c r="AE74" i="22"/>
  <c r="J70" i="25"/>
  <c r="K69" i="25"/>
  <c r="H69" i="25"/>
  <c r="B70" i="25"/>
  <c r="H68" i="27"/>
  <c r="B69" i="27"/>
  <c r="J78" i="27"/>
  <c r="K77" i="27"/>
  <c r="B59" i="26"/>
  <c r="H58" i="26"/>
  <c r="J61" i="26"/>
  <c r="K60" i="26"/>
  <c r="AP58" i="22"/>
  <c r="AA56" i="22"/>
  <c r="P60" i="22"/>
  <c r="AA58" i="22"/>
  <c r="H59" i="22" l="1"/>
  <c r="L59" i="22"/>
  <c r="AF74" i="22"/>
  <c r="AL74" i="22" s="1"/>
  <c r="Q74" i="22"/>
  <c r="W74" i="22" s="1"/>
  <c r="A60" i="22"/>
  <c r="B60" i="22" s="1"/>
  <c r="AE75" i="22"/>
  <c r="K70" i="25"/>
  <c r="J71" i="25"/>
  <c r="B71" i="25"/>
  <c r="H70" i="25"/>
  <c r="B70" i="27"/>
  <c r="H69" i="27"/>
  <c r="J79" i="27"/>
  <c r="K78" i="27"/>
  <c r="B60" i="26"/>
  <c r="H59" i="26"/>
  <c r="J62" i="26"/>
  <c r="K61" i="26"/>
  <c r="P61" i="22"/>
  <c r="AA59" i="22"/>
  <c r="AP59" i="22"/>
  <c r="AA57" i="22"/>
  <c r="H60" i="22" l="1"/>
  <c r="L60" i="22"/>
  <c r="AF75" i="22"/>
  <c r="AL75" i="22" s="1"/>
  <c r="Q75" i="22"/>
  <c r="W75" i="22" s="1"/>
  <c r="A61" i="22"/>
  <c r="B61" i="22" s="1"/>
  <c r="AE76" i="22"/>
  <c r="J72" i="25"/>
  <c r="K71" i="25"/>
  <c r="H71" i="25"/>
  <c r="B72" i="25"/>
  <c r="J80" i="27"/>
  <c r="K79" i="27"/>
  <c r="B71" i="27"/>
  <c r="H70" i="27"/>
  <c r="B61" i="26"/>
  <c r="H60" i="26"/>
  <c r="K62" i="26"/>
  <c r="J63" i="26"/>
  <c r="AA60" i="22"/>
  <c r="AP60" i="22"/>
  <c r="P62" i="22"/>
  <c r="H61" i="22" l="1"/>
  <c r="L61" i="22"/>
  <c r="Q76" i="22"/>
  <c r="W76" i="22" s="1"/>
  <c r="AF76" i="22"/>
  <c r="AL76" i="22" s="1"/>
  <c r="A62" i="22"/>
  <c r="B62" i="22" s="1"/>
  <c r="AE77" i="22"/>
  <c r="J73" i="25"/>
  <c r="K72" i="25"/>
  <c r="B73" i="25"/>
  <c r="H72" i="25"/>
  <c r="H71" i="27"/>
  <c r="B72" i="27"/>
  <c r="J81" i="27"/>
  <c r="K80" i="27"/>
  <c r="J64" i="26"/>
  <c r="K63" i="26"/>
  <c r="H61" i="26"/>
  <c r="B62" i="26"/>
  <c r="P63" i="22"/>
  <c r="AP61" i="22"/>
  <c r="AA61" i="22"/>
  <c r="H62" i="22" l="1"/>
  <c r="L62" i="22"/>
  <c r="AF77" i="22"/>
  <c r="AL77" i="22" s="1"/>
  <c r="Q77" i="22"/>
  <c r="W77" i="22" s="1"/>
  <c r="A63" i="22"/>
  <c r="B63" i="22" s="1"/>
  <c r="AE78" i="22"/>
  <c r="J74" i="25"/>
  <c r="K73" i="25"/>
  <c r="H73" i="25"/>
  <c r="B74" i="25"/>
  <c r="H72" i="27"/>
  <c r="B73" i="27"/>
  <c r="J82" i="27"/>
  <c r="K81" i="27"/>
  <c r="B63" i="26"/>
  <c r="H62" i="26"/>
  <c r="K64" i="26"/>
  <c r="J65" i="26"/>
  <c r="AA62" i="22"/>
  <c r="AP62" i="22"/>
  <c r="P64" i="22"/>
  <c r="AF78" i="22" l="1"/>
  <c r="AL78" i="22" s="1"/>
  <c r="Q78" i="22"/>
  <c r="W78" i="22" s="1"/>
  <c r="L63" i="22"/>
  <c r="H63" i="22"/>
  <c r="A64" i="22"/>
  <c r="B64" i="22" s="1"/>
  <c r="AE79" i="22"/>
  <c r="J75" i="25"/>
  <c r="K74" i="25"/>
  <c r="B75" i="25"/>
  <c r="H74" i="25"/>
  <c r="J83" i="27"/>
  <c r="K82" i="27"/>
  <c r="B74" i="27"/>
  <c r="H73" i="27"/>
  <c r="H63" i="26"/>
  <c r="B64" i="26"/>
  <c r="J66" i="26"/>
  <c r="K65" i="26"/>
  <c r="P65" i="22"/>
  <c r="AP63" i="22"/>
  <c r="AA63" i="22"/>
  <c r="AF79" i="22" l="1"/>
  <c r="AL79" i="22" s="1"/>
  <c r="Q79" i="22"/>
  <c r="W79" i="22" s="1"/>
  <c r="H64" i="22"/>
  <c r="L64" i="22"/>
  <c r="A65" i="22"/>
  <c r="B65" i="22" s="1"/>
  <c r="AE80" i="22"/>
  <c r="J76" i="25"/>
  <c r="K75" i="25"/>
  <c r="H75" i="25"/>
  <c r="B76" i="25"/>
  <c r="J84" i="27"/>
  <c r="K83" i="27"/>
  <c r="H74" i="27"/>
  <c r="B75" i="27"/>
  <c r="J67" i="26"/>
  <c r="K66" i="26"/>
  <c r="B65" i="26"/>
  <c r="H64" i="26"/>
  <c r="AP64" i="22"/>
  <c r="P66" i="22"/>
  <c r="AA64" i="22"/>
  <c r="Q80" i="22" l="1"/>
  <c r="W80" i="22" s="1"/>
  <c r="AF80" i="22"/>
  <c r="AL80" i="22" s="1"/>
  <c r="H65" i="22"/>
  <c r="L65" i="22"/>
  <c r="A66" i="22"/>
  <c r="B66" i="22" s="1"/>
  <c r="AE81" i="22"/>
  <c r="J77" i="25"/>
  <c r="K76" i="25"/>
  <c r="B77" i="25"/>
  <c r="H76" i="25"/>
  <c r="J85" i="27"/>
  <c r="K84" i="27"/>
  <c r="B76" i="27"/>
  <c r="H75" i="27"/>
  <c r="B66" i="26"/>
  <c r="H65" i="26"/>
  <c r="J68" i="26"/>
  <c r="K67" i="26"/>
  <c r="AP65" i="22"/>
  <c r="P67" i="22"/>
  <c r="AA65" i="22"/>
  <c r="H66" i="22" l="1"/>
  <c r="L66" i="22"/>
  <c r="AF81" i="22"/>
  <c r="AL81" i="22" s="1"/>
  <c r="Q81" i="22"/>
  <c r="W81" i="22" s="1"/>
  <c r="A67" i="22"/>
  <c r="B67" i="22" s="1"/>
  <c r="AE82" i="22"/>
  <c r="J78" i="25"/>
  <c r="K77" i="25"/>
  <c r="H77" i="25"/>
  <c r="B78" i="25"/>
  <c r="B77" i="27"/>
  <c r="H76" i="27"/>
  <c r="K85" i="27"/>
  <c r="J86" i="27"/>
  <c r="J69" i="26"/>
  <c r="K68" i="26"/>
  <c r="H66" i="26"/>
  <c r="B67" i="26"/>
  <c r="AA66" i="22"/>
  <c r="AP66" i="22"/>
  <c r="P68" i="22"/>
  <c r="AF82" i="22" l="1"/>
  <c r="AL82" i="22" s="1"/>
  <c r="Q82" i="22"/>
  <c r="W82" i="22" s="1"/>
  <c r="H67" i="22"/>
  <c r="L67" i="22"/>
  <c r="A68" i="22"/>
  <c r="B68" i="22" s="1"/>
  <c r="AE83" i="22"/>
  <c r="K78" i="25"/>
  <c r="J79" i="25"/>
  <c r="B79" i="25"/>
  <c r="H78" i="25"/>
  <c r="H77" i="27"/>
  <c r="B78" i="27"/>
  <c r="J87" i="27"/>
  <c r="K86" i="27"/>
  <c r="B68" i="26"/>
  <c r="H67" i="26"/>
  <c r="J70" i="26"/>
  <c r="K69" i="26"/>
  <c r="AA67" i="22"/>
  <c r="P69" i="22"/>
  <c r="AP67" i="22"/>
  <c r="AF83" i="22" l="1"/>
  <c r="AL83" i="22" s="1"/>
  <c r="Q83" i="22"/>
  <c r="W83" i="22" s="1"/>
  <c r="H68" i="22"/>
  <c r="L68" i="22"/>
  <c r="A69" i="22"/>
  <c r="B69" i="22" s="1"/>
  <c r="AE84" i="22"/>
  <c r="J80" i="25"/>
  <c r="K79" i="25"/>
  <c r="H79" i="25"/>
  <c r="B80" i="25"/>
  <c r="J88" i="27"/>
  <c r="K87" i="27"/>
  <c r="B79" i="27"/>
  <c r="H78" i="27"/>
  <c r="J71" i="26"/>
  <c r="K70" i="26"/>
  <c r="B69" i="26"/>
  <c r="H68" i="26"/>
  <c r="AP68" i="22"/>
  <c r="AA68" i="22"/>
  <c r="P70" i="22"/>
  <c r="Q84" i="22" l="1"/>
  <c r="W84" i="22" s="1"/>
  <c r="AF84" i="22"/>
  <c r="AL84" i="22" s="1"/>
  <c r="H69" i="22"/>
  <c r="L69" i="22"/>
  <c r="A70" i="22"/>
  <c r="B70" i="22" s="1"/>
  <c r="AE85" i="22"/>
  <c r="J81" i="25"/>
  <c r="K80" i="25"/>
  <c r="B81" i="25"/>
  <c r="H80" i="25"/>
  <c r="H79" i="27"/>
  <c r="B80" i="27"/>
  <c r="J89" i="27"/>
  <c r="K88" i="27"/>
  <c r="J72" i="26"/>
  <c r="K71" i="26"/>
  <c r="H69" i="26"/>
  <c r="B70" i="26"/>
  <c r="AP69" i="22"/>
  <c r="P71" i="22"/>
  <c r="AA69" i="22"/>
  <c r="H70" i="22" l="1"/>
  <c r="L70" i="22"/>
  <c r="AF85" i="22"/>
  <c r="AL85" i="22" s="1"/>
  <c r="Q85" i="22"/>
  <c r="W85" i="22" s="1"/>
  <c r="A71" i="22"/>
  <c r="B71" i="22" s="1"/>
  <c r="AE86" i="22"/>
  <c r="J82" i="25"/>
  <c r="K81" i="25"/>
  <c r="B82" i="25"/>
  <c r="H81" i="25"/>
  <c r="B81" i="27"/>
  <c r="H80" i="27"/>
  <c r="J90" i="27"/>
  <c r="K89" i="27"/>
  <c r="H70" i="26"/>
  <c r="B71" i="26"/>
  <c r="J73" i="26"/>
  <c r="K72" i="26"/>
  <c r="AP70" i="22"/>
  <c r="AA70" i="22"/>
  <c r="P72" i="22"/>
  <c r="L71" i="22" l="1"/>
  <c r="H71" i="22"/>
  <c r="AF86" i="22"/>
  <c r="AL86" i="22" s="1"/>
  <c r="Q86" i="22"/>
  <c r="W86" i="22" s="1"/>
  <c r="A72" i="22"/>
  <c r="B72" i="22" s="1"/>
  <c r="AE87" i="22"/>
  <c r="J83" i="25"/>
  <c r="K82" i="25"/>
  <c r="B83" i="25"/>
  <c r="H82" i="25"/>
  <c r="H81" i="27"/>
  <c r="B82" i="27"/>
  <c r="J91" i="27"/>
  <c r="K90" i="27"/>
  <c r="J74" i="26"/>
  <c r="K73" i="26"/>
  <c r="B72" i="26"/>
  <c r="H71" i="26"/>
  <c r="P73" i="22"/>
  <c r="AA71" i="22"/>
  <c r="AP71" i="22"/>
  <c r="H72" i="22" l="1"/>
  <c r="L72" i="22"/>
  <c r="AF87" i="22"/>
  <c r="AL87" i="22" s="1"/>
  <c r="Q87" i="22"/>
  <c r="W87" i="22" s="1"/>
  <c r="A73" i="22"/>
  <c r="B73" i="22" s="1"/>
  <c r="AE88" i="22"/>
  <c r="K83" i="25"/>
  <c r="J84" i="25"/>
  <c r="H83" i="25"/>
  <c r="B84" i="25"/>
  <c r="J92" i="27"/>
  <c r="K91" i="27"/>
  <c r="H82" i="27"/>
  <c r="B83" i="27"/>
  <c r="J75" i="26"/>
  <c r="K74" i="26"/>
  <c r="B73" i="26"/>
  <c r="H72" i="26"/>
  <c r="P74" i="22"/>
  <c r="AA72" i="22"/>
  <c r="AP72" i="22"/>
  <c r="L73" i="22" l="1"/>
  <c r="H73" i="22"/>
  <c r="Q88" i="22"/>
  <c r="W88" i="22" s="1"/>
  <c r="AF88" i="22"/>
  <c r="AL88" i="22" s="1"/>
  <c r="A74" i="22"/>
  <c r="B74" i="22" s="1"/>
  <c r="AE89" i="22"/>
  <c r="K84" i="25"/>
  <c r="J85" i="25"/>
  <c r="B85" i="25"/>
  <c r="H84" i="25"/>
  <c r="J93" i="27"/>
  <c r="K93" i="27" s="1"/>
  <c r="K92" i="27"/>
  <c r="H83" i="27"/>
  <c r="B84" i="27"/>
  <c r="H73" i="26"/>
  <c r="B74" i="26"/>
  <c r="J76" i="26"/>
  <c r="K75" i="26"/>
  <c r="P75" i="22"/>
  <c r="AA73" i="22"/>
  <c r="AP73" i="22"/>
  <c r="AF89" i="22" l="1"/>
  <c r="AL89" i="22" s="1"/>
  <c r="Q89" i="22"/>
  <c r="W89" i="22" s="1"/>
  <c r="H74" i="22"/>
  <c r="L74" i="22"/>
  <c r="A75" i="22"/>
  <c r="B75" i="22" s="1"/>
  <c r="AE90" i="22"/>
  <c r="K85" i="25"/>
  <c r="J86" i="25"/>
  <c r="H85" i="25"/>
  <c r="B86" i="25"/>
  <c r="H84" i="27"/>
  <c r="B85" i="27"/>
  <c r="H74" i="26"/>
  <c r="B75" i="26"/>
  <c r="J77" i="26"/>
  <c r="K76" i="26"/>
  <c r="AA74" i="22"/>
  <c r="AP74" i="22"/>
  <c r="P76" i="22"/>
  <c r="AF90" i="22" l="1"/>
  <c r="AL90" i="22" s="1"/>
  <c r="Q90" i="22"/>
  <c r="W90" i="22" s="1"/>
  <c r="L75" i="22"/>
  <c r="H75" i="22"/>
  <c r="A76" i="22"/>
  <c r="B76" i="22" s="1"/>
  <c r="AE91" i="22"/>
  <c r="K86" i="25"/>
  <c r="J87" i="25"/>
  <c r="B87" i="25"/>
  <c r="H86" i="25"/>
  <c r="B86" i="27"/>
  <c r="H85" i="27"/>
  <c r="J78" i="26"/>
  <c r="K77" i="26"/>
  <c r="B76" i="26"/>
  <c r="H75" i="26"/>
  <c r="AP75" i="22"/>
  <c r="P77" i="22"/>
  <c r="AA75" i="22"/>
  <c r="Q91" i="22" l="1"/>
  <c r="W91" i="22" s="1"/>
  <c r="AF91" i="22"/>
  <c r="AL91" i="22" s="1"/>
  <c r="H76" i="22"/>
  <c r="L76" i="22"/>
  <c r="A77" i="22"/>
  <c r="B77" i="22" s="1"/>
  <c r="AE92" i="22"/>
  <c r="J88" i="25"/>
  <c r="K87" i="25"/>
  <c r="B88" i="25"/>
  <c r="H87" i="25"/>
  <c r="H86" i="27"/>
  <c r="B87" i="27"/>
  <c r="H76" i="26"/>
  <c r="B77" i="26"/>
  <c r="J79" i="26"/>
  <c r="K78" i="26"/>
  <c r="AA76" i="22"/>
  <c r="P78" i="22"/>
  <c r="AP76" i="22"/>
  <c r="H77" i="22" l="1"/>
  <c r="L77" i="22"/>
  <c r="AF92" i="22"/>
  <c r="AL92" i="22" s="1"/>
  <c r="Q92" i="22"/>
  <c r="W92" i="22" s="1"/>
  <c r="A78" i="22"/>
  <c r="B78" i="22" s="1"/>
  <c r="AE93" i="22"/>
  <c r="K88" i="25"/>
  <c r="J89" i="25"/>
  <c r="B89" i="25"/>
  <c r="H88" i="25"/>
  <c r="B88" i="27"/>
  <c r="H87" i="27"/>
  <c r="J80" i="26"/>
  <c r="K79" i="26"/>
  <c r="B78" i="26"/>
  <c r="H77" i="26"/>
  <c r="AP77" i="22"/>
  <c r="P79" i="22"/>
  <c r="AA77" i="22"/>
  <c r="AF93" i="22" l="1"/>
  <c r="AL93" i="22" s="1"/>
  <c r="Q93" i="22"/>
  <c r="W93" i="22" s="1"/>
  <c r="L78" i="22"/>
  <c r="H78" i="22"/>
  <c r="A79" i="22"/>
  <c r="B79" i="22" s="1"/>
  <c r="AE94" i="22"/>
  <c r="K89" i="25"/>
  <c r="J90" i="25"/>
  <c r="H89" i="25"/>
  <c r="B90" i="25"/>
  <c r="H88" i="27"/>
  <c r="B89" i="27"/>
  <c r="B79" i="26"/>
  <c r="H78" i="26"/>
  <c r="J81" i="26"/>
  <c r="K80" i="26"/>
  <c r="AA78" i="22"/>
  <c r="AP78" i="22"/>
  <c r="P80" i="22"/>
  <c r="AF94" i="22" l="1"/>
  <c r="AL94" i="22" s="1"/>
  <c r="AM92" i="22" s="1"/>
  <c r="Q94" i="22"/>
  <c r="W94" i="22" s="1"/>
  <c r="X92" i="22"/>
  <c r="L79" i="22"/>
  <c r="H79" i="22"/>
  <c r="X88" i="22"/>
  <c r="X91" i="22"/>
  <c r="A80" i="22"/>
  <c r="B80" i="22" s="1"/>
  <c r="J91" i="25"/>
  <c r="K90" i="25"/>
  <c r="B91" i="25"/>
  <c r="H90" i="25"/>
  <c r="B90" i="27"/>
  <c r="H89" i="27"/>
  <c r="H79" i="26"/>
  <c r="B80" i="26"/>
  <c r="J82" i="26"/>
  <c r="K81" i="26"/>
  <c r="AA79" i="22"/>
  <c r="AP79" i="22"/>
  <c r="P81" i="22"/>
  <c r="AM89" i="22" l="1"/>
  <c r="H80" i="22"/>
  <c r="L80" i="22"/>
  <c r="X93" i="22"/>
  <c r="X94" i="22"/>
  <c r="X41" i="22"/>
  <c r="X40" i="22"/>
  <c r="X42" i="22"/>
  <c r="X45" i="22"/>
  <c r="X43" i="22"/>
  <c r="X44" i="22"/>
  <c r="X47" i="22"/>
  <c r="X46" i="22"/>
  <c r="X49" i="22"/>
  <c r="X48" i="22"/>
  <c r="X51" i="22"/>
  <c r="X50" i="22"/>
  <c r="X52" i="22"/>
  <c r="X56" i="22"/>
  <c r="X54" i="22"/>
  <c r="X53" i="22"/>
  <c r="X55" i="22"/>
  <c r="X59" i="22"/>
  <c r="X58" i="22"/>
  <c r="X60" i="22"/>
  <c r="X57" i="22"/>
  <c r="X62" i="22"/>
  <c r="X61" i="22"/>
  <c r="X63" i="22"/>
  <c r="X64" i="22"/>
  <c r="X66" i="22"/>
  <c r="X65" i="22"/>
  <c r="X67" i="22"/>
  <c r="X70" i="22"/>
  <c r="X69" i="22"/>
  <c r="X68" i="22"/>
  <c r="X71" i="22"/>
  <c r="X73" i="22"/>
  <c r="X72" i="22"/>
  <c r="X74" i="22"/>
  <c r="X76" i="22"/>
  <c r="X75" i="22"/>
  <c r="X77" i="22"/>
  <c r="X80" i="22"/>
  <c r="X78" i="22"/>
  <c r="X79" i="22"/>
  <c r="X82" i="22"/>
  <c r="X81" i="22"/>
  <c r="X85" i="22"/>
  <c r="X83" i="22"/>
  <c r="X84" i="22"/>
  <c r="X86" i="22"/>
  <c r="X87" i="22"/>
  <c r="X89" i="22"/>
  <c r="X90" i="22"/>
  <c r="AM94" i="22"/>
  <c r="AM93" i="22"/>
  <c r="AM40" i="22"/>
  <c r="AM41" i="22"/>
  <c r="AM43" i="22"/>
  <c r="AM42" i="22"/>
  <c r="AM44" i="22"/>
  <c r="AM46" i="22"/>
  <c r="AM45" i="22"/>
  <c r="AM47" i="22"/>
  <c r="AM49" i="22"/>
  <c r="AM48" i="22"/>
  <c r="AM50" i="22"/>
  <c r="AM51" i="22"/>
  <c r="AM54" i="22"/>
  <c r="AM52" i="22"/>
  <c r="AM57" i="22"/>
  <c r="AM53" i="22"/>
  <c r="AM55" i="22"/>
  <c r="AM59" i="22"/>
  <c r="AM56" i="22"/>
  <c r="AM58" i="22"/>
  <c r="AM60" i="22"/>
  <c r="AM61" i="22"/>
  <c r="AM62" i="22"/>
  <c r="AM65" i="22"/>
  <c r="AM63" i="22"/>
  <c r="AM64" i="22"/>
  <c r="AM66" i="22"/>
  <c r="AM67" i="22"/>
  <c r="AM70" i="22"/>
  <c r="AM69" i="22"/>
  <c r="AM68" i="22"/>
  <c r="AM72" i="22"/>
  <c r="AM71" i="22"/>
  <c r="AM73" i="22"/>
  <c r="AM75" i="22"/>
  <c r="AM77" i="22"/>
  <c r="AM74" i="22"/>
  <c r="AM76" i="22"/>
  <c r="AM78" i="22"/>
  <c r="AM79" i="22"/>
  <c r="AM81" i="22"/>
  <c r="AM80" i="22"/>
  <c r="AM82" i="22"/>
  <c r="AM83" i="22"/>
  <c r="AM84" i="22"/>
  <c r="AM87" i="22"/>
  <c r="AM88" i="22"/>
  <c r="AM85" i="22"/>
  <c r="AM91" i="22"/>
  <c r="AM90" i="22"/>
  <c r="AM86" i="22"/>
  <c r="A81" i="22"/>
  <c r="B81" i="22" s="1"/>
  <c r="K91" i="25"/>
  <c r="J92" i="25"/>
  <c r="B92" i="25"/>
  <c r="H91" i="25"/>
  <c r="H90" i="27"/>
  <c r="B91" i="27"/>
  <c r="J83" i="26"/>
  <c r="K82" i="26"/>
  <c r="B81" i="26"/>
  <c r="H80" i="26"/>
  <c r="AA80" i="22"/>
  <c r="AP80" i="22"/>
  <c r="P82" i="22"/>
  <c r="H81" i="22" l="1"/>
  <c r="L81" i="22"/>
  <c r="A82" i="22"/>
  <c r="B82" i="22" s="1"/>
  <c r="K92" i="25"/>
  <c r="J93" i="25"/>
  <c r="K93" i="25" s="1"/>
  <c r="H92" i="25"/>
  <c r="B92" i="27"/>
  <c r="H91" i="27"/>
  <c r="H81" i="26"/>
  <c r="B82" i="26"/>
  <c r="J84" i="26"/>
  <c r="K83" i="26"/>
  <c r="AA81" i="22"/>
  <c r="P83" i="22"/>
  <c r="AP81" i="22"/>
  <c r="H82" i="22" l="1"/>
  <c r="L82" i="22"/>
  <c r="A83" i="22"/>
  <c r="B83" i="22" s="1"/>
  <c r="H92" i="27"/>
  <c r="J85" i="26"/>
  <c r="K84" i="26"/>
  <c r="B83" i="26"/>
  <c r="H82" i="26"/>
  <c r="AA82" i="22"/>
  <c r="AP82" i="22"/>
  <c r="P84" i="22"/>
  <c r="L83" i="22" l="1"/>
  <c r="H83" i="22"/>
  <c r="A84" i="22"/>
  <c r="B84" i="22" s="1"/>
  <c r="H83" i="26"/>
  <c r="B84" i="26"/>
  <c r="J86" i="26"/>
  <c r="K85" i="26"/>
  <c r="P85" i="22"/>
  <c r="AA83" i="22"/>
  <c r="AP83" i="22"/>
  <c r="H84" i="22" l="1"/>
  <c r="L84" i="22"/>
  <c r="A85" i="22"/>
  <c r="B85" i="22" s="1"/>
  <c r="B85" i="26"/>
  <c r="H84" i="26"/>
  <c r="J87" i="26"/>
  <c r="K86" i="26"/>
  <c r="P86" i="22"/>
  <c r="AA84" i="22"/>
  <c r="AP84" i="22"/>
  <c r="H85" i="22" l="1"/>
  <c r="L85" i="22"/>
  <c r="A86" i="22"/>
  <c r="B86" i="22" s="1"/>
  <c r="J88" i="26"/>
  <c r="K87" i="26"/>
  <c r="H85" i="26"/>
  <c r="B86" i="26"/>
  <c r="AP85" i="22"/>
  <c r="AA85" i="22"/>
  <c r="P87" i="22"/>
  <c r="H86" i="22" l="1"/>
  <c r="L86" i="22"/>
  <c r="A87" i="22"/>
  <c r="B87" i="22" s="1"/>
  <c r="J89" i="26"/>
  <c r="K88" i="26"/>
  <c r="B87" i="26"/>
  <c r="H86" i="26"/>
  <c r="P88" i="22"/>
  <c r="AP86" i="22"/>
  <c r="AA86" i="22"/>
  <c r="L87" i="22" l="1"/>
  <c r="H87" i="22"/>
  <c r="A88" i="22"/>
  <c r="B88" i="22" s="1"/>
  <c r="J90" i="26"/>
  <c r="K89" i="26"/>
  <c r="H87" i="26"/>
  <c r="B88" i="26"/>
  <c r="AP87" i="22"/>
  <c r="P89" i="22"/>
  <c r="AA87" i="22"/>
  <c r="H88" i="22" l="1"/>
  <c r="L88" i="22"/>
  <c r="A89" i="22"/>
  <c r="B89" i="22" s="1"/>
  <c r="K90" i="26"/>
  <c r="J91" i="26"/>
  <c r="B89" i="26"/>
  <c r="H88" i="26"/>
  <c r="AP88" i="22"/>
  <c r="P90" i="22"/>
  <c r="AA88" i="22"/>
  <c r="L89" i="22" l="1"/>
  <c r="H89" i="22"/>
  <c r="A90" i="22"/>
  <c r="B90" i="22" s="1"/>
  <c r="H89" i="26"/>
  <c r="B90" i="26"/>
  <c r="J92" i="26"/>
  <c r="K91" i="26"/>
  <c r="P91" i="22"/>
  <c r="AA89" i="22"/>
  <c r="AP89" i="22"/>
  <c r="H90" i="22" l="1"/>
  <c r="L90" i="22"/>
  <c r="A91" i="22"/>
  <c r="B91" i="22" s="1"/>
  <c r="J93" i="26"/>
  <c r="K93" i="26" s="1"/>
  <c r="K92" i="26"/>
  <c r="B91" i="26"/>
  <c r="H90" i="26"/>
  <c r="P92" i="22"/>
  <c r="AA90" i="22"/>
  <c r="AP90" i="22"/>
  <c r="L91" i="22" l="1"/>
  <c r="H91" i="22"/>
  <c r="A92" i="22"/>
  <c r="B92" i="22" s="1"/>
  <c r="H91" i="26"/>
  <c r="B92" i="26"/>
  <c r="P93" i="22"/>
  <c r="AA91" i="22"/>
  <c r="AP91" i="22"/>
  <c r="H92" i="22" l="1"/>
  <c r="L92" i="22"/>
  <c r="A93" i="22"/>
  <c r="B93" i="22" s="1"/>
  <c r="H92" i="26"/>
  <c r="AA92" i="22"/>
  <c r="P94" i="22"/>
  <c r="AP92" i="22"/>
  <c r="H93" i="22" l="1"/>
  <c r="L93" i="22"/>
  <c r="A94" i="22"/>
  <c r="B94" i="22" s="1"/>
  <c r="AA94" i="22"/>
  <c r="AP93" i="22"/>
  <c r="AA93" i="22"/>
  <c r="H94" i="22" l="1"/>
  <c r="I94" i="22" s="1"/>
  <c r="L94" i="22"/>
  <c r="AP94" i="22"/>
  <c r="I3" i="5"/>
  <c r="AG4" i="22" s="1"/>
  <c r="H3" i="5"/>
  <c r="E4" i="5"/>
  <c r="F4" i="5" s="1"/>
  <c r="I3" i="4"/>
  <c r="R4" i="22" s="1"/>
  <c r="I3" i="3"/>
  <c r="C4" i="22" s="1"/>
  <c r="E4" i="22" s="1"/>
  <c r="H3" i="4"/>
  <c r="E4" i="4"/>
  <c r="F4" i="4" s="1"/>
  <c r="H3" i="3"/>
  <c r="E4" i="3"/>
  <c r="F4" i="3" s="1"/>
  <c r="I93" i="22" l="1"/>
  <c r="I82" i="22"/>
  <c r="I80" i="22"/>
  <c r="I73" i="22"/>
  <c r="I92" i="22"/>
  <c r="I85" i="22"/>
  <c r="I79" i="22"/>
  <c r="I42" i="22"/>
  <c r="I90" i="22"/>
  <c r="I84" i="22"/>
  <c r="I91" i="22"/>
  <c r="I43" i="22"/>
  <c r="I83" i="22"/>
  <c r="I70" i="22"/>
  <c r="I56" i="22"/>
  <c r="I88" i="22"/>
  <c r="I61" i="22"/>
  <c r="I44" i="22"/>
  <c r="I86" i="22"/>
  <c r="I60" i="22"/>
  <c r="I87" i="22"/>
  <c r="I49" i="22"/>
  <c r="I71" i="22"/>
  <c r="I57" i="22"/>
  <c r="I62" i="22"/>
  <c r="I52" i="22"/>
  <c r="I47" i="22"/>
  <c r="I51" i="22"/>
  <c r="I41" i="22"/>
  <c r="I64" i="22"/>
  <c r="I50" i="22"/>
  <c r="I46" i="22"/>
  <c r="I89" i="22"/>
  <c r="I40" i="22"/>
  <c r="I59" i="22"/>
  <c r="I58" i="22"/>
  <c r="I67" i="22"/>
  <c r="I65" i="22"/>
  <c r="I74" i="22"/>
  <c r="I78" i="22"/>
  <c r="I69" i="22"/>
  <c r="I45" i="22"/>
  <c r="I72" i="22"/>
  <c r="I75" i="22"/>
  <c r="I76" i="22"/>
  <c r="I77" i="22"/>
  <c r="I68" i="22"/>
  <c r="I48" i="22"/>
  <c r="I55" i="22"/>
  <c r="I54" i="22"/>
  <c r="I81" i="22"/>
  <c r="I63" i="22"/>
  <c r="I66" i="22"/>
  <c r="I53" i="22"/>
  <c r="H4" i="3"/>
  <c r="I4" i="3"/>
  <c r="O4" i="13"/>
  <c r="A3" i="25"/>
  <c r="D3" i="25" s="1"/>
  <c r="B4" i="13"/>
  <c r="A3" i="12"/>
  <c r="H4" i="4"/>
  <c r="L3" i="12"/>
  <c r="I4" i="4"/>
  <c r="J4" i="4" s="1"/>
  <c r="A3" i="26"/>
  <c r="D3" i="26" s="1"/>
  <c r="I4" i="5"/>
  <c r="J4" i="5" s="1"/>
  <c r="H4" i="5"/>
  <c r="E5" i="5"/>
  <c r="F5" i="5" s="1"/>
  <c r="AI4" i="22"/>
  <c r="T4" i="22"/>
  <c r="E5" i="3"/>
  <c r="F5" i="3" s="1"/>
  <c r="E5" i="4"/>
  <c r="F5" i="4" s="1"/>
  <c r="J4" i="3" l="1"/>
  <c r="D5" i="22" s="1"/>
  <c r="C5" i="22"/>
  <c r="E5" i="22" s="1"/>
  <c r="I5" i="3"/>
  <c r="C6" i="22" s="1"/>
  <c r="H5" i="3"/>
  <c r="H5" i="4"/>
  <c r="I5" i="4"/>
  <c r="R6" i="22" s="1"/>
  <c r="H5" i="5"/>
  <c r="I5" i="5"/>
  <c r="I4" i="13"/>
  <c r="A3" i="27"/>
  <c r="D3" i="27" s="1"/>
  <c r="O5" i="13"/>
  <c r="R5" i="22"/>
  <c r="A4" i="27"/>
  <c r="D4" i="27" s="1"/>
  <c r="I5" i="13"/>
  <c r="A4" i="25"/>
  <c r="D4" i="25" s="1"/>
  <c r="B5" i="13"/>
  <c r="A4" i="12"/>
  <c r="L4" i="12"/>
  <c r="AG5" i="22"/>
  <c r="AI5" i="22" s="1"/>
  <c r="E6" i="5"/>
  <c r="F6" i="5" s="1"/>
  <c r="E6" i="3"/>
  <c r="F6" i="3" s="1"/>
  <c r="E6" i="4"/>
  <c r="F6" i="4" s="1"/>
  <c r="F7" i="3" l="1"/>
  <c r="J5" i="5"/>
  <c r="AH6" i="22" s="1"/>
  <c r="AG6" i="22"/>
  <c r="T6" i="22"/>
  <c r="E6" i="22"/>
  <c r="J5" i="4"/>
  <c r="T5" i="22"/>
  <c r="H6" i="3"/>
  <c r="I6" i="3"/>
  <c r="C7" i="22" s="1"/>
  <c r="H6" i="5"/>
  <c r="I6" i="5"/>
  <c r="AG7" i="22" s="1"/>
  <c r="J5" i="3"/>
  <c r="D6" i="22" s="1"/>
  <c r="E7" i="4"/>
  <c r="F7" i="4" s="1"/>
  <c r="A4" i="26"/>
  <c r="D4" i="26" s="1"/>
  <c r="E7" i="5"/>
  <c r="F7" i="5" s="1"/>
  <c r="E7" i="3"/>
  <c r="F8" i="4" l="1"/>
  <c r="K5" i="5"/>
  <c r="L5" i="5" s="1"/>
  <c r="AI6" i="22"/>
  <c r="AI7" i="22"/>
  <c r="K5" i="4"/>
  <c r="L5" i="4" s="1"/>
  <c r="S6" i="22"/>
  <c r="J6" i="3"/>
  <c r="D7" i="22" s="1"/>
  <c r="F7" i="22" s="1"/>
  <c r="F6" i="22"/>
  <c r="G6" i="22" s="1"/>
  <c r="H6" i="22" s="1"/>
  <c r="E7" i="22"/>
  <c r="H7" i="4"/>
  <c r="H7" i="5"/>
  <c r="I7" i="5"/>
  <c r="AG8" i="22" s="1"/>
  <c r="H6" i="4"/>
  <c r="I6" i="4"/>
  <c r="J6" i="5"/>
  <c r="M5" i="5"/>
  <c r="H7" i="3"/>
  <c r="I7" i="3"/>
  <c r="C8" i="22" s="1"/>
  <c r="E8" i="22" s="1"/>
  <c r="I7" i="4"/>
  <c r="E8" i="4"/>
  <c r="K5" i="3"/>
  <c r="O7" i="13"/>
  <c r="O6" i="13"/>
  <c r="A5" i="26"/>
  <c r="D5" i="26" s="1"/>
  <c r="I7" i="13"/>
  <c r="A5" i="27"/>
  <c r="D5" i="27" s="1"/>
  <c r="I6" i="13"/>
  <c r="A5" i="25"/>
  <c r="D5" i="25" s="1"/>
  <c r="B6" i="13"/>
  <c r="A5" i="12"/>
  <c r="L5" i="12"/>
  <c r="A6" i="26"/>
  <c r="D6" i="26" s="1"/>
  <c r="E8" i="5"/>
  <c r="F8" i="5" s="1"/>
  <c r="E8" i="3"/>
  <c r="F8" i="3" s="1"/>
  <c r="F9" i="4" l="1"/>
  <c r="K6" i="3"/>
  <c r="M6" i="3" s="1"/>
  <c r="K6" i="5"/>
  <c r="AH7" i="22"/>
  <c r="AJ7" i="22" s="1"/>
  <c r="AK7" i="22" s="1"/>
  <c r="AL7" i="22" s="1"/>
  <c r="AI8" i="22"/>
  <c r="M5" i="4"/>
  <c r="N5" i="4" s="1"/>
  <c r="A6" i="27"/>
  <c r="D6" i="27" s="1"/>
  <c r="J7" i="4"/>
  <c r="R8" i="22"/>
  <c r="L6" i="12"/>
  <c r="J6" i="4"/>
  <c r="S7" i="22" s="1"/>
  <c r="R7" i="22"/>
  <c r="T7" i="22" s="1"/>
  <c r="U7" i="22"/>
  <c r="G7" i="22"/>
  <c r="H7" i="22" s="1"/>
  <c r="E9" i="22"/>
  <c r="H8" i="4"/>
  <c r="I8" i="4"/>
  <c r="E9" i="4"/>
  <c r="M5" i="3"/>
  <c r="L5" i="3"/>
  <c r="J7" i="3"/>
  <c r="D8" i="22" s="1"/>
  <c r="N5" i="5"/>
  <c r="K6" i="4"/>
  <c r="J7" i="5"/>
  <c r="H8" i="3"/>
  <c r="I8" i="3"/>
  <c r="C9" i="22" s="1"/>
  <c r="L6" i="5"/>
  <c r="M6" i="5"/>
  <c r="H8" i="5"/>
  <c r="I8" i="5"/>
  <c r="AG9" i="22" s="1"/>
  <c r="AI9" i="22" s="1"/>
  <c r="L6" i="3"/>
  <c r="Q5" i="13"/>
  <c r="S5" i="13" s="1"/>
  <c r="O8" i="13"/>
  <c r="A7" i="27"/>
  <c r="D7" i="27" s="1"/>
  <c r="I8" i="13"/>
  <c r="K5" i="13"/>
  <c r="M5" i="13" s="1"/>
  <c r="A6" i="25"/>
  <c r="D6" i="25" s="1"/>
  <c r="B7" i="13"/>
  <c r="A6" i="12"/>
  <c r="L7" i="12"/>
  <c r="A7" i="26"/>
  <c r="D7" i="26" s="1"/>
  <c r="E9" i="5"/>
  <c r="F9" i="5" s="1"/>
  <c r="E5" i="13"/>
  <c r="E9" i="3"/>
  <c r="F9" i="3" s="1"/>
  <c r="E10" i="4"/>
  <c r="F10" i="4" l="1"/>
  <c r="F11" i="4" s="1"/>
  <c r="K7" i="5"/>
  <c r="L7" i="5" s="1"/>
  <c r="AH8" i="22"/>
  <c r="J8" i="4"/>
  <c r="R9" i="22"/>
  <c r="T9" i="22" s="1"/>
  <c r="T8" i="22"/>
  <c r="V7" i="22"/>
  <c r="W7" i="22" s="1"/>
  <c r="K7" i="4"/>
  <c r="S8" i="22"/>
  <c r="F8" i="22"/>
  <c r="G8" i="22" s="1"/>
  <c r="H8" i="22" s="1"/>
  <c r="N5" i="3"/>
  <c r="N6" i="3"/>
  <c r="J8" i="3"/>
  <c r="D9" i="22" s="1"/>
  <c r="N6" i="5"/>
  <c r="M7" i="5"/>
  <c r="H9" i="5"/>
  <c r="I9" i="5"/>
  <c r="AG10" i="22" s="1"/>
  <c r="H9" i="3"/>
  <c r="I9" i="3"/>
  <c r="C10" i="22" s="1"/>
  <c r="J8" i="5"/>
  <c r="I9" i="4"/>
  <c r="H9" i="4"/>
  <c r="K7" i="3"/>
  <c r="M6" i="4"/>
  <c r="L6" i="4"/>
  <c r="Q6" i="13"/>
  <c r="S6" i="13" s="1"/>
  <c r="O9" i="13"/>
  <c r="A8" i="27"/>
  <c r="D8" i="27" s="1"/>
  <c r="I9" i="13"/>
  <c r="K6" i="13"/>
  <c r="M6" i="13" s="1"/>
  <c r="A7" i="25"/>
  <c r="D7" i="25" s="1"/>
  <c r="B8" i="13"/>
  <c r="A7" i="12"/>
  <c r="L8" i="12"/>
  <c r="A8" i="26"/>
  <c r="D8" i="26" s="1"/>
  <c r="E10" i="5"/>
  <c r="F10" i="5" s="1"/>
  <c r="E10" i="3"/>
  <c r="F10" i="3" s="1"/>
  <c r="E11" i="4"/>
  <c r="F12" i="4" l="1"/>
  <c r="I10" i="4"/>
  <c r="J10" i="4" s="1"/>
  <c r="S11" i="22" s="1"/>
  <c r="AJ8" i="22"/>
  <c r="AK8" i="22" s="1"/>
  <c r="AL8" i="22" s="1"/>
  <c r="AI10" i="22"/>
  <c r="K8" i="5"/>
  <c r="M8" i="5" s="1"/>
  <c r="AH9" i="22"/>
  <c r="AJ9" i="22" s="1"/>
  <c r="AK9" i="22" s="1"/>
  <c r="AL9" i="22" s="1"/>
  <c r="H10" i="4"/>
  <c r="U8" i="22"/>
  <c r="V8" i="22" s="1"/>
  <c r="W8" i="22" s="1"/>
  <c r="L7" i="4"/>
  <c r="M7" i="4"/>
  <c r="J9" i="4"/>
  <c r="S10" i="22" s="1"/>
  <c r="R10" i="22"/>
  <c r="K8" i="4"/>
  <c r="S9" i="22"/>
  <c r="U9" i="22" s="1"/>
  <c r="V9" i="22" s="1"/>
  <c r="W9" i="22" s="1"/>
  <c r="F9" i="22"/>
  <c r="G9" i="22" s="1"/>
  <c r="H9" i="22" s="1"/>
  <c r="K8" i="3"/>
  <c r="E10" i="22"/>
  <c r="J9" i="3"/>
  <c r="D10" i="22" s="1"/>
  <c r="N6" i="4"/>
  <c r="O6" i="4" s="1"/>
  <c r="H10" i="3"/>
  <c r="I10" i="3"/>
  <c r="C11" i="22" s="1"/>
  <c r="L8" i="3"/>
  <c r="M8" i="3"/>
  <c r="I10" i="5"/>
  <c r="H10" i="5"/>
  <c r="O5" i="5"/>
  <c r="O6" i="5"/>
  <c r="P5" i="5"/>
  <c r="P7" i="5"/>
  <c r="P6" i="5"/>
  <c r="I11" i="4"/>
  <c r="H11" i="4"/>
  <c r="M7" i="3"/>
  <c r="L7" i="3"/>
  <c r="K9" i="4"/>
  <c r="P5" i="3"/>
  <c r="P6" i="3"/>
  <c r="K9" i="3"/>
  <c r="O5" i="3"/>
  <c r="P7" i="3"/>
  <c r="P8" i="3"/>
  <c r="O6" i="3"/>
  <c r="J9" i="5"/>
  <c r="P7" i="4"/>
  <c r="N7" i="5"/>
  <c r="O7" i="5" s="1"/>
  <c r="A9" i="26"/>
  <c r="D9" i="26" s="1"/>
  <c r="O10" i="13"/>
  <c r="Q7" i="13"/>
  <c r="S7" i="13" s="1"/>
  <c r="A9" i="27"/>
  <c r="D9" i="27" s="1"/>
  <c r="I10" i="13"/>
  <c r="K7" i="13"/>
  <c r="M7" i="13" s="1"/>
  <c r="A8" i="25"/>
  <c r="D8" i="25" s="1"/>
  <c r="B9" i="13"/>
  <c r="A8" i="12"/>
  <c r="L9" i="12"/>
  <c r="E11" i="5"/>
  <c r="F11" i="5" s="1"/>
  <c r="E11" i="3"/>
  <c r="F11" i="3" s="1"/>
  <c r="E12" i="4"/>
  <c r="E6" i="13"/>
  <c r="O5" i="4" l="1"/>
  <c r="F13" i="4"/>
  <c r="K10" i="4"/>
  <c r="P10" i="4" s="1"/>
  <c r="R11" i="22"/>
  <c r="P5" i="4"/>
  <c r="P6" i="4"/>
  <c r="P8" i="4"/>
  <c r="P8" i="5"/>
  <c r="L8" i="5"/>
  <c r="N8" i="5" s="1"/>
  <c r="O8" i="5" s="1"/>
  <c r="K9" i="5"/>
  <c r="L9" i="5" s="1"/>
  <c r="AH10" i="22"/>
  <c r="J10" i="5"/>
  <c r="AG11" i="22"/>
  <c r="AI11" i="22" s="1"/>
  <c r="J11" i="4"/>
  <c r="R12" i="22"/>
  <c r="N7" i="4"/>
  <c r="O7" i="4" s="1"/>
  <c r="T10" i="22"/>
  <c r="T11" i="22"/>
  <c r="M8" i="4"/>
  <c r="L8" i="4"/>
  <c r="N8" i="4" s="1"/>
  <c r="O8" i="4" s="1"/>
  <c r="U10" i="22"/>
  <c r="U11" i="22"/>
  <c r="F10" i="22"/>
  <c r="G10" i="22" s="1"/>
  <c r="H10" i="22" s="1"/>
  <c r="E11" i="22"/>
  <c r="J10" i="3"/>
  <c r="D11" i="22" s="1"/>
  <c r="N7" i="3"/>
  <c r="O7" i="3" s="1"/>
  <c r="L9" i="3"/>
  <c r="M9" i="3"/>
  <c r="I11" i="5"/>
  <c r="H11" i="5"/>
  <c r="L9" i="4"/>
  <c r="M9" i="4"/>
  <c r="I12" i="4"/>
  <c r="R13" i="22" s="1"/>
  <c r="H12" i="4"/>
  <c r="L10" i="4"/>
  <c r="M10" i="4"/>
  <c r="P9" i="4"/>
  <c r="N8" i="3"/>
  <c r="O8" i="3" s="1"/>
  <c r="H11" i="3"/>
  <c r="I11" i="3"/>
  <c r="C12" i="22" s="1"/>
  <c r="P9" i="3"/>
  <c r="Q8" i="13"/>
  <c r="S8" i="13" s="1"/>
  <c r="K8" i="13"/>
  <c r="M8" i="13" s="1"/>
  <c r="A10" i="27"/>
  <c r="D10" i="27" s="1"/>
  <c r="I11" i="13"/>
  <c r="A9" i="25"/>
  <c r="D9" i="25" s="1"/>
  <c r="B10" i="13"/>
  <c r="A9" i="12"/>
  <c r="L10" i="12"/>
  <c r="A10" i="26"/>
  <c r="D10" i="26" s="1"/>
  <c r="E12" i="5"/>
  <c r="F12" i="5" s="1"/>
  <c r="E7" i="13"/>
  <c r="E12" i="3"/>
  <c r="F12" i="3" s="1"/>
  <c r="E13" i="4"/>
  <c r="P9" i="5" l="1"/>
  <c r="M9" i="5"/>
  <c r="AJ10" i="22"/>
  <c r="AK10" i="22" s="1"/>
  <c r="AL10" i="22" s="1"/>
  <c r="J11" i="5"/>
  <c r="AH12" i="22" s="1"/>
  <c r="AG12" i="22"/>
  <c r="K10" i="5"/>
  <c r="AH11" i="22"/>
  <c r="AJ11" i="22" s="1"/>
  <c r="AK11" i="22" s="1"/>
  <c r="AL11" i="22" s="1"/>
  <c r="J12" i="4"/>
  <c r="S13" i="22" s="1"/>
  <c r="V11" i="22"/>
  <c r="W11" i="22" s="1"/>
  <c r="K11" i="4"/>
  <c r="S12" i="22"/>
  <c r="V10" i="22"/>
  <c r="W10" i="22" s="1"/>
  <c r="T12" i="22"/>
  <c r="T13" i="22"/>
  <c r="K10" i="3"/>
  <c r="L10" i="3" s="1"/>
  <c r="F11" i="22"/>
  <c r="G11" i="22" s="1"/>
  <c r="H11" i="22" s="1"/>
  <c r="E12" i="22"/>
  <c r="N9" i="5"/>
  <c r="O9" i="5" s="1"/>
  <c r="H13" i="4"/>
  <c r="I13" i="4"/>
  <c r="R14" i="22" s="1"/>
  <c r="H12" i="5"/>
  <c r="I12" i="5"/>
  <c r="H12" i="3"/>
  <c r="I12" i="3"/>
  <c r="C13" i="22" s="1"/>
  <c r="M10" i="3"/>
  <c r="P10" i="3"/>
  <c r="N10" i="4"/>
  <c r="O10" i="4" s="1"/>
  <c r="J11" i="3"/>
  <c r="D12" i="22" s="1"/>
  <c r="F12" i="22" s="1"/>
  <c r="N9" i="4"/>
  <c r="O9" i="4" s="1"/>
  <c r="N9" i="3"/>
  <c r="O9" i="3" s="1"/>
  <c r="O11" i="13"/>
  <c r="Q9" i="13"/>
  <c r="S9" i="13" s="1"/>
  <c r="O12" i="13"/>
  <c r="K9" i="13"/>
  <c r="M9" i="13" s="1"/>
  <c r="A11" i="27"/>
  <c r="D11" i="27" s="1"/>
  <c r="I12" i="13"/>
  <c r="A10" i="25"/>
  <c r="D10" i="25" s="1"/>
  <c r="B11" i="13"/>
  <c r="A10" i="12"/>
  <c r="L11" i="12"/>
  <c r="A11" i="26"/>
  <c r="D11" i="26" s="1"/>
  <c r="E13" i="5"/>
  <c r="F13" i="5" s="1"/>
  <c r="E14" i="4"/>
  <c r="F14" i="4" s="1"/>
  <c r="E8" i="13"/>
  <c r="E13" i="3"/>
  <c r="F13" i="3" s="1"/>
  <c r="F14" i="3" l="1"/>
  <c r="K12" i="4"/>
  <c r="K11" i="5"/>
  <c r="P11" i="5" s="1"/>
  <c r="J12" i="5"/>
  <c r="AH13" i="22" s="1"/>
  <c r="AG13" i="22"/>
  <c r="AI13" i="22" s="1"/>
  <c r="AJ12" i="22"/>
  <c r="P10" i="5"/>
  <c r="L10" i="5"/>
  <c r="M10" i="5"/>
  <c r="AI12" i="22"/>
  <c r="U12" i="22"/>
  <c r="V12" i="22" s="1"/>
  <c r="W12" i="22" s="1"/>
  <c r="U13" i="22"/>
  <c r="V13" i="22"/>
  <c r="W13" i="22" s="1"/>
  <c r="L11" i="4"/>
  <c r="P11" i="4"/>
  <c r="M11" i="4"/>
  <c r="T14" i="22"/>
  <c r="G12" i="22"/>
  <c r="H12" i="22" s="1"/>
  <c r="E13" i="22"/>
  <c r="J12" i="3"/>
  <c r="D13" i="22" s="1"/>
  <c r="F13" i="22" s="1"/>
  <c r="J13" i="4"/>
  <c r="L11" i="5"/>
  <c r="M11" i="5"/>
  <c r="I14" i="4"/>
  <c r="H14" i="4"/>
  <c r="L12" i="4"/>
  <c r="M12" i="4"/>
  <c r="P12" i="4"/>
  <c r="N10" i="3"/>
  <c r="O10" i="3" s="1"/>
  <c r="K11" i="3"/>
  <c r="H13" i="3"/>
  <c r="I13" i="3"/>
  <c r="C14" i="22" s="1"/>
  <c r="H13" i="5"/>
  <c r="I13" i="5"/>
  <c r="Q10" i="13"/>
  <c r="S10" i="13" s="1"/>
  <c r="O13" i="13"/>
  <c r="K10" i="13"/>
  <c r="M10" i="13" s="1"/>
  <c r="A12" i="27"/>
  <c r="D12" i="27" s="1"/>
  <c r="I13" i="13"/>
  <c r="A11" i="25"/>
  <c r="D11" i="25" s="1"/>
  <c r="B12" i="13"/>
  <c r="A11" i="12"/>
  <c r="L12" i="12"/>
  <c r="A12" i="26"/>
  <c r="D12" i="26" s="1"/>
  <c r="E14" i="5"/>
  <c r="F14" i="5" s="1"/>
  <c r="E15" i="4"/>
  <c r="F15" i="4" s="1"/>
  <c r="E9" i="13"/>
  <c r="E14" i="3"/>
  <c r="K12" i="5" l="1"/>
  <c r="L12" i="5" s="1"/>
  <c r="N11" i="4"/>
  <c r="O11" i="4" s="1"/>
  <c r="AK12" i="22"/>
  <c r="AL12" i="22" s="1"/>
  <c r="N10" i="5"/>
  <c r="O10" i="5" s="1"/>
  <c r="AJ13" i="22"/>
  <c r="AK13" i="22" s="1"/>
  <c r="AL13" i="22" s="1"/>
  <c r="J13" i="5"/>
  <c r="AH14" i="22" s="1"/>
  <c r="AG14" i="22"/>
  <c r="J14" i="4"/>
  <c r="S15" i="22" s="1"/>
  <c r="R15" i="22"/>
  <c r="T15" i="22" s="1"/>
  <c r="K13" i="4"/>
  <c r="M13" i="4" s="1"/>
  <c r="S14" i="22"/>
  <c r="G13" i="22"/>
  <c r="H13" i="22" s="1"/>
  <c r="K12" i="3"/>
  <c r="M12" i="3" s="1"/>
  <c r="E14" i="22"/>
  <c r="P13" i="4"/>
  <c r="N12" i="4"/>
  <c r="O12" i="4" s="1"/>
  <c r="M12" i="5"/>
  <c r="K14" i="4"/>
  <c r="H14" i="3"/>
  <c r="I14" i="3"/>
  <c r="C15" i="22" s="1"/>
  <c r="H15" i="4"/>
  <c r="I15" i="4"/>
  <c r="R16" i="22" s="1"/>
  <c r="I14" i="5"/>
  <c r="H14" i="5"/>
  <c r="L11" i="3"/>
  <c r="M11" i="3"/>
  <c r="P11" i="3"/>
  <c r="J13" i="3"/>
  <c r="D14" i="22" s="1"/>
  <c r="N11" i="5"/>
  <c r="O11" i="5" s="1"/>
  <c r="Q11" i="13"/>
  <c r="S11" i="13" s="1"/>
  <c r="O14" i="13"/>
  <c r="A13" i="27"/>
  <c r="D13" i="27" s="1"/>
  <c r="I14" i="13"/>
  <c r="K11" i="13"/>
  <c r="M11" i="13" s="1"/>
  <c r="A12" i="25"/>
  <c r="D12" i="25" s="1"/>
  <c r="B13" i="13"/>
  <c r="A12" i="12"/>
  <c r="L13" i="12"/>
  <c r="A13" i="26"/>
  <c r="D13" i="26" s="1"/>
  <c r="E15" i="5"/>
  <c r="F15" i="5" s="1"/>
  <c r="E10" i="13"/>
  <c r="E16" i="4"/>
  <c r="F16" i="4" s="1"/>
  <c r="E15" i="3"/>
  <c r="F15" i="3" s="1"/>
  <c r="P12" i="3" l="1"/>
  <c r="P12" i="5"/>
  <c r="K13" i="5"/>
  <c r="P13" i="5" s="1"/>
  <c r="J14" i="5"/>
  <c r="AG15" i="22"/>
  <c r="AI15" i="22" s="1"/>
  <c r="AI14" i="22"/>
  <c r="AJ14" i="22"/>
  <c r="L13" i="4"/>
  <c r="N13" i="4" s="1"/>
  <c r="O13" i="4" s="1"/>
  <c r="T16" i="22"/>
  <c r="U14" i="22"/>
  <c r="V14" i="22" s="1"/>
  <c r="W14" i="22" s="1"/>
  <c r="U15" i="22"/>
  <c r="V15" i="22" s="1"/>
  <c r="W15" i="22" s="1"/>
  <c r="J14" i="3"/>
  <c r="D15" i="22" s="1"/>
  <c r="L12" i="3"/>
  <c r="N12" i="3" s="1"/>
  <c r="O12" i="3" s="1"/>
  <c r="E15" i="22"/>
  <c r="F15" i="22"/>
  <c r="F14" i="22"/>
  <c r="G14" i="22" s="1"/>
  <c r="H14" i="22" s="1"/>
  <c r="N11" i="3"/>
  <c r="O11" i="3" s="1"/>
  <c r="M14" i="4"/>
  <c r="L14" i="4"/>
  <c r="P14" i="4"/>
  <c r="I16" i="4"/>
  <c r="R17" i="22" s="1"/>
  <c r="T17" i="22" s="1"/>
  <c r="H16" i="4"/>
  <c r="K13" i="3"/>
  <c r="L13" i="5"/>
  <c r="M13" i="5"/>
  <c r="H15" i="3"/>
  <c r="I15" i="3"/>
  <c r="C16" i="22" s="1"/>
  <c r="E16" i="22" s="1"/>
  <c r="I15" i="5"/>
  <c r="H15" i="5"/>
  <c r="J15" i="4"/>
  <c r="N12" i="5"/>
  <c r="O12" i="5" s="1"/>
  <c r="Q12" i="13"/>
  <c r="S12" i="13" s="1"/>
  <c r="O15" i="13"/>
  <c r="A14" i="27"/>
  <c r="D14" i="27" s="1"/>
  <c r="I15" i="13"/>
  <c r="K12" i="13"/>
  <c r="M12" i="13" s="1"/>
  <c r="A13" i="25"/>
  <c r="D13" i="25" s="1"/>
  <c r="B14" i="13"/>
  <c r="A13" i="12"/>
  <c r="L14" i="12"/>
  <c r="A14" i="26"/>
  <c r="D14" i="26" s="1"/>
  <c r="E16" i="5"/>
  <c r="F16" i="5" s="1"/>
  <c r="E11" i="13"/>
  <c r="E17" i="4"/>
  <c r="F17" i="4" s="1"/>
  <c r="E16" i="3"/>
  <c r="F16" i="3" s="1"/>
  <c r="F17" i="3" l="1"/>
  <c r="K14" i="3"/>
  <c r="P14" i="3" s="1"/>
  <c r="J15" i="5"/>
  <c r="AH16" i="22" s="1"/>
  <c r="AG16" i="22"/>
  <c r="AK14" i="22"/>
  <c r="AL14" i="22" s="1"/>
  <c r="K14" i="5"/>
  <c r="AH15" i="22"/>
  <c r="AJ15" i="22" s="1"/>
  <c r="AK15" i="22" s="1"/>
  <c r="AL15" i="22" s="1"/>
  <c r="K15" i="4"/>
  <c r="P15" i="4" s="1"/>
  <c r="S16" i="22"/>
  <c r="G15" i="22"/>
  <c r="H15" i="22" s="1"/>
  <c r="J15" i="3"/>
  <c r="D16" i="22" s="1"/>
  <c r="N13" i="5"/>
  <c r="O13" i="5" s="1"/>
  <c r="M15" i="4"/>
  <c r="L13" i="3"/>
  <c r="M13" i="3"/>
  <c r="P13" i="3"/>
  <c r="J16" i="4"/>
  <c r="L14" i="3"/>
  <c r="H16" i="3"/>
  <c r="I16" i="3"/>
  <c r="C17" i="22" s="1"/>
  <c r="E17" i="22" s="1"/>
  <c r="H17" i="4"/>
  <c r="I17" i="4"/>
  <c r="R18" i="22" s="1"/>
  <c r="I16" i="5"/>
  <c r="H16" i="5"/>
  <c r="K15" i="5"/>
  <c r="N14" i="4"/>
  <c r="O14" i="4" s="1"/>
  <c r="O16" i="13"/>
  <c r="Q13" i="13"/>
  <c r="S13" i="13" s="1"/>
  <c r="K13" i="13"/>
  <c r="M13" i="13" s="1"/>
  <c r="A15" i="27"/>
  <c r="D15" i="27" s="1"/>
  <c r="I16" i="13"/>
  <c r="A14" i="25"/>
  <c r="D14" i="25" s="1"/>
  <c r="B15" i="13"/>
  <c r="A14" i="12"/>
  <c r="L15" i="12"/>
  <c r="A15" i="26"/>
  <c r="D15" i="26" s="1"/>
  <c r="E17" i="5"/>
  <c r="F17" i="5" s="1"/>
  <c r="E12" i="13"/>
  <c r="E18" i="4"/>
  <c r="F18" i="4" s="1"/>
  <c r="E17" i="3"/>
  <c r="M14" i="3" l="1"/>
  <c r="N14" i="3" s="1"/>
  <c r="O14" i="3" s="1"/>
  <c r="F18" i="3"/>
  <c r="L15" i="4"/>
  <c r="J16" i="5"/>
  <c r="AG17" i="22"/>
  <c r="AI17" i="22" s="1"/>
  <c r="AI16" i="22"/>
  <c r="M14" i="5"/>
  <c r="L14" i="5"/>
  <c r="N14" i="5" s="1"/>
  <c r="O14" i="5" s="1"/>
  <c r="P14" i="5"/>
  <c r="AJ16" i="22"/>
  <c r="T18" i="22"/>
  <c r="U16" i="22"/>
  <c r="V16" i="22" s="1"/>
  <c r="W16" i="22" s="1"/>
  <c r="U17" i="22"/>
  <c r="V17" i="22" s="1"/>
  <c r="W17" i="22" s="1"/>
  <c r="K16" i="4"/>
  <c r="L16" i="4" s="1"/>
  <c r="S17" i="22"/>
  <c r="K15" i="3"/>
  <c r="L15" i="3" s="1"/>
  <c r="N15" i="3" s="1"/>
  <c r="O15" i="3" s="1"/>
  <c r="F16" i="22"/>
  <c r="G16" i="22" s="1"/>
  <c r="H16" i="22" s="1"/>
  <c r="J16" i="3"/>
  <c r="D17" i="22" s="1"/>
  <c r="F17" i="22" s="1"/>
  <c r="G17" i="22" s="1"/>
  <c r="H17" i="22" s="1"/>
  <c r="H17" i="5"/>
  <c r="I17" i="5"/>
  <c r="M15" i="3"/>
  <c r="N13" i="3"/>
  <c r="O13" i="3" s="1"/>
  <c r="N15" i="4"/>
  <c r="O15" i="4" s="1"/>
  <c r="L15" i="5"/>
  <c r="M15" i="5"/>
  <c r="P15" i="5"/>
  <c r="H17" i="3"/>
  <c r="I17" i="3"/>
  <c r="C18" i="22" s="1"/>
  <c r="J17" i="3"/>
  <c r="D18" i="22" s="1"/>
  <c r="H18" i="4"/>
  <c r="I18" i="4"/>
  <c r="J17" i="4"/>
  <c r="O17" i="13"/>
  <c r="Q14" i="13"/>
  <c r="S14" i="13" s="1"/>
  <c r="K14" i="13"/>
  <c r="M14" i="13" s="1"/>
  <c r="A16" i="27"/>
  <c r="D16" i="27" s="1"/>
  <c r="I17" i="13"/>
  <c r="A15" i="25"/>
  <c r="D15" i="25" s="1"/>
  <c r="B16" i="13"/>
  <c r="A15" i="12"/>
  <c r="L16" i="12"/>
  <c r="A16" i="26"/>
  <c r="D16" i="26" s="1"/>
  <c r="E18" i="5"/>
  <c r="F18" i="5" s="1"/>
  <c r="E13" i="13"/>
  <c r="E18" i="3"/>
  <c r="E19" i="4"/>
  <c r="F19" i="4" s="1"/>
  <c r="P15" i="3" l="1"/>
  <c r="J17" i="5"/>
  <c r="AH18" i="22" s="1"/>
  <c r="AG18" i="22"/>
  <c r="AK16" i="22"/>
  <c r="AL16" i="22" s="1"/>
  <c r="K16" i="5"/>
  <c r="AH17" i="22"/>
  <c r="AJ17" i="22" s="1"/>
  <c r="AK17" i="22" s="1"/>
  <c r="AL17" i="22" s="1"/>
  <c r="P16" i="4"/>
  <c r="M16" i="4"/>
  <c r="N16" i="4" s="1"/>
  <c r="O16" i="4" s="1"/>
  <c r="K17" i="4"/>
  <c r="L17" i="4" s="1"/>
  <c r="S18" i="22"/>
  <c r="J18" i="4"/>
  <c r="S19" i="22" s="1"/>
  <c r="R19" i="22"/>
  <c r="T19" i="22" s="1"/>
  <c r="K16" i="3"/>
  <c r="E18" i="22"/>
  <c r="F18" i="22"/>
  <c r="M17" i="4"/>
  <c r="P17" i="4"/>
  <c r="H19" i="4"/>
  <c r="I19" i="4"/>
  <c r="R20" i="22" s="1"/>
  <c r="K18" i="4"/>
  <c r="H18" i="3"/>
  <c r="I18" i="3"/>
  <c r="C19" i="22" s="1"/>
  <c r="E19" i="22" s="1"/>
  <c r="L16" i="3"/>
  <c r="M16" i="3"/>
  <c r="P16" i="3"/>
  <c r="K17" i="3"/>
  <c r="K17" i="5"/>
  <c r="H18" i="5"/>
  <c r="I18" i="5"/>
  <c r="N15" i="5"/>
  <c r="O15" i="5" s="1"/>
  <c r="O18" i="13"/>
  <c r="Q15" i="13"/>
  <c r="S15" i="13" s="1"/>
  <c r="A17" i="27"/>
  <c r="D17" i="27" s="1"/>
  <c r="I18" i="13"/>
  <c r="K15" i="13"/>
  <c r="M15" i="13" s="1"/>
  <c r="A16" i="25"/>
  <c r="D16" i="25" s="1"/>
  <c r="B17" i="13"/>
  <c r="A16" i="12"/>
  <c r="L17" i="12"/>
  <c r="A17" i="26"/>
  <c r="E19" i="5"/>
  <c r="F19" i="5" s="1"/>
  <c r="E20" i="4"/>
  <c r="F20" i="4" s="1"/>
  <c r="E19" i="3"/>
  <c r="F19" i="3" s="1"/>
  <c r="E14" i="13"/>
  <c r="J18" i="5" l="1"/>
  <c r="AH19" i="22" s="1"/>
  <c r="AG19" i="22"/>
  <c r="AI18" i="22"/>
  <c r="AI19" i="22"/>
  <c r="M16" i="5"/>
  <c r="L16" i="5"/>
  <c r="P16" i="5"/>
  <c r="AJ18" i="22"/>
  <c r="AJ19" i="22"/>
  <c r="U18" i="22"/>
  <c r="V18" i="22" s="1"/>
  <c r="W18" i="22" s="1"/>
  <c r="U19" i="22"/>
  <c r="V19" i="22" s="1"/>
  <c r="W19" i="22" s="1"/>
  <c r="T20" i="22"/>
  <c r="G18" i="22"/>
  <c r="H18" i="22" s="1"/>
  <c r="J18" i="3"/>
  <c r="D19" i="22" s="1"/>
  <c r="N17" i="4"/>
  <c r="O17" i="4" s="1"/>
  <c r="L17" i="5"/>
  <c r="M17" i="5"/>
  <c r="P17" i="5"/>
  <c r="H19" i="3"/>
  <c r="I19" i="3"/>
  <c r="C20" i="22" s="1"/>
  <c r="E20" i="22" s="1"/>
  <c r="L17" i="3"/>
  <c r="M17" i="3"/>
  <c r="P17" i="3"/>
  <c r="L18" i="4"/>
  <c r="M18" i="4"/>
  <c r="P18" i="4"/>
  <c r="I20" i="4"/>
  <c r="R21" i="22" s="1"/>
  <c r="T21" i="22" s="1"/>
  <c r="H20" i="4"/>
  <c r="K18" i="3"/>
  <c r="H19" i="5"/>
  <c r="I19" i="5"/>
  <c r="AG20" i="22" s="1"/>
  <c r="N16" i="3"/>
  <c r="O16" i="3" s="1"/>
  <c r="J19" i="4"/>
  <c r="Q16" i="13"/>
  <c r="S16" i="13" s="1"/>
  <c r="O19" i="13"/>
  <c r="A18" i="27"/>
  <c r="D18" i="27" s="1"/>
  <c r="I19" i="13"/>
  <c r="K16" i="13"/>
  <c r="M16" i="13" s="1"/>
  <c r="A17" i="25"/>
  <c r="D17" i="25" s="1"/>
  <c r="B18" i="13"/>
  <c r="D17" i="26"/>
  <c r="A17" i="12"/>
  <c r="L18" i="12"/>
  <c r="A18" i="26"/>
  <c r="E20" i="5"/>
  <c r="F20" i="5" s="1"/>
  <c r="E21" i="4"/>
  <c r="F21" i="4" s="1"/>
  <c r="E15" i="13"/>
  <c r="E20" i="3"/>
  <c r="F20" i="3" s="1"/>
  <c r="AK19" i="22" l="1"/>
  <c r="AL19" i="22" s="1"/>
  <c r="K18" i="5"/>
  <c r="N16" i="5"/>
  <c r="O16" i="5" s="1"/>
  <c r="AK18" i="22"/>
  <c r="AL18" i="22" s="1"/>
  <c r="AI20" i="22"/>
  <c r="K19" i="4"/>
  <c r="M19" i="4" s="1"/>
  <c r="S20" i="22"/>
  <c r="N17" i="3"/>
  <c r="O17" i="3" s="1"/>
  <c r="F19" i="22"/>
  <c r="G19" i="22" s="1"/>
  <c r="H19" i="22" s="1"/>
  <c r="N17" i="5"/>
  <c r="O17" i="5" s="1"/>
  <c r="N18" i="4"/>
  <c r="O18" i="4" s="1"/>
  <c r="M18" i="5"/>
  <c r="L18" i="5"/>
  <c r="P18" i="5"/>
  <c r="I20" i="5"/>
  <c r="AG21" i="22" s="1"/>
  <c r="AI21" i="22" s="1"/>
  <c r="H20" i="5"/>
  <c r="M18" i="3"/>
  <c r="L18" i="3"/>
  <c r="N18" i="3" s="1"/>
  <c r="O18" i="3" s="1"/>
  <c r="P18" i="3"/>
  <c r="H20" i="3"/>
  <c r="I20" i="3"/>
  <c r="C21" i="22" s="1"/>
  <c r="J19" i="5"/>
  <c r="AH20" i="22" s="1"/>
  <c r="H21" i="4"/>
  <c r="I21" i="4"/>
  <c r="R22" i="22" s="1"/>
  <c r="J20" i="4"/>
  <c r="J19" i="3"/>
  <c r="D20" i="22" s="1"/>
  <c r="F20" i="22" s="1"/>
  <c r="G20" i="22" s="1"/>
  <c r="H20" i="22" s="1"/>
  <c r="Q17" i="13"/>
  <c r="S17" i="13" s="1"/>
  <c r="O20" i="13"/>
  <c r="A19" i="27"/>
  <c r="D19" i="27" s="1"/>
  <c r="I20" i="13"/>
  <c r="K17" i="13"/>
  <c r="M17" i="13" s="1"/>
  <c r="A18" i="25"/>
  <c r="D18" i="25" s="1"/>
  <c r="B19" i="13"/>
  <c r="D18" i="26"/>
  <c r="A18" i="12"/>
  <c r="L19" i="12"/>
  <c r="A19" i="26"/>
  <c r="E21" i="5"/>
  <c r="F21" i="5" s="1"/>
  <c r="E22" i="4"/>
  <c r="F22" i="4" s="1"/>
  <c r="E16" i="13"/>
  <c r="E21" i="3"/>
  <c r="F21" i="3" s="1"/>
  <c r="N18" i="5" l="1"/>
  <c r="O18" i="5" s="1"/>
  <c r="AJ20" i="22"/>
  <c r="AK20" i="22" s="1"/>
  <c r="AL20" i="22" s="1"/>
  <c r="P19" i="4"/>
  <c r="K20" i="4"/>
  <c r="L20" i="4" s="1"/>
  <c r="S21" i="22"/>
  <c r="L19" i="4"/>
  <c r="N19" i="4" s="1"/>
  <c r="O19" i="4" s="1"/>
  <c r="T22" i="22"/>
  <c r="U20" i="22"/>
  <c r="V20" i="22" s="1"/>
  <c r="W20" i="22" s="1"/>
  <c r="U21" i="22"/>
  <c r="V21" i="22" s="1"/>
  <c r="W21" i="22" s="1"/>
  <c r="E21" i="22"/>
  <c r="K19" i="5"/>
  <c r="L19" i="5" s="1"/>
  <c r="H22" i="4"/>
  <c r="I22" i="4"/>
  <c r="H21" i="5"/>
  <c r="I21" i="5"/>
  <c r="AG22" i="22" s="1"/>
  <c r="K19" i="3"/>
  <c r="H21" i="3"/>
  <c r="I21" i="3"/>
  <c r="C22" i="22" s="1"/>
  <c r="J21" i="4"/>
  <c r="J20" i="3"/>
  <c r="D21" i="22" s="1"/>
  <c r="J20" i="5"/>
  <c r="O21" i="13"/>
  <c r="Q18" i="13"/>
  <c r="S18" i="13" s="1"/>
  <c r="A20" i="27"/>
  <c r="D20" i="27" s="1"/>
  <c r="I21" i="13"/>
  <c r="K18" i="13"/>
  <c r="M18" i="13" s="1"/>
  <c r="A19" i="25"/>
  <c r="D19" i="25" s="1"/>
  <c r="B20" i="13"/>
  <c r="D19" i="26"/>
  <c r="A19" i="12"/>
  <c r="L20" i="12"/>
  <c r="A20" i="26"/>
  <c r="E22" i="5"/>
  <c r="F22" i="5" s="1"/>
  <c r="E17" i="13"/>
  <c r="E23" i="4"/>
  <c r="F23" i="4" s="1"/>
  <c r="E22" i="3"/>
  <c r="F22" i="3" s="1"/>
  <c r="P20" i="4" l="1"/>
  <c r="M20" i="4"/>
  <c r="AI22" i="22"/>
  <c r="K20" i="5"/>
  <c r="M20" i="5" s="1"/>
  <c r="AH21" i="22"/>
  <c r="K21" i="4"/>
  <c r="S22" i="22"/>
  <c r="J22" i="4"/>
  <c r="R23" i="22"/>
  <c r="T23" i="22" s="1"/>
  <c r="E22" i="22"/>
  <c r="F21" i="22"/>
  <c r="G21" i="22" s="1"/>
  <c r="H21" i="22" s="1"/>
  <c r="J21" i="3"/>
  <c r="D22" i="22" s="1"/>
  <c r="F22" i="22" s="1"/>
  <c r="N20" i="4"/>
  <c r="O20" i="4" s="1"/>
  <c r="P19" i="5"/>
  <c r="M19" i="5"/>
  <c r="N19" i="5" s="1"/>
  <c r="O19" i="5" s="1"/>
  <c r="L19" i="3"/>
  <c r="M19" i="3"/>
  <c r="P19" i="3"/>
  <c r="I22" i="5"/>
  <c r="AG23" i="22" s="1"/>
  <c r="AI23" i="22" s="1"/>
  <c r="H22" i="5"/>
  <c r="K20" i="3"/>
  <c r="J21" i="5"/>
  <c r="M21" i="4"/>
  <c r="L21" i="4"/>
  <c r="P21" i="4"/>
  <c r="H22" i="3"/>
  <c r="I22" i="3"/>
  <c r="C23" i="22" s="1"/>
  <c r="H23" i="4"/>
  <c r="I23" i="4"/>
  <c r="R24" i="22" s="1"/>
  <c r="Q19" i="13"/>
  <c r="S19" i="13" s="1"/>
  <c r="O22" i="13"/>
  <c r="A21" i="27"/>
  <c r="D21" i="27" s="1"/>
  <c r="I22" i="13"/>
  <c r="K19" i="13"/>
  <c r="M19" i="13" s="1"/>
  <c r="A20" i="25"/>
  <c r="D20" i="25" s="1"/>
  <c r="B21" i="13"/>
  <c r="D20" i="26"/>
  <c r="A20" i="12"/>
  <c r="L21" i="12"/>
  <c r="A21" i="26"/>
  <c r="E23" i="5"/>
  <c r="F23" i="5" s="1"/>
  <c r="E18" i="13"/>
  <c r="E23" i="3"/>
  <c r="F23" i="3" s="1"/>
  <c r="E24" i="4"/>
  <c r="F24" i="4" s="1"/>
  <c r="F24" i="3" l="1"/>
  <c r="P20" i="5"/>
  <c r="K21" i="5"/>
  <c r="M21" i="5" s="1"/>
  <c r="AH22" i="22"/>
  <c r="L20" i="5"/>
  <c r="N20" i="5" s="1"/>
  <c r="O20" i="5" s="1"/>
  <c r="AJ21" i="22"/>
  <c r="AK21" i="22" s="1"/>
  <c r="AL21" i="22" s="1"/>
  <c r="U22" i="22"/>
  <c r="V22" i="22" s="1"/>
  <c r="W22" i="22" s="1"/>
  <c r="K22" i="4"/>
  <c r="S23" i="22"/>
  <c r="U23" i="22" s="1"/>
  <c r="V23" i="22" s="1"/>
  <c r="W23" i="22" s="1"/>
  <c r="T24" i="22"/>
  <c r="K21" i="3"/>
  <c r="M21" i="3" s="1"/>
  <c r="G22" i="22"/>
  <c r="H22" i="22" s="1"/>
  <c r="E23" i="22"/>
  <c r="L21" i="5"/>
  <c r="P21" i="5"/>
  <c r="H23" i="3"/>
  <c r="I23" i="3"/>
  <c r="C24" i="22" s="1"/>
  <c r="J22" i="5"/>
  <c r="N19" i="3"/>
  <c r="O19" i="3" s="1"/>
  <c r="L21" i="3"/>
  <c r="P21" i="3"/>
  <c r="H24" i="4"/>
  <c r="I24" i="4"/>
  <c r="H23" i="5"/>
  <c r="I23" i="5"/>
  <c r="J23" i="4"/>
  <c r="J22" i="3"/>
  <c r="D23" i="22" s="1"/>
  <c r="N21" i="4"/>
  <c r="O21" i="4" s="1"/>
  <c r="M20" i="3"/>
  <c r="L20" i="3"/>
  <c r="P20" i="3"/>
  <c r="Q20" i="13"/>
  <c r="S20" i="13" s="1"/>
  <c r="O23" i="13"/>
  <c r="K20" i="13"/>
  <c r="M20" i="13" s="1"/>
  <c r="A22" i="27"/>
  <c r="D22" i="27" s="1"/>
  <c r="I23" i="13"/>
  <c r="A21" i="25"/>
  <c r="D21" i="25" s="1"/>
  <c r="B22" i="13"/>
  <c r="D21" i="26"/>
  <c r="A21" i="12"/>
  <c r="L22" i="12"/>
  <c r="A22" i="26"/>
  <c r="E24" i="5"/>
  <c r="F24" i="5" s="1"/>
  <c r="E19" i="13"/>
  <c r="E25" i="4"/>
  <c r="F25" i="4" s="1"/>
  <c r="E24" i="3"/>
  <c r="F25" i="3" l="1"/>
  <c r="K22" i="5"/>
  <c r="AH23" i="22"/>
  <c r="AJ23" i="22"/>
  <c r="AK23" i="22" s="1"/>
  <c r="AL23" i="22" s="1"/>
  <c r="AJ22" i="22"/>
  <c r="AK22" i="22" s="1"/>
  <c r="AL22" i="22" s="1"/>
  <c r="J23" i="5"/>
  <c r="AH24" i="22" s="1"/>
  <c r="AG24" i="22"/>
  <c r="M22" i="4"/>
  <c r="P22" i="4"/>
  <c r="L22" i="4"/>
  <c r="K23" i="4"/>
  <c r="M23" i="4" s="1"/>
  <c r="S24" i="22"/>
  <c r="J24" i="4"/>
  <c r="R25" i="22"/>
  <c r="T25" i="22" s="1"/>
  <c r="F23" i="22"/>
  <c r="G23" i="22" s="1"/>
  <c r="H23" i="22" s="1"/>
  <c r="E24" i="22"/>
  <c r="J23" i="3"/>
  <c r="D24" i="22" s="1"/>
  <c r="N20" i="3"/>
  <c r="O20" i="3" s="1"/>
  <c r="N21" i="5"/>
  <c r="O21" i="5" s="1"/>
  <c r="P23" i="4"/>
  <c r="M22" i="5"/>
  <c r="L22" i="5"/>
  <c r="P22" i="5"/>
  <c r="K22" i="3"/>
  <c r="N21" i="3"/>
  <c r="O21" i="3" s="1"/>
  <c r="H24" i="3"/>
  <c r="I24" i="3"/>
  <c r="C25" i="22" s="1"/>
  <c r="E25" i="22" s="1"/>
  <c r="H24" i="5"/>
  <c r="I24" i="5"/>
  <c r="AG25" i="22" s="1"/>
  <c r="I25" i="4"/>
  <c r="R26" i="22" s="1"/>
  <c r="H25" i="4"/>
  <c r="Q21" i="13"/>
  <c r="S21" i="13" s="1"/>
  <c r="K21" i="13"/>
  <c r="M21" i="13" s="1"/>
  <c r="A23" i="27"/>
  <c r="D23" i="27" s="1"/>
  <c r="I24" i="13"/>
  <c r="A22" i="25"/>
  <c r="D22" i="25" s="1"/>
  <c r="B23" i="13"/>
  <c r="D22" i="26"/>
  <c r="A22" i="12"/>
  <c r="L23" i="12"/>
  <c r="E25" i="5"/>
  <c r="F25" i="5" s="1"/>
  <c r="E20" i="13"/>
  <c r="E25" i="3"/>
  <c r="E26" i="4"/>
  <c r="F26" i="4" s="1"/>
  <c r="N22" i="4" l="1"/>
  <c r="O22" i="4" s="1"/>
  <c r="K23" i="5"/>
  <c r="L23" i="5" s="1"/>
  <c r="AI24" i="22"/>
  <c r="AI25" i="22"/>
  <c r="AJ24" i="22"/>
  <c r="L23" i="4"/>
  <c r="T26" i="22"/>
  <c r="K24" i="4"/>
  <c r="S25" i="22"/>
  <c r="U24" i="22"/>
  <c r="V24" i="22" s="1"/>
  <c r="W24" i="22" s="1"/>
  <c r="K23" i="3"/>
  <c r="L23" i="3" s="1"/>
  <c r="F24" i="22"/>
  <c r="G24" i="22" s="1"/>
  <c r="H24" i="22" s="1"/>
  <c r="N23" i="4"/>
  <c r="O23" i="4" s="1"/>
  <c r="M22" i="3"/>
  <c r="L22" i="3"/>
  <c r="P22" i="3"/>
  <c r="I25" i="5"/>
  <c r="AG26" i="22" s="1"/>
  <c r="H25" i="5"/>
  <c r="P23" i="3"/>
  <c r="I26" i="4"/>
  <c r="H26" i="4"/>
  <c r="H25" i="3"/>
  <c r="I25" i="3"/>
  <c r="C26" i="22" s="1"/>
  <c r="E26" i="22" s="1"/>
  <c r="J25" i="4"/>
  <c r="J24" i="5"/>
  <c r="J24" i="3"/>
  <c r="D25" i="22" s="1"/>
  <c r="F25" i="22" s="1"/>
  <c r="G25" i="22" s="1"/>
  <c r="H25" i="22" s="1"/>
  <c r="P23" i="5"/>
  <c r="N22" i="5"/>
  <c r="O22" i="5" s="1"/>
  <c r="Q22" i="13"/>
  <c r="S22" i="13" s="1"/>
  <c r="O24" i="13"/>
  <c r="A24" i="27"/>
  <c r="D24" i="27" s="1"/>
  <c r="I25" i="13"/>
  <c r="K22" i="13"/>
  <c r="M22" i="13" s="1"/>
  <c r="A23" i="25"/>
  <c r="D23" i="25" s="1"/>
  <c r="B24" i="13"/>
  <c r="A23" i="12"/>
  <c r="L24" i="12"/>
  <c r="A24" i="26"/>
  <c r="A23" i="26"/>
  <c r="E26" i="5"/>
  <c r="F26" i="5" s="1"/>
  <c r="E27" i="4"/>
  <c r="F27" i="4" s="1"/>
  <c r="E21" i="13"/>
  <c r="E26" i="3"/>
  <c r="F26" i="3" s="1"/>
  <c r="F27" i="5" l="1"/>
  <c r="M23" i="3"/>
  <c r="M23" i="5"/>
  <c r="N23" i="5" s="1"/>
  <c r="O23" i="5" s="1"/>
  <c r="AI26" i="22"/>
  <c r="AK24" i="22"/>
  <c r="AL24" i="22" s="1"/>
  <c r="K24" i="5"/>
  <c r="L24" i="5" s="1"/>
  <c r="AH25" i="22"/>
  <c r="AJ25" i="22" s="1"/>
  <c r="AK25" i="22" s="1"/>
  <c r="AL25" i="22" s="1"/>
  <c r="P24" i="4"/>
  <c r="L24" i="4"/>
  <c r="M24" i="4"/>
  <c r="U25" i="22"/>
  <c r="V25" i="22" s="1"/>
  <c r="W25" i="22" s="1"/>
  <c r="K25" i="4"/>
  <c r="L25" i="4" s="1"/>
  <c r="S26" i="22"/>
  <c r="J26" i="4"/>
  <c r="S27" i="22" s="1"/>
  <c r="R27" i="22"/>
  <c r="T27" i="22" s="1"/>
  <c r="J25" i="3"/>
  <c r="D26" i="22" s="1"/>
  <c r="F26" i="22" s="1"/>
  <c r="G26" i="22" s="1"/>
  <c r="H26" i="22" s="1"/>
  <c r="H27" i="4"/>
  <c r="I27" i="4"/>
  <c r="M25" i="4"/>
  <c r="P25" i="4"/>
  <c r="H26" i="3"/>
  <c r="I26" i="3"/>
  <c r="C27" i="22" s="1"/>
  <c r="E27" i="22" s="1"/>
  <c r="I26" i="5"/>
  <c r="AG27" i="22" s="1"/>
  <c r="AI27" i="22" s="1"/>
  <c r="H26" i="5"/>
  <c r="K26" i="4"/>
  <c r="J25" i="5"/>
  <c r="N22" i="3"/>
  <c r="O22" i="3" s="1"/>
  <c r="K24" i="3"/>
  <c r="N23" i="3"/>
  <c r="O23" i="3" s="1"/>
  <c r="Q23" i="13"/>
  <c r="S23" i="13" s="1"/>
  <c r="O26" i="13"/>
  <c r="O25" i="13"/>
  <c r="K23" i="13"/>
  <c r="M23" i="13" s="1"/>
  <c r="A25" i="27"/>
  <c r="D25" i="27" s="1"/>
  <c r="I26" i="13"/>
  <c r="A24" i="25"/>
  <c r="D24" i="25" s="1"/>
  <c r="B25" i="13"/>
  <c r="D24" i="26"/>
  <c r="D23" i="26"/>
  <c r="A24" i="12"/>
  <c r="L25" i="12"/>
  <c r="A25" i="26"/>
  <c r="E27" i="5"/>
  <c r="E27" i="3"/>
  <c r="F27" i="3" s="1"/>
  <c r="E28" i="4"/>
  <c r="F28" i="4" s="1"/>
  <c r="E22" i="13"/>
  <c r="M24" i="5" l="1"/>
  <c r="N24" i="5" s="1"/>
  <c r="O24" i="5" s="1"/>
  <c r="K25" i="5"/>
  <c r="L25" i="5" s="1"/>
  <c r="AH26" i="22"/>
  <c r="P24" i="5"/>
  <c r="U27" i="22"/>
  <c r="V27" i="22" s="1"/>
  <c r="W27" i="22" s="1"/>
  <c r="N24" i="4"/>
  <c r="O24" i="4" s="1"/>
  <c r="J27" i="4"/>
  <c r="R28" i="22"/>
  <c r="U26" i="22"/>
  <c r="V26" i="22" s="1"/>
  <c r="W26" i="22" s="1"/>
  <c r="K25" i="3"/>
  <c r="P25" i="3" s="1"/>
  <c r="J26" i="3"/>
  <c r="D27" i="22" s="1"/>
  <c r="N25" i="4"/>
  <c r="O25" i="4" s="1"/>
  <c r="J26" i="5"/>
  <c r="M25" i="5"/>
  <c r="P25" i="5"/>
  <c r="H27" i="3"/>
  <c r="I27" i="3"/>
  <c r="C28" i="22" s="1"/>
  <c r="E28" i="22" s="1"/>
  <c r="H27" i="5"/>
  <c r="I27" i="5"/>
  <c r="AG28" i="22" s="1"/>
  <c r="M24" i="3"/>
  <c r="L24" i="3"/>
  <c r="P24" i="3"/>
  <c r="M26" i="4"/>
  <c r="L26" i="4"/>
  <c r="P26" i="4"/>
  <c r="H28" i="4"/>
  <c r="I28" i="4"/>
  <c r="O27" i="13"/>
  <c r="K24" i="13"/>
  <c r="M24" i="13" s="1"/>
  <c r="A26" i="27"/>
  <c r="D26" i="27" s="1"/>
  <c r="I27" i="13"/>
  <c r="A25" i="25"/>
  <c r="D25" i="25" s="1"/>
  <c r="B26" i="13"/>
  <c r="D25" i="26"/>
  <c r="A25" i="12"/>
  <c r="L26" i="12"/>
  <c r="A26" i="26"/>
  <c r="E28" i="5"/>
  <c r="F28" i="5" s="1"/>
  <c r="E23" i="13"/>
  <c r="E28" i="3"/>
  <c r="F28" i="3" s="1"/>
  <c r="E29" i="4"/>
  <c r="F29" i="4" s="1"/>
  <c r="F30" i="4" l="1"/>
  <c r="L25" i="3"/>
  <c r="K26" i="5"/>
  <c r="AH27" i="22"/>
  <c r="AJ27" i="22" s="1"/>
  <c r="AK27" i="22" s="1"/>
  <c r="AL27" i="22" s="1"/>
  <c r="AI28" i="22"/>
  <c r="AJ26" i="22"/>
  <c r="AK26" i="22" s="1"/>
  <c r="AL26" i="22" s="1"/>
  <c r="K27" i="4"/>
  <c r="S28" i="22"/>
  <c r="J28" i="4"/>
  <c r="S29" i="22" s="1"/>
  <c r="R29" i="22"/>
  <c r="T29" i="22" s="1"/>
  <c r="T28" i="22"/>
  <c r="M25" i="3"/>
  <c r="N25" i="3" s="1"/>
  <c r="O25" i="3" s="1"/>
  <c r="K26" i="3"/>
  <c r="F27" i="22"/>
  <c r="G27" i="22" s="1"/>
  <c r="H27" i="22" s="1"/>
  <c r="J27" i="3"/>
  <c r="D28" i="22" s="1"/>
  <c r="F28" i="22" s="1"/>
  <c r="G28" i="22" s="1"/>
  <c r="H28" i="22" s="1"/>
  <c r="N25" i="5"/>
  <c r="O25" i="5" s="1"/>
  <c r="H28" i="3"/>
  <c r="I28" i="3"/>
  <c r="C29" i="22" s="1"/>
  <c r="I28" i="5"/>
  <c r="H28" i="5"/>
  <c r="N24" i="3"/>
  <c r="O24" i="3" s="1"/>
  <c r="L26" i="3"/>
  <c r="M26" i="3"/>
  <c r="P26" i="3"/>
  <c r="H29" i="4"/>
  <c r="I29" i="4"/>
  <c r="M26" i="5"/>
  <c r="L26" i="5"/>
  <c r="P26" i="5"/>
  <c r="N26" i="4"/>
  <c r="O26" i="4" s="1"/>
  <c r="J27" i="5"/>
  <c r="O28" i="13"/>
  <c r="Q25" i="13"/>
  <c r="S25" i="13" s="1"/>
  <c r="Q24" i="13"/>
  <c r="S24" i="13" s="1"/>
  <c r="A27" i="27"/>
  <c r="D27" i="27" s="1"/>
  <c r="I28" i="13"/>
  <c r="K25" i="13"/>
  <c r="M25" i="13" s="1"/>
  <c r="A26" i="25"/>
  <c r="D26" i="25" s="1"/>
  <c r="B27" i="13"/>
  <c r="D26" i="26"/>
  <c r="A26" i="12"/>
  <c r="L27" i="12"/>
  <c r="A27" i="26"/>
  <c r="E29" i="5"/>
  <c r="F29" i="5" s="1"/>
  <c r="E24" i="13"/>
  <c r="E30" i="4"/>
  <c r="E29" i="3"/>
  <c r="F29" i="3" s="1"/>
  <c r="K27" i="5" l="1"/>
  <c r="P27" i="5" s="1"/>
  <c r="AH28" i="22"/>
  <c r="J28" i="5"/>
  <c r="AH29" i="22" s="1"/>
  <c r="AG29" i="22"/>
  <c r="AI29" i="22" s="1"/>
  <c r="U28" i="22"/>
  <c r="U29" i="22"/>
  <c r="V29" i="22" s="1"/>
  <c r="W29" i="22" s="1"/>
  <c r="P27" i="4"/>
  <c r="M27" i="4"/>
  <c r="L27" i="4"/>
  <c r="J29" i="4"/>
  <c r="S30" i="22" s="1"/>
  <c r="R30" i="22"/>
  <c r="K28" i="4"/>
  <c r="L28" i="4" s="1"/>
  <c r="V28" i="22"/>
  <c r="W28" i="22" s="1"/>
  <c r="K27" i="3"/>
  <c r="L27" i="3" s="1"/>
  <c r="E29" i="22"/>
  <c r="N26" i="3"/>
  <c r="O26" i="3" s="1"/>
  <c r="N26" i="5"/>
  <c r="O26" i="5" s="1"/>
  <c r="L27" i="5"/>
  <c r="H29" i="3"/>
  <c r="I29" i="3"/>
  <c r="C30" i="22" s="1"/>
  <c r="I29" i="5"/>
  <c r="AG30" i="22" s="1"/>
  <c r="H29" i="5"/>
  <c r="M27" i="3"/>
  <c r="P27" i="3"/>
  <c r="H30" i="4"/>
  <c r="I30" i="4"/>
  <c r="K28" i="5"/>
  <c r="J28" i="3"/>
  <c r="D29" i="22" s="1"/>
  <c r="Q26" i="13"/>
  <c r="S26" i="13" s="1"/>
  <c r="O29" i="13"/>
  <c r="K26" i="13"/>
  <c r="M26" i="13" s="1"/>
  <c r="A28" i="27"/>
  <c r="I29" i="13"/>
  <c r="A27" i="25"/>
  <c r="D27" i="25" s="1"/>
  <c r="B28" i="13"/>
  <c r="D27" i="26"/>
  <c r="A27" i="12"/>
  <c r="L28" i="12"/>
  <c r="A28" i="26"/>
  <c r="E30" i="5"/>
  <c r="F30" i="5" s="1"/>
  <c r="E30" i="3"/>
  <c r="F30" i="3" s="1"/>
  <c r="E25" i="13"/>
  <c r="E31" i="4"/>
  <c r="F31" i="4" s="1"/>
  <c r="F32" i="4" l="1"/>
  <c r="M27" i="5"/>
  <c r="AI30" i="22"/>
  <c r="AJ28" i="22"/>
  <c r="AK28" i="22" s="1"/>
  <c r="AL28" i="22" s="1"/>
  <c r="AJ29" i="22"/>
  <c r="AK29" i="22" s="1"/>
  <c r="AL29" i="22" s="1"/>
  <c r="K29" i="4"/>
  <c r="L29" i="4" s="1"/>
  <c r="N27" i="4"/>
  <c r="O27" i="4" s="1"/>
  <c r="T30" i="22"/>
  <c r="U30" i="22"/>
  <c r="J30" i="4"/>
  <c r="S31" i="22" s="1"/>
  <c r="U31" i="22" s="1"/>
  <c r="R31" i="22"/>
  <c r="T31" i="22" s="1"/>
  <c r="P28" i="4"/>
  <c r="M28" i="4"/>
  <c r="N28" i="4" s="1"/>
  <c r="O28" i="4" s="1"/>
  <c r="F29" i="22"/>
  <c r="G29" i="22" s="1"/>
  <c r="H29" i="22" s="1"/>
  <c r="E30" i="22"/>
  <c r="J29" i="3"/>
  <c r="D30" i="22" s="1"/>
  <c r="N27" i="5"/>
  <c r="O27" i="5" s="1"/>
  <c r="K30" i="4"/>
  <c r="P30" i="4" s="1"/>
  <c r="M29" i="4"/>
  <c r="P29" i="4"/>
  <c r="I30" i="5"/>
  <c r="H30" i="5"/>
  <c r="K29" i="3"/>
  <c r="H30" i="3"/>
  <c r="I30" i="3"/>
  <c r="C31" i="22" s="1"/>
  <c r="E31" i="22" s="1"/>
  <c r="K28" i="3"/>
  <c r="I31" i="4"/>
  <c r="R32" i="22" s="1"/>
  <c r="H31" i="4"/>
  <c r="L28" i="5"/>
  <c r="M28" i="5"/>
  <c r="P28" i="5"/>
  <c r="N27" i="3"/>
  <c r="O27" i="3" s="1"/>
  <c r="J29" i="5"/>
  <c r="O30" i="13"/>
  <c r="Q27" i="13"/>
  <c r="S27" i="13" s="1"/>
  <c r="D28" i="27"/>
  <c r="A29" i="27"/>
  <c r="I30" i="13"/>
  <c r="K27" i="13"/>
  <c r="M27" i="13" s="1"/>
  <c r="A28" i="25"/>
  <c r="D28" i="25" s="1"/>
  <c r="B29" i="13"/>
  <c r="D28" i="26"/>
  <c r="A28" i="12"/>
  <c r="L29" i="12"/>
  <c r="A29" i="26"/>
  <c r="E31" i="5"/>
  <c r="F31" i="5" s="1"/>
  <c r="E31" i="3"/>
  <c r="F31" i="3" s="1"/>
  <c r="E32" i="4"/>
  <c r="E26" i="13"/>
  <c r="F33" i="4" l="1"/>
  <c r="V31" i="22"/>
  <c r="W31" i="22" s="1"/>
  <c r="K29" i="5"/>
  <c r="L29" i="5" s="1"/>
  <c r="AH30" i="22"/>
  <c r="J30" i="5"/>
  <c r="AH31" i="22" s="1"/>
  <c r="AG31" i="22"/>
  <c r="AI31" i="22" s="1"/>
  <c r="V30" i="22"/>
  <c r="W30" i="22" s="1"/>
  <c r="T32" i="22"/>
  <c r="F30" i="22"/>
  <c r="G30" i="22" s="1"/>
  <c r="H30" i="22" s="1"/>
  <c r="J30" i="3"/>
  <c r="D31" i="22" s="1"/>
  <c r="L30" i="4"/>
  <c r="M30" i="4"/>
  <c r="J31" i="4"/>
  <c r="I32" i="4"/>
  <c r="R33" i="22" s="1"/>
  <c r="T33" i="22" s="1"/>
  <c r="H32" i="4"/>
  <c r="P29" i="5"/>
  <c r="N29" i="4"/>
  <c r="O29" i="4" s="1"/>
  <c r="I31" i="5"/>
  <c r="H31" i="5"/>
  <c r="H31" i="3"/>
  <c r="I31" i="3"/>
  <c r="C32" i="22" s="1"/>
  <c r="E32" i="22" s="1"/>
  <c r="N28" i="5"/>
  <c r="O28" i="5" s="1"/>
  <c r="L28" i="3"/>
  <c r="M28" i="3"/>
  <c r="P28" i="3"/>
  <c r="K30" i="5"/>
  <c r="L29" i="3"/>
  <c r="M29" i="3"/>
  <c r="P29" i="3"/>
  <c r="O31" i="13"/>
  <c r="Q28" i="13"/>
  <c r="S28" i="13" s="1"/>
  <c r="D29" i="27"/>
  <c r="K28" i="13"/>
  <c r="M28" i="13" s="1"/>
  <c r="A30" i="27"/>
  <c r="D30" i="27" s="1"/>
  <c r="I31" i="13"/>
  <c r="A29" i="25"/>
  <c r="D29" i="25" s="1"/>
  <c r="B30" i="13"/>
  <c r="D29" i="26"/>
  <c r="A29" i="12"/>
  <c r="L30" i="12"/>
  <c r="A30" i="26"/>
  <c r="E32" i="5"/>
  <c r="F32" i="5" s="1"/>
  <c r="E33" i="4"/>
  <c r="E32" i="3"/>
  <c r="F32" i="3" s="1"/>
  <c r="E27" i="13"/>
  <c r="F34" i="4" l="1"/>
  <c r="M29" i="5"/>
  <c r="J31" i="5"/>
  <c r="AG32" i="22"/>
  <c r="AJ31" i="22"/>
  <c r="AK31" i="22" s="1"/>
  <c r="AL31" i="22" s="1"/>
  <c r="AJ30" i="22"/>
  <c r="AK30" i="22" s="1"/>
  <c r="AL30" i="22" s="1"/>
  <c r="K31" i="4"/>
  <c r="S32" i="22"/>
  <c r="K30" i="3"/>
  <c r="P30" i="3" s="1"/>
  <c r="F31" i="22"/>
  <c r="G31" i="22" s="1"/>
  <c r="H31" i="22" s="1"/>
  <c r="J31" i="3"/>
  <c r="D32" i="22" s="1"/>
  <c r="F32" i="22" s="1"/>
  <c r="G32" i="22" s="1"/>
  <c r="H32" i="22" s="1"/>
  <c r="N30" i="4"/>
  <c r="O30" i="4" s="1"/>
  <c r="P31" i="4"/>
  <c r="M31" i="4"/>
  <c r="L31" i="4"/>
  <c r="J32" i="4"/>
  <c r="N29" i="5"/>
  <c r="O29" i="5" s="1"/>
  <c r="H32" i="3"/>
  <c r="I32" i="3"/>
  <c r="C33" i="22" s="1"/>
  <c r="H33" i="4"/>
  <c r="I33" i="4"/>
  <c r="L30" i="5"/>
  <c r="M30" i="5"/>
  <c r="P30" i="5"/>
  <c r="H32" i="5"/>
  <c r="I32" i="5"/>
  <c r="N29" i="3"/>
  <c r="O29" i="3" s="1"/>
  <c r="N28" i="3"/>
  <c r="O28" i="3" s="1"/>
  <c r="O32" i="13"/>
  <c r="Q29" i="13"/>
  <c r="S29" i="13" s="1"/>
  <c r="K29" i="13"/>
  <c r="M29" i="13" s="1"/>
  <c r="A31" i="27"/>
  <c r="D31" i="27" s="1"/>
  <c r="I32" i="13"/>
  <c r="A30" i="25"/>
  <c r="D30" i="25" s="1"/>
  <c r="B31" i="13"/>
  <c r="D30" i="26"/>
  <c r="A30" i="12"/>
  <c r="L31" i="12"/>
  <c r="A31" i="26"/>
  <c r="E33" i="5"/>
  <c r="F33" i="5" s="1"/>
  <c r="E28" i="13"/>
  <c r="E33" i="3"/>
  <c r="F33" i="3" s="1"/>
  <c r="E34" i="4"/>
  <c r="L30" i="3" l="1"/>
  <c r="AI32" i="22"/>
  <c r="J32" i="5"/>
  <c r="AG33" i="22"/>
  <c r="AI33" i="22" s="1"/>
  <c r="K31" i="5"/>
  <c r="AH32" i="22"/>
  <c r="K32" i="4"/>
  <c r="M32" i="4" s="1"/>
  <c r="S33" i="22"/>
  <c r="U33" i="22" s="1"/>
  <c r="V33" i="22" s="1"/>
  <c r="W33" i="22" s="1"/>
  <c r="J33" i="4"/>
  <c r="S34" i="22" s="1"/>
  <c r="R34" i="22"/>
  <c r="U32" i="22"/>
  <c r="V32" i="22" s="1"/>
  <c r="W32" i="22" s="1"/>
  <c r="K31" i="3"/>
  <c r="P31" i="3" s="1"/>
  <c r="M30" i="3"/>
  <c r="E33" i="22"/>
  <c r="J32" i="3"/>
  <c r="D33" i="22" s="1"/>
  <c r="F33" i="22" s="1"/>
  <c r="N30" i="5"/>
  <c r="O30" i="5" s="1"/>
  <c r="N31" i="4"/>
  <c r="O31" i="4" s="1"/>
  <c r="L32" i="4"/>
  <c r="N32" i="4" s="1"/>
  <c r="O32" i="4" s="1"/>
  <c r="P32" i="4"/>
  <c r="H33" i="3"/>
  <c r="I33" i="3"/>
  <c r="C34" i="22" s="1"/>
  <c r="I34" i="4"/>
  <c r="R35" i="22" s="1"/>
  <c r="H34" i="4"/>
  <c r="K32" i="3"/>
  <c r="I33" i="5"/>
  <c r="AG34" i="22" s="1"/>
  <c r="H33" i="5"/>
  <c r="M31" i="3"/>
  <c r="O33" i="13"/>
  <c r="Q30" i="13"/>
  <c r="S30" i="13" s="1"/>
  <c r="K30" i="13"/>
  <c r="M30" i="13" s="1"/>
  <c r="A32" i="27"/>
  <c r="D32" i="27" s="1"/>
  <c r="I33" i="13"/>
  <c r="A31" i="25"/>
  <c r="D31" i="25" s="1"/>
  <c r="B32" i="13"/>
  <c r="D31" i="26"/>
  <c r="A31" i="12"/>
  <c r="L32" i="12"/>
  <c r="A32" i="26"/>
  <c r="E34" i="5"/>
  <c r="F34" i="5" s="1"/>
  <c r="E34" i="3"/>
  <c r="F34" i="3" s="1"/>
  <c r="E35" i="4"/>
  <c r="F35" i="4" s="1"/>
  <c r="E29" i="13"/>
  <c r="F35" i="5" l="1"/>
  <c r="L31" i="3"/>
  <c r="N31" i="3" s="1"/>
  <c r="O31" i="3" s="1"/>
  <c r="K33" i="4"/>
  <c r="P33" i="4" s="1"/>
  <c r="N30" i="3"/>
  <c r="O30" i="3" s="1"/>
  <c r="K32" i="5"/>
  <c r="AH33" i="22"/>
  <c r="AJ33" i="22" s="1"/>
  <c r="AK33" i="22" s="1"/>
  <c r="AL33" i="22" s="1"/>
  <c r="AJ32" i="22"/>
  <c r="AK32" i="22" s="1"/>
  <c r="AL32" i="22" s="1"/>
  <c r="P31" i="5"/>
  <c r="M31" i="5"/>
  <c r="L31" i="5"/>
  <c r="AI34" i="22"/>
  <c r="U34" i="22"/>
  <c r="T34" i="22"/>
  <c r="T35" i="22"/>
  <c r="E34" i="22"/>
  <c r="G33" i="22"/>
  <c r="H33" i="22" s="1"/>
  <c r="J33" i="3"/>
  <c r="D34" i="22" s="1"/>
  <c r="M33" i="4"/>
  <c r="L33" i="4"/>
  <c r="J34" i="4"/>
  <c r="H34" i="5"/>
  <c r="I34" i="5"/>
  <c r="AG35" i="22" s="1"/>
  <c r="AI35" i="22" s="1"/>
  <c r="L32" i="3"/>
  <c r="M32" i="3"/>
  <c r="P32" i="3"/>
  <c r="H35" i="4"/>
  <c r="I35" i="4"/>
  <c r="J33" i="5"/>
  <c r="H34" i="3"/>
  <c r="I34" i="3"/>
  <c r="C35" i="22" s="1"/>
  <c r="E35" i="22" s="1"/>
  <c r="Q31" i="13"/>
  <c r="S31" i="13" s="1"/>
  <c r="A33" i="27"/>
  <c r="I34" i="13"/>
  <c r="K31" i="13"/>
  <c r="M31" i="13" s="1"/>
  <c r="A32" i="25"/>
  <c r="D32" i="25" s="1"/>
  <c r="B33" i="13"/>
  <c r="D32" i="26"/>
  <c r="A32" i="12"/>
  <c r="L33" i="12"/>
  <c r="E35" i="5"/>
  <c r="E30" i="13"/>
  <c r="E35" i="3"/>
  <c r="F35" i="3" s="1"/>
  <c r="E36" i="4"/>
  <c r="F36" i="4" s="1"/>
  <c r="F36" i="5" l="1"/>
  <c r="N31" i="5"/>
  <c r="O31" i="5" s="1"/>
  <c r="K33" i="5"/>
  <c r="L33" i="5" s="1"/>
  <c r="AH34" i="22"/>
  <c r="L32" i="5"/>
  <c r="M32" i="5"/>
  <c r="P32" i="5"/>
  <c r="J35" i="4"/>
  <c r="R36" i="22"/>
  <c r="K34" i="4"/>
  <c r="M34" i="4" s="1"/>
  <c r="S35" i="22"/>
  <c r="U35" i="22" s="1"/>
  <c r="V35" i="22" s="1"/>
  <c r="W35" i="22" s="1"/>
  <c r="V34" i="22"/>
  <c r="W34" i="22" s="1"/>
  <c r="N32" i="3"/>
  <c r="O32" i="3" s="1"/>
  <c r="F34" i="22"/>
  <c r="G34" i="22" s="1"/>
  <c r="H34" i="22" s="1"/>
  <c r="K33" i="3"/>
  <c r="N33" i="4"/>
  <c r="O33" i="4" s="1"/>
  <c r="P34" i="4"/>
  <c r="P33" i="5"/>
  <c r="H36" i="4"/>
  <c r="I36" i="4"/>
  <c r="R37" i="22" s="1"/>
  <c r="L33" i="3"/>
  <c r="M33" i="3"/>
  <c r="P33" i="3"/>
  <c r="H35" i="3"/>
  <c r="I35" i="3"/>
  <c r="C36" i="22" s="1"/>
  <c r="E36" i="22" s="1"/>
  <c r="H35" i="5"/>
  <c r="I35" i="5"/>
  <c r="J34" i="3"/>
  <c r="D35" i="22" s="1"/>
  <c r="F35" i="22" s="1"/>
  <c r="G35" i="22" s="1"/>
  <c r="H35" i="22" s="1"/>
  <c r="J34" i="5"/>
  <c r="O34" i="13"/>
  <c r="Q32" i="13"/>
  <c r="S32" i="13" s="1"/>
  <c r="D33" i="27"/>
  <c r="K32" i="13"/>
  <c r="M32" i="13" s="1"/>
  <c r="A34" i="27"/>
  <c r="D34" i="27" s="1"/>
  <c r="I35" i="13"/>
  <c r="A33" i="25"/>
  <c r="D33" i="25" s="1"/>
  <c r="B34" i="13"/>
  <c r="A33" i="12"/>
  <c r="L34" i="12"/>
  <c r="A33" i="26"/>
  <c r="E36" i="5"/>
  <c r="E31" i="13"/>
  <c r="E37" i="4"/>
  <c r="F37" i="4" s="1"/>
  <c r="E36" i="3"/>
  <c r="F36" i="3" s="1"/>
  <c r="F37" i="5" l="1"/>
  <c r="J35" i="5"/>
  <c r="AH36" i="22" s="1"/>
  <c r="AG36" i="22"/>
  <c r="K34" i="5"/>
  <c r="L34" i="5" s="1"/>
  <c r="AH35" i="22"/>
  <c r="AJ35" i="22" s="1"/>
  <c r="AK35" i="22" s="1"/>
  <c r="AL35" i="22" s="1"/>
  <c r="M33" i="5"/>
  <c r="N32" i="5"/>
  <c r="O32" i="5" s="1"/>
  <c r="AJ34" i="22"/>
  <c r="AK34" i="22" s="1"/>
  <c r="AL34" i="22" s="1"/>
  <c r="L34" i="4"/>
  <c r="N34" i="4" s="1"/>
  <c r="O34" i="4" s="1"/>
  <c r="T37" i="22"/>
  <c r="T36" i="22"/>
  <c r="K35" i="4"/>
  <c r="S36" i="22"/>
  <c r="J36" i="4"/>
  <c r="H36" i="3"/>
  <c r="I36" i="3"/>
  <c r="C37" i="22" s="1"/>
  <c r="I36" i="5"/>
  <c r="H36" i="5"/>
  <c r="N33" i="5"/>
  <c r="O33" i="5" s="1"/>
  <c r="H37" i="4"/>
  <c r="I37" i="4"/>
  <c r="N33" i="3"/>
  <c r="O33" i="3" s="1"/>
  <c r="K34" i="3"/>
  <c r="K35" i="5"/>
  <c r="J35" i="3"/>
  <c r="D36" i="22" s="1"/>
  <c r="F36" i="22" s="1"/>
  <c r="G36" i="22" s="1"/>
  <c r="H36" i="22" s="1"/>
  <c r="O35" i="13"/>
  <c r="Q33" i="13"/>
  <c r="S33" i="13" s="1"/>
  <c r="K33" i="13"/>
  <c r="M33" i="13" s="1"/>
  <c r="A35" i="27"/>
  <c r="I36" i="13"/>
  <c r="A34" i="25"/>
  <c r="D34" i="25" s="1"/>
  <c r="B35" i="13"/>
  <c r="D33" i="26"/>
  <c r="A34" i="12"/>
  <c r="L35" i="12"/>
  <c r="A34" i="26"/>
  <c r="E37" i="5"/>
  <c r="E37" i="3"/>
  <c r="F37" i="3" s="1"/>
  <c r="E38" i="4"/>
  <c r="F38" i="4" s="1"/>
  <c r="E32" i="13"/>
  <c r="M34" i="5" l="1"/>
  <c r="P34" i="5"/>
  <c r="AI36" i="22"/>
  <c r="J36" i="5"/>
  <c r="AH37" i="22" s="1"/>
  <c r="AJ37" i="22" s="1"/>
  <c r="AG37" i="22"/>
  <c r="AI37" i="22" s="1"/>
  <c r="AJ36" i="22"/>
  <c r="K36" i="4"/>
  <c r="M36" i="4" s="1"/>
  <c r="S37" i="22"/>
  <c r="U37" i="22" s="1"/>
  <c r="V37" i="22" s="1"/>
  <c r="W37" i="22" s="1"/>
  <c r="U36" i="22"/>
  <c r="M35" i="4"/>
  <c r="L35" i="4"/>
  <c r="N35" i="4" s="1"/>
  <c r="O35" i="4" s="1"/>
  <c r="P35" i="4"/>
  <c r="J37" i="4"/>
  <c r="S38" i="22" s="1"/>
  <c r="R38" i="22"/>
  <c r="V36" i="22"/>
  <c r="W36" i="22" s="1"/>
  <c r="E37" i="22"/>
  <c r="K35" i="3"/>
  <c r="L35" i="3" s="1"/>
  <c r="N34" i="5"/>
  <c r="O34" i="5" s="1"/>
  <c r="P36" i="4"/>
  <c r="H37" i="3"/>
  <c r="I37" i="3"/>
  <c r="C38" i="22" s="1"/>
  <c r="H38" i="4"/>
  <c r="I38" i="4"/>
  <c r="M34" i="3"/>
  <c r="L34" i="3"/>
  <c r="N34" i="3" s="1"/>
  <c r="O34" i="3" s="1"/>
  <c r="P34" i="3"/>
  <c r="J36" i="3"/>
  <c r="D37" i="22" s="1"/>
  <c r="H37" i="5"/>
  <c r="I37" i="5"/>
  <c r="AG38" i="22" s="1"/>
  <c r="M35" i="5"/>
  <c r="L35" i="5"/>
  <c r="P35" i="5"/>
  <c r="O36" i="13"/>
  <c r="K34" i="13"/>
  <c r="M34" i="13" s="1"/>
  <c r="D35" i="27"/>
  <c r="A36" i="27"/>
  <c r="D36" i="27" s="1"/>
  <c r="I37" i="13"/>
  <c r="A35" i="25"/>
  <c r="D35" i="25" s="1"/>
  <c r="B36" i="13"/>
  <c r="D34" i="26"/>
  <c r="A35" i="12"/>
  <c r="L36" i="12"/>
  <c r="A35" i="26"/>
  <c r="E38" i="5"/>
  <c r="F38" i="5" s="1"/>
  <c r="E38" i="3"/>
  <c r="F38" i="3" s="1"/>
  <c r="E33" i="13"/>
  <c r="E39" i="4"/>
  <c r="F39" i="4" s="1"/>
  <c r="F39" i="5" l="1"/>
  <c r="L36" i="4"/>
  <c r="AI38" i="22"/>
  <c r="AK37" i="22"/>
  <c r="AL37" i="22" s="1"/>
  <c r="K36" i="5"/>
  <c r="P36" i="5" s="1"/>
  <c r="AK36" i="22"/>
  <c r="AL36" i="22" s="1"/>
  <c r="K37" i="4"/>
  <c r="T38" i="22"/>
  <c r="U38" i="22"/>
  <c r="J38" i="4"/>
  <c r="S39" i="22" s="1"/>
  <c r="U39" i="22" s="1"/>
  <c r="R39" i="22"/>
  <c r="P35" i="3"/>
  <c r="F37" i="22"/>
  <c r="G37" i="22" s="1"/>
  <c r="H37" i="22" s="1"/>
  <c r="M35" i="3"/>
  <c r="N35" i="3" s="1"/>
  <c r="O35" i="3" s="1"/>
  <c r="E38" i="22"/>
  <c r="J37" i="3"/>
  <c r="D38" i="22" s="1"/>
  <c r="N36" i="4"/>
  <c r="O36" i="4" s="1"/>
  <c r="K36" i="3"/>
  <c r="J37" i="5"/>
  <c r="H38" i="5"/>
  <c r="I38" i="5"/>
  <c r="AG39" i="22" s="1"/>
  <c r="AI39" i="22" s="1"/>
  <c r="H39" i="4"/>
  <c r="I39" i="4"/>
  <c r="H38" i="3"/>
  <c r="I38" i="3"/>
  <c r="C39" i="22" s="1"/>
  <c r="E39" i="22" s="1"/>
  <c r="N35" i="5"/>
  <c r="O35" i="5" s="1"/>
  <c r="M37" i="4"/>
  <c r="L37" i="4"/>
  <c r="P37" i="4"/>
  <c r="K37" i="3"/>
  <c r="O37" i="13"/>
  <c r="Q34" i="13"/>
  <c r="S34" i="13" s="1"/>
  <c r="K35" i="13"/>
  <c r="M35" i="13" s="1"/>
  <c r="A37" i="27"/>
  <c r="D37" i="27" s="1"/>
  <c r="I38" i="13"/>
  <c r="A36" i="25"/>
  <c r="D36" i="25" s="1"/>
  <c r="B37" i="13"/>
  <c r="D35" i="26"/>
  <c r="A36" i="12"/>
  <c r="L37" i="12"/>
  <c r="A36" i="26"/>
  <c r="E39" i="5"/>
  <c r="E39" i="3"/>
  <c r="F39" i="3" s="1"/>
  <c r="E40" i="4"/>
  <c r="F40" i="4" s="1"/>
  <c r="E34" i="13"/>
  <c r="M36" i="5" l="1"/>
  <c r="L36" i="5"/>
  <c r="K37" i="5"/>
  <c r="P37" i="5" s="1"/>
  <c r="AH38" i="22"/>
  <c r="J38" i="5"/>
  <c r="K38" i="4"/>
  <c r="P38" i="4" s="1"/>
  <c r="V38" i="22"/>
  <c r="W38" i="22" s="1"/>
  <c r="J39" i="4"/>
  <c r="S40" i="22" s="1"/>
  <c r="R40" i="22"/>
  <c r="T40" i="22" s="1"/>
  <c r="T39" i="22"/>
  <c r="V39" i="22" s="1"/>
  <c r="W39" i="22" s="1"/>
  <c r="U40" i="22"/>
  <c r="F38" i="22"/>
  <c r="G38" i="22" s="1"/>
  <c r="H38" i="22" s="1"/>
  <c r="M37" i="5"/>
  <c r="H40" i="4"/>
  <c r="I40" i="4"/>
  <c r="R41" i="22" s="1"/>
  <c r="H39" i="3"/>
  <c r="I39" i="3"/>
  <c r="C40" i="22" s="1"/>
  <c r="N36" i="5"/>
  <c r="O36" i="5" s="1"/>
  <c r="K39" i="4"/>
  <c r="I39" i="5"/>
  <c r="AG40" i="22" s="1"/>
  <c r="AI40" i="22" s="1"/>
  <c r="H39" i="5"/>
  <c r="M38" i="4"/>
  <c r="L38" i="4"/>
  <c r="L36" i="3"/>
  <c r="M36" i="3"/>
  <c r="P36" i="3"/>
  <c r="M37" i="3"/>
  <c r="L37" i="3"/>
  <c r="P37" i="3"/>
  <c r="N37" i="4"/>
  <c r="O37" i="4" s="1"/>
  <c r="J38" i="3"/>
  <c r="D39" i="22" s="1"/>
  <c r="F39" i="22" s="1"/>
  <c r="G39" i="22" s="1"/>
  <c r="H39" i="22" s="1"/>
  <c r="O38" i="13"/>
  <c r="Q35" i="13"/>
  <c r="S35" i="13" s="1"/>
  <c r="K36" i="13"/>
  <c r="M36" i="13" s="1"/>
  <c r="A38" i="27"/>
  <c r="D38" i="27" s="1"/>
  <c r="I39" i="13"/>
  <c r="A37" i="25"/>
  <c r="D37" i="25" s="1"/>
  <c r="B38" i="13"/>
  <c r="D36" i="26"/>
  <c r="A37" i="12"/>
  <c r="L38" i="12"/>
  <c r="A37" i="26"/>
  <c r="E40" i="5"/>
  <c r="F40" i="5" s="1"/>
  <c r="E35" i="13"/>
  <c r="E40" i="3"/>
  <c r="F40" i="3" s="1"/>
  <c r="E41" i="4"/>
  <c r="F41" i="4" s="1"/>
  <c r="L37" i="5" l="1"/>
  <c r="V40" i="22"/>
  <c r="W40" i="22" s="1"/>
  <c r="X10" i="22" s="1"/>
  <c r="AJ38" i="22"/>
  <c r="AK38" i="22" s="1"/>
  <c r="AL38" i="22" s="1"/>
  <c r="K38" i="5"/>
  <c r="AH39" i="22"/>
  <c r="AJ39" i="22" s="1"/>
  <c r="AK39" i="22" s="1"/>
  <c r="AL39" i="22" s="1"/>
  <c r="X39" i="22"/>
  <c r="X6" i="22"/>
  <c r="X8" i="22"/>
  <c r="X9" i="22"/>
  <c r="X14" i="22"/>
  <c r="X16" i="22"/>
  <c r="X15" i="22"/>
  <c r="X17" i="22"/>
  <c r="X19" i="22"/>
  <c r="X22" i="22"/>
  <c r="X26" i="22"/>
  <c r="X25" i="22"/>
  <c r="X27" i="22"/>
  <c r="T41" i="22"/>
  <c r="X36" i="22"/>
  <c r="X32" i="22"/>
  <c r="X31" i="22"/>
  <c r="X29" i="22"/>
  <c r="E40" i="22"/>
  <c r="N36" i="3"/>
  <c r="O36" i="3" s="1"/>
  <c r="J39" i="5"/>
  <c r="N38" i="4"/>
  <c r="O38" i="4" s="1"/>
  <c r="J40" i="4"/>
  <c r="N37" i="5"/>
  <c r="O37" i="5" s="1"/>
  <c r="H40" i="3"/>
  <c r="I40" i="3"/>
  <c r="C41" i="22" s="1"/>
  <c r="E41" i="22" s="1"/>
  <c r="N37" i="3"/>
  <c r="O37" i="3" s="1"/>
  <c r="M39" i="4"/>
  <c r="L39" i="4"/>
  <c r="P39" i="4"/>
  <c r="K38" i="3"/>
  <c r="H40" i="5"/>
  <c r="I40" i="5"/>
  <c r="AG41" i="22" s="1"/>
  <c r="H41" i="4"/>
  <c r="I41" i="4"/>
  <c r="R42" i="22" s="1"/>
  <c r="T42" i="22" s="1"/>
  <c r="J39" i="3"/>
  <c r="D40" i="22" s="1"/>
  <c r="F40" i="22" s="1"/>
  <c r="Q36" i="13"/>
  <c r="S36" i="13" s="1"/>
  <c r="O39" i="13"/>
  <c r="O40" i="13"/>
  <c r="K37" i="13"/>
  <c r="M37" i="13" s="1"/>
  <c r="A39" i="27"/>
  <c r="I40" i="13"/>
  <c r="A38" i="25"/>
  <c r="D38" i="25" s="1"/>
  <c r="B39" i="13"/>
  <c r="D37" i="26"/>
  <c r="A38" i="26"/>
  <c r="A38" i="12"/>
  <c r="L39" i="12"/>
  <c r="A39" i="26"/>
  <c r="E41" i="5"/>
  <c r="F41" i="5" s="1"/>
  <c r="E36" i="13"/>
  <c r="E41" i="3"/>
  <c r="F41" i="3" s="1"/>
  <c r="E42" i="4"/>
  <c r="F42" i="4" s="1"/>
  <c r="X33" i="22" l="1"/>
  <c r="X35" i="22"/>
  <c r="X38" i="22"/>
  <c r="X28" i="22"/>
  <c r="X23" i="22"/>
  <c r="X20" i="22"/>
  <c r="X13" i="22"/>
  <c r="X12" i="22"/>
  <c r="X7" i="22"/>
  <c r="X34" i="22"/>
  <c r="X37" i="22"/>
  <c r="X30" i="22"/>
  <c r="X21" i="22"/>
  <c r="X24" i="22"/>
  <c r="X18" i="22"/>
  <c r="X11" i="22"/>
  <c r="J40" i="5"/>
  <c r="AH41" i="22" s="1"/>
  <c r="K39" i="5"/>
  <c r="AH40" i="22"/>
  <c r="AI41" i="22"/>
  <c r="P38" i="5"/>
  <c r="M38" i="5"/>
  <c r="L38" i="5"/>
  <c r="J41" i="4"/>
  <c r="S42" i="22" s="1"/>
  <c r="K40" i="4"/>
  <c r="L40" i="4" s="1"/>
  <c r="S41" i="22"/>
  <c r="J40" i="3"/>
  <c r="D41" i="22" s="1"/>
  <c r="F41" i="22" s="1"/>
  <c r="G41" i="22" s="1"/>
  <c r="G40" i="22"/>
  <c r="H40" i="22" s="1"/>
  <c r="P39" i="5"/>
  <c r="M39" i="5"/>
  <c r="L39" i="5"/>
  <c r="K41" i="4"/>
  <c r="P41" i="4" s="1"/>
  <c r="H41" i="3"/>
  <c r="I41" i="3"/>
  <c r="C42" i="22" s="1"/>
  <c r="E42" i="22" s="1"/>
  <c r="K39" i="3"/>
  <c r="L38" i="3"/>
  <c r="M38" i="3"/>
  <c r="P38" i="3"/>
  <c r="I41" i="5"/>
  <c r="AG42" i="22" s="1"/>
  <c r="H41" i="5"/>
  <c r="K40" i="5"/>
  <c r="K40" i="3"/>
  <c r="H42" i="4"/>
  <c r="I42" i="4"/>
  <c r="R43" i="22" s="1"/>
  <c r="T43" i="22" s="1"/>
  <c r="N39" i="4"/>
  <c r="O39" i="4" s="1"/>
  <c r="Q37" i="13"/>
  <c r="S37" i="13" s="1"/>
  <c r="D39" i="27"/>
  <c r="K38" i="13"/>
  <c r="M38" i="13" s="1"/>
  <c r="A40" i="27"/>
  <c r="I41" i="13"/>
  <c r="A39" i="25"/>
  <c r="D39" i="25" s="1"/>
  <c r="B40" i="13"/>
  <c r="D39" i="26"/>
  <c r="D38" i="26"/>
  <c r="A39" i="12"/>
  <c r="L40" i="12"/>
  <c r="E42" i="5"/>
  <c r="F42" i="5" s="1"/>
  <c r="E37" i="13"/>
  <c r="E43" i="4"/>
  <c r="F43" i="4" s="1"/>
  <c r="E42" i="3"/>
  <c r="F42" i="3" s="1"/>
  <c r="M40" i="4" l="1"/>
  <c r="J41" i="5"/>
  <c r="AH42" i="22" s="1"/>
  <c r="AJ42" i="22" s="1"/>
  <c r="AJ40" i="22"/>
  <c r="AK40" i="22" s="1"/>
  <c r="AL40" i="22" s="1"/>
  <c r="AJ41" i="22"/>
  <c r="AK41" i="22"/>
  <c r="N39" i="5"/>
  <c r="O39" i="5" s="1"/>
  <c r="N38" i="5"/>
  <c r="O38" i="5" s="1"/>
  <c r="AI42" i="22"/>
  <c r="J42" i="4"/>
  <c r="S43" i="22" s="1"/>
  <c r="U43" i="22" s="1"/>
  <c r="V43" i="22" s="1"/>
  <c r="P40" i="4"/>
  <c r="U42" i="22"/>
  <c r="V42" i="22" s="1"/>
  <c r="U41" i="22"/>
  <c r="V41" i="22" s="1"/>
  <c r="J41" i="3"/>
  <c r="D42" i="22" s="1"/>
  <c r="F42" i="22" s="1"/>
  <c r="G42" i="22" s="1"/>
  <c r="I39" i="22"/>
  <c r="I6" i="22"/>
  <c r="I7" i="22"/>
  <c r="I8" i="22"/>
  <c r="I10" i="22"/>
  <c r="I11" i="22"/>
  <c r="I9" i="22"/>
  <c r="I14" i="22"/>
  <c r="I12" i="22"/>
  <c r="I16" i="22"/>
  <c r="I13" i="22"/>
  <c r="I15" i="22"/>
  <c r="I19" i="22"/>
  <c r="I18" i="22"/>
  <c r="I17" i="22"/>
  <c r="I20" i="22"/>
  <c r="I21" i="22"/>
  <c r="I22" i="22"/>
  <c r="I24" i="22"/>
  <c r="I23" i="22"/>
  <c r="I27" i="22"/>
  <c r="I25" i="22"/>
  <c r="I26" i="22"/>
  <c r="I28" i="22"/>
  <c r="I29" i="22"/>
  <c r="I31" i="22"/>
  <c r="I30" i="22"/>
  <c r="I37" i="22"/>
  <c r="I34" i="22"/>
  <c r="I38" i="22"/>
  <c r="I35" i="22"/>
  <c r="I32" i="22"/>
  <c r="I36" i="22"/>
  <c r="I33" i="22"/>
  <c r="M41" i="4"/>
  <c r="N40" i="4"/>
  <c r="O40" i="4" s="1"/>
  <c r="L41" i="4"/>
  <c r="K42" i="4"/>
  <c r="L42" i="4" s="1"/>
  <c r="L39" i="3"/>
  <c r="M39" i="3"/>
  <c r="P39" i="3"/>
  <c r="H43" i="4"/>
  <c r="I43" i="4"/>
  <c r="R44" i="22" s="1"/>
  <c r="M40" i="5"/>
  <c r="L40" i="5"/>
  <c r="P40" i="5"/>
  <c r="H42" i="3"/>
  <c r="I42" i="3"/>
  <c r="C43" i="22" s="1"/>
  <c r="E43" i="22" s="1"/>
  <c r="J42" i="3"/>
  <c r="D43" i="22" s="1"/>
  <c r="I42" i="5"/>
  <c r="AG43" i="22" s="1"/>
  <c r="H42" i="5"/>
  <c r="M40" i="3"/>
  <c r="L40" i="3"/>
  <c r="P40" i="3"/>
  <c r="K41" i="5"/>
  <c r="N38" i="3"/>
  <c r="O38" i="3" s="1"/>
  <c r="K41" i="3"/>
  <c r="Q39" i="13"/>
  <c r="S39" i="13" s="1"/>
  <c r="O42" i="13"/>
  <c r="O41" i="13"/>
  <c r="Q38" i="13"/>
  <c r="S38" i="13" s="1"/>
  <c r="K39" i="13"/>
  <c r="M39" i="13" s="1"/>
  <c r="D40" i="27"/>
  <c r="A41" i="27"/>
  <c r="I42" i="13"/>
  <c r="A40" i="25"/>
  <c r="B41" i="13"/>
  <c r="A40" i="12"/>
  <c r="L41" i="12"/>
  <c r="A40" i="26"/>
  <c r="A41" i="26"/>
  <c r="E43" i="5"/>
  <c r="F43" i="5" s="1"/>
  <c r="E44" i="4"/>
  <c r="F44" i="4" s="1"/>
  <c r="E43" i="3"/>
  <c r="F43" i="3" s="1"/>
  <c r="E38" i="13"/>
  <c r="J42" i="5" l="1"/>
  <c r="AH43" i="22" s="1"/>
  <c r="AK42" i="22"/>
  <c r="AM39" i="22"/>
  <c r="AM8" i="22"/>
  <c r="AM6" i="22"/>
  <c r="AM11" i="22"/>
  <c r="AM10" i="22"/>
  <c r="AM7" i="22"/>
  <c r="AM9" i="22"/>
  <c r="AM12" i="22"/>
  <c r="AM14" i="22"/>
  <c r="AM16" i="22"/>
  <c r="AM18" i="22"/>
  <c r="AM13" i="22"/>
  <c r="AM15" i="22"/>
  <c r="AM17" i="22"/>
  <c r="AM19" i="22"/>
  <c r="AM20" i="22"/>
  <c r="AM22" i="22"/>
  <c r="AM21" i="22"/>
  <c r="AM24" i="22"/>
  <c r="AM23" i="22"/>
  <c r="AM26" i="22"/>
  <c r="AM25" i="22"/>
  <c r="AM28" i="22"/>
  <c r="AM27" i="22"/>
  <c r="AM30" i="22"/>
  <c r="AM34" i="22"/>
  <c r="AM31" i="22"/>
  <c r="AM38" i="22"/>
  <c r="AM35" i="22"/>
  <c r="AM33" i="22"/>
  <c r="AM29" i="22"/>
  <c r="AM36" i="22"/>
  <c r="AM37" i="22"/>
  <c r="AM32" i="22"/>
  <c r="AJ43" i="22"/>
  <c r="AI43" i="22"/>
  <c r="J43" i="4"/>
  <c r="S44" i="22" s="1"/>
  <c r="U44" i="22" s="1"/>
  <c r="T44" i="22"/>
  <c r="N39" i="3"/>
  <c r="O39" i="3" s="1"/>
  <c r="F43" i="22"/>
  <c r="G43" i="22" s="1"/>
  <c r="N41" i="4"/>
  <c r="O41" i="4" s="1"/>
  <c r="K42" i="5"/>
  <c r="L42" i="5" s="1"/>
  <c r="M42" i="4"/>
  <c r="N42" i="4" s="1"/>
  <c r="O42" i="4" s="1"/>
  <c r="P42" i="4"/>
  <c r="K43" i="4"/>
  <c r="M43" i="4" s="1"/>
  <c r="I43" i="5"/>
  <c r="AG44" i="22" s="1"/>
  <c r="AI44" i="22" s="1"/>
  <c r="H43" i="5"/>
  <c r="L41" i="5"/>
  <c r="M41" i="5"/>
  <c r="P41" i="5"/>
  <c r="H43" i="3"/>
  <c r="I43" i="3"/>
  <c r="C44" i="22" s="1"/>
  <c r="E44" i="22" s="1"/>
  <c r="M41" i="3"/>
  <c r="L41" i="3"/>
  <c r="P41" i="3"/>
  <c r="H44" i="4"/>
  <c r="I44" i="4"/>
  <c r="R45" i="22" s="1"/>
  <c r="N40" i="3"/>
  <c r="O40" i="3" s="1"/>
  <c r="K42" i="3"/>
  <c r="N40" i="5"/>
  <c r="O40" i="5" s="1"/>
  <c r="Q40" i="13"/>
  <c r="S40" i="13" s="1"/>
  <c r="D41" i="27"/>
  <c r="K40" i="13"/>
  <c r="M40" i="13" s="1"/>
  <c r="A42" i="27"/>
  <c r="D42" i="27" s="1"/>
  <c r="I43" i="13"/>
  <c r="A41" i="25"/>
  <c r="B42" i="13"/>
  <c r="D40" i="25"/>
  <c r="D40" i="26"/>
  <c r="C40" i="26"/>
  <c r="C39" i="26" s="1"/>
  <c r="C38" i="26" s="1"/>
  <c r="C37" i="26" s="1"/>
  <c r="C36" i="26" s="1"/>
  <c r="C35" i="26" s="1"/>
  <c r="C34" i="26" s="1"/>
  <c r="C33" i="26" s="1"/>
  <c r="C32" i="26" s="1"/>
  <c r="C31" i="26" s="1"/>
  <c r="C30" i="26" s="1"/>
  <c r="C29" i="26" s="1"/>
  <c r="C28" i="26" s="1"/>
  <c r="C27" i="26" s="1"/>
  <c r="C26" i="26" s="1"/>
  <c r="C25" i="26" s="1"/>
  <c r="C24" i="26" s="1"/>
  <c r="C23" i="26" s="1"/>
  <c r="C22" i="26" s="1"/>
  <c r="C21" i="26" s="1"/>
  <c r="C20" i="26" s="1"/>
  <c r="C19" i="26" s="1"/>
  <c r="C18" i="26" s="1"/>
  <c r="C17" i="26" s="1"/>
  <c r="C16" i="26" s="1"/>
  <c r="C15" i="26" s="1"/>
  <c r="C14" i="26" s="1"/>
  <c r="C13" i="26" s="1"/>
  <c r="C12" i="26" s="1"/>
  <c r="C11" i="26" s="1"/>
  <c r="C10" i="26" s="1"/>
  <c r="C9" i="26" s="1"/>
  <c r="C8" i="26" s="1"/>
  <c r="C7" i="26" s="1"/>
  <c r="C6" i="26" s="1"/>
  <c r="C5" i="26" s="1"/>
  <c r="C4" i="26" s="1"/>
  <c r="C3" i="26" s="1"/>
  <c r="D41" i="26"/>
  <c r="C41" i="26"/>
  <c r="A41" i="12"/>
  <c r="L42" i="12"/>
  <c r="E44" i="5"/>
  <c r="F44" i="5" s="1"/>
  <c r="E39" i="13"/>
  <c r="E44" i="3"/>
  <c r="F44" i="3" s="1"/>
  <c r="E45" i="4"/>
  <c r="F45" i="4" s="1"/>
  <c r="J43" i="5" l="1"/>
  <c r="AH44" i="22" s="1"/>
  <c r="AK43" i="22"/>
  <c r="AJ44" i="22"/>
  <c r="AK44" i="22" s="1"/>
  <c r="M42" i="5"/>
  <c r="N42" i="5" s="1"/>
  <c r="O42" i="5" s="1"/>
  <c r="J44" i="4"/>
  <c r="S45" i="22" s="1"/>
  <c r="U45" i="22" s="1"/>
  <c r="P43" i="4"/>
  <c r="V44" i="22"/>
  <c r="T45" i="22"/>
  <c r="V45" i="22" s="1"/>
  <c r="J43" i="3"/>
  <c r="D44" i="22" s="1"/>
  <c r="F44" i="22" s="1"/>
  <c r="G44" i="22" s="1"/>
  <c r="P42" i="5"/>
  <c r="L43" i="4"/>
  <c r="N43" i="4" s="1"/>
  <c r="O43" i="4" s="1"/>
  <c r="H44" i="5"/>
  <c r="I44" i="5"/>
  <c r="AG45" i="22" s="1"/>
  <c r="AI45" i="22" s="1"/>
  <c r="H44" i="3"/>
  <c r="I44" i="3"/>
  <c r="C45" i="22" s="1"/>
  <c r="E45" i="22" s="1"/>
  <c r="K44" i="4"/>
  <c r="N41" i="3"/>
  <c r="O41" i="3" s="1"/>
  <c r="K43" i="3"/>
  <c r="K43" i="5"/>
  <c r="H45" i="4"/>
  <c r="J45" i="4"/>
  <c r="S46" i="22" s="1"/>
  <c r="I45" i="4"/>
  <c r="R46" i="22" s="1"/>
  <c r="T46" i="22" s="1"/>
  <c r="M42" i="3"/>
  <c r="L42" i="3"/>
  <c r="P42" i="3"/>
  <c r="N41" i="5"/>
  <c r="O41" i="5" s="1"/>
  <c r="O43" i="13"/>
  <c r="A43" i="27"/>
  <c r="D43" i="27" s="1"/>
  <c r="I44" i="13"/>
  <c r="K41" i="13"/>
  <c r="M41" i="13" s="1"/>
  <c r="A42" i="25"/>
  <c r="D42" i="25" s="1"/>
  <c r="B43" i="13"/>
  <c r="D41" i="25"/>
  <c r="A42" i="12"/>
  <c r="L43" i="12"/>
  <c r="A42" i="26"/>
  <c r="E45" i="5"/>
  <c r="F45" i="5" s="1"/>
  <c r="E46" i="4"/>
  <c r="F46" i="4" s="1"/>
  <c r="E40" i="13"/>
  <c r="E45" i="3"/>
  <c r="F45" i="3" s="1"/>
  <c r="J44" i="5" l="1"/>
  <c r="AH45" i="22" s="1"/>
  <c r="AJ45" i="22" s="1"/>
  <c r="AK45" i="22" s="1"/>
  <c r="U46" i="22"/>
  <c r="V46" i="22" s="1"/>
  <c r="J44" i="3"/>
  <c r="D45" i="22" s="1"/>
  <c r="F45" i="22" s="1"/>
  <c r="G45" i="22" s="1"/>
  <c r="K45" i="4"/>
  <c r="L45" i="4" s="1"/>
  <c r="K44" i="5"/>
  <c r="L44" i="5" s="1"/>
  <c r="L43" i="5"/>
  <c r="M43" i="5"/>
  <c r="P43" i="5"/>
  <c r="K44" i="3"/>
  <c r="I45" i="5"/>
  <c r="AG46" i="22" s="1"/>
  <c r="J45" i="5"/>
  <c r="AH46" i="22" s="1"/>
  <c r="AJ46" i="22" s="1"/>
  <c r="H45" i="5"/>
  <c r="L43" i="3"/>
  <c r="M43" i="3"/>
  <c r="P43" i="3"/>
  <c r="J45" i="3"/>
  <c r="D46" i="22" s="1"/>
  <c r="H45" i="3"/>
  <c r="I45" i="3"/>
  <c r="C46" i="22" s="1"/>
  <c r="E46" i="22" s="1"/>
  <c r="H46" i="4"/>
  <c r="I46" i="4"/>
  <c r="R47" i="22" s="1"/>
  <c r="N42" i="3"/>
  <c r="O42" i="3" s="1"/>
  <c r="L44" i="4"/>
  <c r="M44" i="4"/>
  <c r="P44" i="4"/>
  <c r="Q41" i="13"/>
  <c r="S41" i="13" s="1"/>
  <c r="Q42" i="13"/>
  <c r="S42" i="13" s="1"/>
  <c r="O44" i="13"/>
  <c r="K42" i="13"/>
  <c r="M42" i="13" s="1"/>
  <c r="A44" i="27"/>
  <c r="D44" i="27" s="1"/>
  <c r="I45" i="13"/>
  <c r="A43" i="25"/>
  <c r="D43" i="25" s="1"/>
  <c r="B44" i="13"/>
  <c r="D42" i="26"/>
  <c r="C42" i="26"/>
  <c r="A43" i="12"/>
  <c r="L44" i="12"/>
  <c r="A43" i="26"/>
  <c r="E46" i="5"/>
  <c r="F46" i="5" s="1"/>
  <c r="E47" i="4"/>
  <c r="F47" i="4" s="1"/>
  <c r="E46" i="3"/>
  <c r="F46" i="3" s="1"/>
  <c r="E41" i="13"/>
  <c r="M44" i="5" l="1"/>
  <c r="AI46" i="22"/>
  <c r="AK46" i="22" s="1"/>
  <c r="J46" i="4"/>
  <c r="S47" i="22" s="1"/>
  <c r="U47" i="22" s="1"/>
  <c r="M45" i="4"/>
  <c r="N45" i="4" s="1"/>
  <c r="O45" i="4" s="1"/>
  <c r="T47" i="22"/>
  <c r="F46" i="22"/>
  <c r="G46" i="22" s="1"/>
  <c r="N43" i="3"/>
  <c r="O43" i="3" s="1"/>
  <c r="P44" i="5"/>
  <c r="N43" i="5"/>
  <c r="O43" i="5" s="1"/>
  <c r="K45" i="5"/>
  <c r="L45" i="5" s="1"/>
  <c r="P45" i="4"/>
  <c r="N44" i="4"/>
  <c r="O44" i="4" s="1"/>
  <c r="N44" i="5"/>
  <c r="O44" i="5" s="1"/>
  <c r="H46" i="5"/>
  <c r="I46" i="5"/>
  <c r="AG47" i="22" s="1"/>
  <c r="K45" i="3"/>
  <c r="K46" i="4"/>
  <c r="H46" i="3"/>
  <c r="I46" i="3"/>
  <c r="C47" i="22" s="1"/>
  <c r="E47" i="22" s="1"/>
  <c r="H47" i="4"/>
  <c r="I47" i="4"/>
  <c r="R48" i="22" s="1"/>
  <c r="M44" i="3"/>
  <c r="L44" i="3"/>
  <c r="P44" i="3"/>
  <c r="O45" i="13"/>
  <c r="A45" i="27"/>
  <c r="D45" i="27" s="1"/>
  <c r="I46" i="13"/>
  <c r="K43" i="13"/>
  <c r="M43" i="13" s="1"/>
  <c r="A44" i="25"/>
  <c r="B45" i="13"/>
  <c r="D43" i="26"/>
  <c r="C43" i="26"/>
  <c r="A44" i="12"/>
  <c r="L45" i="12"/>
  <c r="A44" i="26"/>
  <c r="E47" i="5"/>
  <c r="F47" i="5" s="1"/>
  <c r="E47" i="3"/>
  <c r="F47" i="3" s="1"/>
  <c r="E48" i="4"/>
  <c r="F48" i="4" s="1"/>
  <c r="E42" i="13"/>
  <c r="J46" i="5" l="1"/>
  <c r="AH47" i="22" s="1"/>
  <c r="AJ47" i="22" s="1"/>
  <c r="AI47" i="22"/>
  <c r="V47" i="22"/>
  <c r="J47" i="4"/>
  <c r="S48" i="22" s="1"/>
  <c r="U48" i="22" s="1"/>
  <c r="T48" i="22"/>
  <c r="J46" i="3"/>
  <c r="D47" i="22" s="1"/>
  <c r="F47" i="22" s="1"/>
  <c r="G47" i="22" s="1"/>
  <c r="N44" i="3"/>
  <c r="O44" i="3" s="1"/>
  <c r="M45" i="5"/>
  <c r="N45" i="5" s="1"/>
  <c r="O45" i="5" s="1"/>
  <c r="P45" i="5"/>
  <c r="K46" i="5"/>
  <c r="M46" i="5" s="1"/>
  <c r="K47" i="4"/>
  <c r="P47" i="4" s="1"/>
  <c r="H48" i="4"/>
  <c r="I48" i="4"/>
  <c r="R49" i="22" s="1"/>
  <c r="L47" i="4"/>
  <c r="K46" i="3"/>
  <c r="I47" i="3"/>
  <c r="C48" i="22" s="1"/>
  <c r="E48" i="22" s="1"/>
  <c r="H47" i="3"/>
  <c r="I47" i="5"/>
  <c r="AG48" i="22" s="1"/>
  <c r="AI48" i="22" s="1"/>
  <c r="J47" i="5"/>
  <c r="AH48" i="22" s="1"/>
  <c r="H47" i="5"/>
  <c r="L46" i="4"/>
  <c r="M46" i="4"/>
  <c r="P46" i="4"/>
  <c r="L45" i="3"/>
  <c r="M45" i="3"/>
  <c r="P45" i="3"/>
  <c r="Q43" i="13"/>
  <c r="S43" i="13" s="1"/>
  <c r="O46" i="13"/>
  <c r="A46" i="27"/>
  <c r="D46" i="27" s="1"/>
  <c r="I47" i="13"/>
  <c r="K44" i="13"/>
  <c r="M44" i="13" s="1"/>
  <c r="A45" i="25"/>
  <c r="B46" i="13"/>
  <c r="D44" i="25"/>
  <c r="D44" i="26"/>
  <c r="C44" i="26"/>
  <c r="A45" i="12"/>
  <c r="L46" i="12"/>
  <c r="A45" i="26"/>
  <c r="E48" i="5"/>
  <c r="F48" i="5" s="1"/>
  <c r="E48" i="3"/>
  <c r="F48" i="3" s="1"/>
  <c r="E43" i="13"/>
  <c r="E49" i="4"/>
  <c r="F49" i="4" s="1"/>
  <c r="M47" i="4" l="1"/>
  <c r="AK47" i="22"/>
  <c r="AJ48" i="22"/>
  <c r="AK48" i="22" s="1"/>
  <c r="J48" i="4"/>
  <c r="S49" i="22" s="1"/>
  <c r="U49" i="22" s="1"/>
  <c r="V48" i="22"/>
  <c r="T49" i="22"/>
  <c r="J47" i="3"/>
  <c r="D48" i="22" s="1"/>
  <c r="F48" i="22"/>
  <c r="G48" i="22" s="1"/>
  <c r="P46" i="5"/>
  <c r="L46" i="5"/>
  <c r="N46" i="4"/>
  <c r="O46" i="4" s="1"/>
  <c r="H48" i="3"/>
  <c r="I48" i="3"/>
  <c r="C49" i="22" s="1"/>
  <c r="E49" i="22" s="1"/>
  <c r="I49" i="4"/>
  <c r="R50" i="22" s="1"/>
  <c r="T50" i="22" s="1"/>
  <c r="J49" i="4"/>
  <c r="S50" i="22" s="1"/>
  <c r="H49" i="4"/>
  <c r="H48" i="5"/>
  <c r="I48" i="5"/>
  <c r="AG49" i="22" s="1"/>
  <c r="AI49" i="22" s="1"/>
  <c r="K47" i="5"/>
  <c r="K47" i="3"/>
  <c r="M46" i="3"/>
  <c r="L46" i="3"/>
  <c r="N46" i="3" s="1"/>
  <c r="O46" i="3" s="1"/>
  <c r="P46" i="3"/>
  <c r="N46" i="5"/>
  <c r="O46" i="5" s="1"/>
  <c r="N47" i="4"/>
  <c r="O47" i="4" s="1"/>
  <c r="N45" i="3"/>
  <c r="O45" i="3" s="1"/>
  <c r="K48" i="4"/>
  <c r="Q44" i="13"/>
  <c r="S44" i="13" s="1"/>
  <c r="O47" i="13"/>
  <c r="K45" i="13"/>
  <c r="M45" i="13" s="1"/>
  <c r="A47" i="27"/>
  <c r="I48" i="13"/>
  <c r="D45" i="25"/>
  <c r="A46" i="25"/>
  <c r="D46" i="25" s="1"/>
  <c r="B47" i="13"/>
  <c r="D45" i="26"/>
  <c r="C45" i="26"/>
  <c r="A46" i="12"/>
  <c r="L47" i="12"/>
  <c r="A46" i="26"/>
  <c r="E49" i="5"/>
  <c r="F49" i="5" s="1"/>
  <c r="E44" i="13"/>
  <c r="E50" i="4"/>
  <c r="F50" i="4" s="1"/>
  <c r="E49" i="3"/>
  <c r="F49" i="3" s="1"/>
  <c r="V49" i="22" l="1"/>
  <c r="J48" i="5"/>
  <c r="AH49" i="22" s="1"/>
  <c r="AJ49" i="22" s="1"/>
  <c r="AK49" i="22"/>
  <c r="U50" i="22"/>
  <c r="V50" i="22" s="1"/>
  <c r="J48" i="3"/>
  <c r="D49" i="22" s="1"/>
  <c r="F49" i="22" s="1"/>
  <c r="G49" i="22" s="1"/>
  <c r="M47" i="3"/>
  <c r="L47" i="3"/>
  <c r="P47" i="3"/>
  <c r="K49" i="4"/>
  <c r="I49" i="3"/>
  <c r="C50" i="22" s="1"/>
  <c r="E50" i="22" s="1"/>
  <c r="H49" i="3"/>
  <c r="M48" i="4"/>
  <c r="L48" i="4"/>
  <c r="P48" i="4"/>
  <c r="L47" i="5"/>
  <c r="M47" i="5"/>
  <c r="P47" i="5"/>
  <c r="K48" i="5"/>
  <c r="I49" i="5"/>
  <c r="AG50" i="22" s="1"/>
  <c r="H49" i="5"/>
  <c r="H50" i="4"/>
  <c r="I50" i="4"/>
  <c r="R51" i="22" s="1"/>
  <c r="K48" i="3"/>
  <c r="O48" i="13"/>
  <c r="Q45" i="13"/>
  <c r="S45" i="13" s="1"/>
  <c r="D47" i="27"/>
  <c r="K46" i="13"/>
  <c r="M46" i="13" s="1"/>
  <c r="A48" i="27"/>
  <c r="I49" i="13"/>
  <c r="A47" i="25"/>
  <c r="D47" i="25" s="1"/>
  <c r="B48" i="13"/>
  <c r="A47" i="26"/>
  <c r="D47" i="26" s="1"/>
  <c r="D46" i="26"/>
  <c r="C46" i="26"/>
  <c r="A47" i="12"/>
  <c r="L48" i="12"/>
  <c r="E50" i="5"/>
  <c r="F50" i="5" s="1"/>
  <c r="E50" i="3"/>
  <c r="F50" i="3" s="1"/>
  <c r="E45" i="13"/>
  <c r="E51" i="4"/>
  <c r="F51" i="4" s="1"/>
  <c r="J49" i="3" l="1"/>
  <c r="D50" i="22" s="1"/>
  <c r="F50" i="22" s="1"/>
  <c r="J49" i="5"/>
  <c r="AH50" i="22" s="1"/>
  <c r="AJ50" i="22" s="1"/>
  <c r="AI50" i="22"/>
  <c r="AI51" i="22"/>
  <c r="J50" i="4"/>
  <c r="S51" i="22" s="1"/>
  <c r="U51" i="22" s="1"/>
  <c r="T51" i="22"/>
  <c r="G50" i="22"/>
  <c r="N47" i="3"/>
  <c r="O47" i="3" s="1"/>
  <c r="N47" i="5"/>
  <c r="O47" i="5" s="1"/>
  <c r="K50" i="4"/>
  <c r="M50" i="4" s="1"/>
  <c r="N48" i="4"/>
  <c r="O48" i="4" s="1"/>
  <c r="L48" i="3"/>
  <c r="M48" i="3"/>
  <c r="P48" i="3"/>
  <c r="K49" i="3"/>
  <c r="J50" i="5"/>
  <c r="AH51" i="22" s="1"/>
  <c r="AJ51" i="22" s="1"/>
  <c r="I50" i="5"/>
  <c r="AG51" i="22" s="1"/>
  <c r="H50" i="5"/>
  <c r="H51" i="4"/>
  <c r="I51" i="4"/>
  <c r="R52" i="22" s="1"/>
  <c r="T52" i="22" s="1"/>
  <c r="H50" i="3"/>
  <c r="I50" i="3"/>
  <c r="C51" i="22" s="1"/>
  <c r="J50" i="3"/>
  <c r="D51" i="22" s="1"/>
  <c r="F51" i="22" s="1"/>
  <c r="K49" i="5"/>
  <c r="L48" i="5"/>
  <c r="M48" i="5"/>
  <c r="P48" i="5"/>
  <c r="M49" i="4"/>
  <c r="L49" i="4"/>
  <c r="P49" i="4"/>
  <c r="Q47" i="13"/>
  <c r="S47" i="13" s="1"/>
  <c r="O49" i="13"/>
  <c r="Q46" i="13"/>
  <c r="S46" i="13" s="1"/>
  <c r="D48" i="27"/>
  <c r="K47" i="13"/>
  <c r="M47" i="13" s="1"/>
  <c r="A49" i="27"/>
  <c r="D49" i="27" s="1"/>
  <c r="I50" i="13"/>
  <c r="A48" i="25"/>
  <c r="B49" i="13"/>
  <c r="C47" i="26"/>
  <c r="A48" i="12"/>
  <c r="L49" i="12"/>
  <c r="A48" i="26"/>
  <c r="E51" i="5"/>
  <c r="F51" i="5" s="1"/>
  <c r="E46" i="13"/>
  <c r="E52" i="4"/>
  <c r="F52" i="4" s="1"/>
  <c r="E51" i="3"/>
  <c r="F51" i="3" s="1"/>
  <c r="AK50" i="22" l="1"/>
  <c r="AK51" i="22"/>
  <c r="J51" i="4"/>
  <c r="S52" i="22" s="1"/>
  <c r="U52" i="22" s="1"/>
  <c r="V52" i="22" s="1"/>
  <c r="P50" i="4"/>
  <c r="L50" i="4"/>
  <c r="N50" i="4" s="1"/>
  <c r="O50" i="4" s="1"/>
  <c r="V51" i="22"/>
  <c r="E51" i="22"/>
  <c r="G51" i="22" s="1"/>
  <c r="N48" i="3"/>
  <c r="O48" i="3" s="1"/>
  <c r="K51" i="4"/>
  <c r="M51" i="4" s="1"/>
  <c r="K50" i="5"/>
  <c r="P50" i="5" s="1"/>
  <c r="L49" i="5"/>
  <c r="M49" i="5"/>
  <c r="P49" i="5"/>
  <c r="H51" i="3"/>
  <c r="I51" i="3"/>
  <c r="C52" i="22" s="1"/>
  <c r="L51" i="4"/>
  <c r="L49" i="3"/>
  <c r="M49" i="3"/>
  <c r="P49" i="3"/>
  <c r="I51" i="5"/>
  <c r="AG52" i="22" s="1"/>
  <c r="H51" i="5"/>
  <c r="H52" i="4"/>
  <c r="I52" i="4"/>
  <c r="R53" i="22" s="1"/>
  <c r="N49" i="4"/>
  <c r="O49" i="4" s="1"/>
  <c r="N48" i="5"/>
  <c r="O48" i="5" s="1"/>
  <c r="K50" i="3"/>
  <c r="O50" i="13"/>
  <c r="K48" i="13"/>
  <c r="M48" i="13" s="1"/>
  <c r="A50" i="27"/>
  <c r="D50" i="27" s="1"/>
  <c r="I51" i="13"/>
  <c r="A49" i="25"/>
  <c r="D49" i="25" s="1"/>
  <c r="B50" i="13"/>
  <c r="D48" i="25"/>
  <c r="D48" i="26"/>
  <c r="C48" i="26"/>
  <c r="A49" i="12"/>
  <c r="L50" i="12"/>
  <c r="A49" i="26"/>
  <c r="E52" i="5"/>
  <c r="F52" i="5" s="1"/>
  <c r="E47" i="13"/>
  <c r="E53" i="4"/>
  <c r="F53" i="4" s="1"/>
  <c r="E52" i="3"/>
  <c r="F52" i="3" s="1"/>
  <c r="J51" i="5" l="1"/>
  <c r="AH52" i="22" s="1"/>
  <c r="AI52" i="22"/>
  <c r="AJ52" i="22"/>
  <c r="P51" i="4"/>
  <c r="J52" i="4"/>
  <c r="S53" i="22" s="1"/>
  <c r="U53" i="22" s="1"/>
  <c r="T53" i="22"/>
  <c r="J51" i="3"/>
  <c r="D52" i="22" s="1"/>
  <c r="F52" i="22"/>
  <c r="E52" i="22"/>
  <c r="N51" i="4"/>
  <c r="O51" i="4" s="1"/>
  <c r="L50" i="5"/>
  <c r="M50" i="5"/>
  <c r="H52" i="3"/>
  <c r="I52" i="3"/>
  <c r="C53" i="22" s="1"/>
  <c r="E53" i="22" s="1"/>
  <c r="M50" i="3"/>
  <c r="L50" i="3"/>
  <c r="P50" i="3"/>
  <c r="K52" i="4"/>
  <c r="K51" i="3"/>
  <c r="H53" i="4"/>
  <c r="I53" i="4"/>
  <c r="R54" i="22" s="1"/>
  <c r="T54" i="22" s="1"/>
  <c r="J53" i="4"/>
  <c r="S54" i="22" s="1"/>
  <c r="N49" i="5"/>
  <c r="O49" i="5" s="1"/>
  <c r="H52" i="5"/>
  <c r="I52" i="5"/>
  <c r="AG53" i="22" s="1"/>
  <c r="AI53" i="22" s="1"/>
  <c r="K51" i="5"/>
  <c r="N49" i="3"/>
  <c r="O49" i="3" s="1"/>
  <c r="Q48" i="13"/>
  <c r="S48" i="13" s="1"/>
  <c r="O51" i="13"/>
  <c r="K49" i="13"/>
  <c r="M49" i="13" s="1"/>
  <c r="A51" i="27"/>
  <c r="I52" i="13"/>
  <c r="A50" i="25"/>
  <c r="D50" i="25" s="1"/>
  <c r="B51" i="13"/>
  <c r="D49" i="26"/>
  <c r="C49" i="26"/>
  <c r="A50" i="12"/>
  <c r="L51" i="12"/>
  <c r="A50" i="26"/>
  <c r="E53" i="5"/>
  <c r="F53" i="5" s="1"/>
  <c r="E54" i="4"/>
  <c r="F54" i="4" s="1"/>
  <c r="E53" i="3"/>
  <c r="F53" i="3" s="1"/>
  <c r="E48" i="13"/>
  <c r="J52" i="3" l="1"/>
  <c r="D53" i="22" s="1"/>
  <c r="N50" i="3"/>
  <c r="O50" i="3" s="1"/>
  <c r="G52" i="22"/>
  <c r="J52" i="5"/>
  <c r="AH53" i="22" s="1"/>
  <c r="AJ53" i="22" s="1"/>
  <c r="AK53" i="22" s="1"/>
  <c r="AK52" i="22"/>
  <c r="V53" i="22"/>
  <c r="U54" i="22"/>
  <c r="V54" i="22" s="1"/>
  <c r="F53" i="22"/>
  <c r="G53" i="22" s="1"/>
  <c r="K52" i="5"/>
  <c r="P52" i="5" s="1"/>
  <c r="N50" i="5"/>
  <c r="O50" i="5" s="1"/>
  <c r="L51" i="5"/>
  <c r="M51" i="5"/>
  <c r="P51" i="5"/>
  <c r="L51" i="3"/>
  <c r="M51" i="3"/>
  <c r="P51" i="3"/>
  <c r="M52" i="5"/>
  <c r="K52" i="3"/>
  <c r="I53" i="5"/>
  <c r="AG54" i="22" s="1"/>
  <c r="H53" i="5"/>
  <c r="K53" i="4"/>
  <c r="L52" i="4"/>
  <c r="M52" i="4"/>
  <c r="P52" i="4"/>
  <c r="I53" i="3"/>
  <c r="C54" i="22" s="1"/>
  <c r="H53" i="3"/>
  <c r="H54" i="4"/>
  <c r="I54" i="4"/>
  <c r="R55" i="22" s="1"/>
  <c r="Q50" i="13"/>
  <c r="S50" i="13" s="1"/>
  <c r="Q49" i="13"/>
  <c r="S49" i="13" s="1"/>
  <c r="O52" i="13"/>
  <c r="A52" i="27"/>
  <c r="D52" i="27" s="1"/>
  <c r="I53" i="13"/>
  <c r="K50" i="13"/>
  <c r="M50" i="13" s="1"/>
  <c r="D51" i="27"/>
  <c r="A51" i="25"/>
  <c r="D51" i="25" s="1"/>
  <c r="B52" i="13"/>
  <c r="D50" i="26"/>
  <c r="C50" i="26"/>
  <c r="A51" i="12"/>
  <c r="L52" i="12"/>
  <c r="E54" i="5"/>
  <c r="F54" i="5" s="1"/>
  <c r="A51" i="26"/>
  <c r="E49" i="13"/>
  <c r="E55" i="4"/>
  <c r="F55" i="4" s="1"/>
  <c r="E54" i="3"/>
  <c r="F54" i="3" s="1"/>
  <c r="J53" i="5" l="1"/>
  <c r="AH54" i="22" s="1"/>
  <c r="J54" i="4"/>
  <c r="S55" i="22" s="1"/>
  <c r="U55" i="22" s="1"/>
  <c r="AJ54" i="22"/>
  <c r="AI54" i="22"/>
  <c r="T55" i="22"/>
  <c r="V55" i="22" s="1"/>
  <c r="J53" i="3"/>
  <c r="D54" i="22" s="1"/>
  <c r="F54" i="22" s="1"/>
  <c r="E54" i="22"/>
  <c r="G54" i="22" s="1"/>
  <c r="K53" i="5"/>
  <c r="M53" i="5" s="1"/>
  <c r="L52" i="5"/>
  <c r="N52" i="5" s="1"/>
  <c r="O52" i="5" s="1"/>
  <c r="N51" i="5"/>
  <c r="O51" i="5" s="1"/>
  <c r="H54" i="3"/>
  <c r="J54" i="3"/>
  <c r="D55" i="22" s="1"/>
  <c r="I54" i="3"/>
  <c r="C55" i="22" s="1"/>
  <c r="N51" i="3"/>
  <c r="O51" i="3" s="1"/>
  <c r="H55" i="4"/>
  <c r="I55" i="4"/>
  <c r="R56" i="22" s="1"/>
  <c r="T56" i="22" s="1"/>
  <c r="H54" i="5"/>
  <c r="I54" i="5"/>
  <c r="AG55" i="22" s="1"/>
  <c r="AI55" i="22" s="1"/>
  <c r="K53" i="3"/>
  <c r="N52" i="4"/>
  <c r="O52" i="4" s="1"/>
  <c r="M52" i="3"/>
  <c r="L52" i="3"/>
  <c r="P52" i="3"/>
  <c r="K54" i="4"/>
  <c r="M53" i="4"/>
  <c r="L53" i="4"/>
  <c r="P53" i="4"/>
  <c r="O53" i="13"/>
  <c r="K51" i="13"/>
  <c r="M51" i="13" s="1"/>
  <c r="A53" i="27"/>
  <c r="D53" i="27" s="1"/>
  <c r="I54" i="13"/>
  <c r="A52" i="25"/>
  <c r="B53" i="13"/>
  <c r="D51" i="26"/>
  <c r="C51" i="26"/>
  <c r="A52" i="12"/>
  <c r="L53" i="12"/>
  <c r="E55" i="5"/>
  <c r="F55" i="5" s="1"/>
  <c r="A52" i="26"/>
  <c r="E50" i="13"/>
  <c r="E55" i="3"/>
  <c r="F55" i="3" s="1"/>
  <c r="E56" i="4"/>
  <c r="F56" i="4" s="1"/>
  <c r="J54" i="5" l="1"/>
  <c r="AH55" i="22" s="1"/>
  <c r="AJ55" i="22" s="1"/>
  <c r="AK54" i="22"/>
  <c r="AK55" i="22"/>
  <c r="P53" i="5"/>
  <c r="J55" i="4"/>
  <c r="S56" i="22" s="1"/>
  <c r="U56" i="22" s="1"/>
  <c r="V56" i="22" s="1"/>
  <c r="F55" i="22"/>
  <c r="N52" i="3"/>
  <c r="O52" i="3" s="1"/>
  <c r="E55" i="22"/>
  <c r="L53" i="5"/>
  <c r="N53" i="5" s="1"/>
  <c r="O53" i="5" s="1"/>
  <c r="K55" i="4"/>
  <c r="P55" i="4" s="1"/>
  <c r="N53" i="4"/>
  <c r="O53" i="4" s="1"/>
  <c r="H56" i="4"/>
  <c r="I56" i="4"/>
  <c r="R57" i="22" s="1"/>
  <c r="J56" i="4"/>
  <c r="S57" i="22" s="1"/>
  <c r="U57" i="22" s="1"/>
  <c r="I55" i="5"/>
  <c r="AG56" i="22" s="1"/>
  <c r="H55" i="5"/>
  <c r="L54" i="4"/>
  <c r="M54" i="4"/>
  <c r="P54" i="4"/>
  <c r="K54" i="3"/>
  <c r="H55" i="3"/>
  <c r="I55" i="3"/>
  <c r="C56" i="22" s="1"/>
  <c r="L53" i="3"/>
  <c r="M53" i="3"/>
  <c r="P53" i="3"/>
  <c r="K54" i="5"/>
  <c r="Q51" i="13"/>
  <c r="S51" i="13" s="1"/>
  <c r="O54" i="13"/>
  <c r="A54" i="27"/>
  <c r="D54" i="27" s="1"/>
  <c r="I55" i="13"/>
  <c r="K52" i="13"/>
  <c r="M52" i="13" s="1"/>
  <c r="A53" i="25"/>
  <c r="D53" i="25" s="1"/>
  <c r="B54" i="13"/>
  <c r="D52" i="25"/>
  <c r="D52" i="26"/>
  <c r="C52" i="26"/>
  <c r="A53" i="12"/>
  <c r="L54" i="12"/>
  <c r="A53" i="26"/>
  <c r="E56" i="5"/>
  <c r="F56" i="5" s="1"/>
  <c r="E56" i="3"/>
  <c r="F56" i="3" s="1"/>
  <c r="E57" i="4"/>
  <c r="F57" i="4" s="1"/>
  <c r="E51" i="13"/>
  <c r="J55" i="5" l="1"/>
  <c r="AH56" i="22" s="1"/>
  <c r="G55" i="22"/>
  <c r="AJ56" i="22"/>
  <c r="AI56" i="22"/>
  <c r="AK56" i="22" s="1"/>
  <c r="T57" i="22"/>
  <c r="V57" i="22" s="1"/>
  <c r="L55" i="4"/>
  <c r="J55" i="3"/>
  <c r="D56" i="22" s="1"/>
  <c r="F56" i="22" s="1"/>
  <c r="E56" i="22"/>
  <c r="K55" i="5"/>
  <c r="L55" i="5" s="1"/>
  <c r="M55" i="4"/>
  <c r="K56" i="4"/>
  <c r="P56" i="4" s="1"/>
  <c r="N54" i="4"/>
  <c r="O54" i="4" s="1"/>
  <c r="H56" i="3"/>
  <c r="I56" i="3"/>
  <c r="C57" i="22" s="1"/>
  <c r="M54" i="3"/>
  <c r="L54" i="3"/>
  <c r="P54" i="3"/>
  <c r="H56" i="5"/>
  <c r="I56" i="5"/>
  <c r="AG57" i="22" s="1"/>
  <c r="AI57" i="22" s="1"/>
  <c r="L54" i="5"/>
  <c r="M54" i="5"/>
  <c r="P54" i="5"/>
  <c r="N53" i="3"/>
  <c r="O53" i="3" s="1"/>
  <c r="K55" i="3"/>
  <c r="H57" i="4"/>
  <c r="I57" i="4"/>
  <c r="R58" i="22" s="1"/>
  <c r="Q52" i="13"/>
  <c r="S52" i="13" s="1"/>
  <c r="O55" i="13"/>
  <c r="A55" i="27"/>
  <c r="I56" i="13"/>
  <c r="K53" i="13"/>
  <c r="M53" i="13" s="1"/>
  <c r="A54" i="25"/>
  <c r="B55" i="13"/>
  <c r="D53" i="26"/>
  <c r="C53" i="26"/>
  <c r="A54" i="12"/>
  <c r="L55" i="12"/>
  <c r="E57" i="5"/>
  <c r="F57" i="5" s="1"/>
  <c r="A54" i="26"/>
  <c r="E57" i="3"/>
  <c r="F57" i="3" s="1"/>
  <c r="E58" i="4"/>
  <c r="F58" i="4" s="1"/>
  <c r="E52" i="13"/>
  <c r="J56" i="5" l="1"/>
  <c r="AH57" i="22" s="1"/>
  <c r="AJ57" i="22" s="1"/>
  <c r="N55" i="4"/>
  <c r="O55" i="4" s="1"/>
  <c r="AK57" i="22"/>
  <c r="J57" i="4"/>
  <c r="S58" i="22" s="1"/>
  <c r="U58" i="22" s="1"/>
  <c r="T58" i="22"/>
  <c r="G56" i="22"/>
  <c r="J56" i="3"/>
  <c r="D57" i="22" s="1"/>
  <c r="F57" i="22" s="1"/>
  <c r="E57" i="22"/>
  <c r="N54" i="3"/>
  <c r="O54" i="3" s="1"/>
  <c r="P55" i="5"/>
  <c r="M55" i="5"/>
  <c r="N55" i="5" s="1"/>
  <c r="O55" i="5" s="1"/>
  <c r="L56" i="4"/>
  <c r="K57" i="4"/>
  <c r="M57" i="4" s="1"/>
  <c r="M56" i="4"/>
  <c r="L55" i="3"/>
  <c r="M55" i="3"/>
  <c r="P55" i="3"/>
  <c r="K56" i="3"/>
  <c r="I58" i="4"/>
  <c r="R59" i="22" s="1"/>
  <c r="H58" i="4"/>
  <c r="K56" i="5"/>
  <c r="H57" i="5"/>
  <c r="I57" i="5"/>
  <c r="AG58" i="22" s="1"/>
  <c r="I57" i="3"/>
  <c r="C58" i="22" s="1"/>
  <c r="H57" i="3"/>
  <c r="N54" i="5"/>
  <c r="O54" i="5" s="1"/>
  <c r="Q53" i="13"/>
  <c r="S53" i="13" s="1"/>
  <c r="O56" i="13"/>
  <c r="D55" i="27"/>
  <c r="K54" i="13"/>
  <c r="M54" i="13" s="1"/>
  <c r="A56" i="27"/>
  <c r="I57" i="13"/>
  <c r="D54" i="25"/>
  <c r="A55" i="25"/>
  <c r="D55" i="25" s="1"/>
  <c r="B56" i="13"/>
  <c r="D54" i="26"/>
  <c r="C54" i="26"/>
  <c r="A55" i="12"/>
  <c r="L56" i="12"/>
  <c r="E58" i="5"/>
  <c r="F58" i="5" s="1"/>
  <c r="A55" i="26"/>
  <c r="E59" i="4"/>
  <c r="F59" i="4" s="1"/>
  <c r="E58" i="3"/>
  <c r="F58" i="3" s="1"/>
  <c r="E53" i="13"/>
  <c r="G57" i="22" l="1"/>
  <c r="V58" i="22"/>
  <c r="J57" i="5"/>
  <c r="AH58" i="22" s="1"/>
  <c r="AJ58" i="22" s="1"/>
  <c r="AI58" i="22"/>
  <c r="J58" i="4"/>
  <c r="S59" i="22" s="1"/>
  <c r="U59" i="22" s="1"/>
  <c r="T59" i="22"/>
  <c r="N56" i="4"/>
  <c r="O56" i="4" s="1"/>
  <c r="J57" i="3"/>
  <c r="D58" i="22" s="1"/>
  <c r="F58" i="22"/>
  <c r="E58" i="22"/>
  <c r="L57" i="4"/>
  <c r="N57" i="4" s="1"/>
  <c r="O57" i="4" s="1"/>
  <c r="P57" i="4"/>
  <c r="K57" i="5"/>
  <c r="L57" i="5" s="1"/>
  <c r="K57" i="3"/>
  <c r="L56" i="5"/>
  <c r="M56" i="5"/>
  <c r="P56" i="5"/>
  <c r="K58" i="4"/>
  <c r="M56" i="3"/>
  <c r="L56" i="3"/>
  <c r="P56" i="3"/>
  <c r="H58" i="3"/>
  <c r="I58" i="3"/>
  <c r="C59" i="22" s="1"/>
  <c r="H59" i="4"/>
  <c r="I59" i="4"/>
  <c r="R60" i="22" s="1"/>
  <c r="H58" i="5"/>
  <c r="I58" i="5"/>
  <c r="AG59" i="22" s="1"/>
  <c r="AI59" i="22" s="1"/>
  <c r="N55" i="3"/>
  <c r="O55" i="3" s="1"/>
  <c r="O57" i="13"/>
  <c r="Q54" i="13"/>
  <c r="S54" i="13" s="1"/>
  <c r="A58" i="27"/>
  <c r="D58" i="27" s="1"/>
  <c r="I59" i="13"/>
  <c r="A57" i="27"/>
  <c r="I58" i="13"/>
  <c r="D56" i="27"/>
  <c r="K55" i="13"/>
  <c r="M55" i="13" s="1"/>
  <c r="A56" i="25"/>
  <c r="D56" i="25" s="1"/>
  <c r="B57" i="13"/>
  <c r="D55" i="26"/>
  <c r="C55" i="26"/>
  <c r="A56" i="12"/>
  <c r="L58" i="12"/>
  <c r="L57" i="12"/>
  <c r="E59" i="5"/>
  <c r="F59" i="5" s="1"/>
  <c r="A56" i="26"/>
  <c r="E54" i="13"/>
  <c r="E59" i="3"/>
  <c r="F59" i="3" s="1"/>
  <c r="E60" i="4"/>
  <c r="F60" i="4" s="1"/>
  <c r="M57" i="5" l="1"/>
  <c r="G58" i="22"/>
  <c r="J59" i="4"/>
  <c r="S60" i="22" s="1"/>
  <c r="U60" i="22" s="1"/>
  <c r="J58" i="3"/>
  <c r="D59" i="22" s="1"/>
  <c r="F59" i="22" s="1"/>
  <c r="AK58" i="22"/>
  <c r="J58" i="5"/>
  <c r="AH59" i="22" s="1"/>
  <c r="AJ59" i="22" s="1"/>
  <c r="AK59" i="22" s="1"/>
  <c r="V59" i="22"/>
  <c r="T60" i="22"/>
  <c r="V60" i="22" s="1"/>
  <c r="E59" i="22"/>
  <c r="N56" i="3"/>
  <c r="O56" i="3" s="1"/>
  <c r="K59" i="4"/>
  <c r="P59" i="4" s="1"/>
  <c r="K58" i="5"/>
  <c r="M58" i="5" s="1"/>
  <c r="P57" i="5"/>
  <c r="K58" i="3"/>
  <c r="M57" i="3"/>
  <c r="L57" i="3"/>
  <c r="P57" i="3"/>
  <c r="L58" i="4"/>
  <c r="M58" i="4"/>
  <c r="P58" i="4"/>
  <c r="I59" i="5"/>
  <c r="J59" i="5" s="1"/>
  <c r="AH60" i="22" s="1"/>
  <c r="H59" i="5"/>
  <c r="M59" i="4"/>
  <c r="N57" i="5"/>
  <c r="O57" i="5" s="1"/>
  <c r="I60" i="4"/>
  <c r="R61" i="22" s="1"/>
  <c r="H60" i="4"/>
  <c r="J60" i="4"/>
  <c r="S61" i="22" s="1"/>
  <c r="U61" i="22" s="1"/>
  <c r="H59" i="3"/>
  <c r="I59" i="3"/>
  <c r="C60" i="22" s="1"/>
  <c r="N56" i="5"/>
  <c r="O56" i="5" s="1"/>
  <c r="O58" i="13"/>
  <c r="Q55" i="13"/>
  <c r="S55" i="13" s="1"/>
  <c r="D57" i="27"/>
  <c r="A59" i="27"/>
  <c r="D59" i="27" s="1"/>
  <c r="I60" i="13"/>
  <c r="K56" i="13"/>
  <c r="M56" i="13" s="1"/>
  <c r="A57" i="25"/>
  <c r="D57" i="25" s="1"/>
  <c r="B58" i="13"/>
  <c r="D56" i="26"/>
  <c r="C56" i="26"/>
  <c r="A57" i="12"/>
  <c r="L59" i="12"/>
  <c r="E60" i="5"/>
  <c r="F60" i="5" s="1"/>
  <c r="A57" i="26"/>
  <c r="E61" i="4"/>
  <c r="F61" i="4" s="1"/>
  <c r="E55" i="13"/>
  <c r="E60" i="3"/>
  <c r="F60" i="3" s="1"/>
  <c r="K59" i="5" l="1"/>
  <c r="M59" i="5" s="1"/>
  <c r="AG60" i="22"/>
  <c r="AJ60" i="22"/>
  <c r="L59" i="4"/>
  <c r="N59" i="4" s="1"/>
  <c r="O59" i="4" s="1"/>
  <c r="T61" i="22"/>
  <c r="V61" i="22" s="1"/>
  <c r="J59" i="3"/>
  <c r="D60" i="22" s="1"/>
  <c r="N57" i="3"/>
  <c r="O57" i="3" s="1"/>
  <c r="F60" i="22"/>
  <c r="G59" i="22"/>
  <c r="E60" i="22"/>
  <c r="P58" i="5"/>
  <c r="L58" i="5"/>
  <c r="N58" i="5" s="1"/>
  <c r="O58" i="5" s="1"/>
  <c r="K60" i="4"/>
  <c r="P60" i="4" s="1"/>
  <c r="L58" i="3"/>
  <c r="M58" i="3"/>
  <c r="P58" i="3"/>
  <c r="N58" i="4"/>
  <c r="O58" i="4" s="1"/>
  <c r="H61" i="4"/>
  <c r="I61" i="4"/>
  <c r="R62" i="22" s="1"/>
  <c r="J60" i="3"/>
  <c r="D61" i="22" s="1"/>
  <c r="H60" i="3"/>
  <c r="I60" i="3"/>
  <c r="C61" i="22" s="1"/>
  <c r="E61" i="22" s="1"/>
  <c r="I60" i="5"/>
  <c r="AG61" i="22" s="1"/>
  <c r="H60" i="5"/>
  <c r="K59" i="3"/>
  <c r="O59" i="13"/>
  <c r="Q56" i="13"/>
  <c r="S56" i="13" s="1"/>
  <c r="K58" i="13"/>
  <c r="M58" i="13" s="1"/>
  <c r="A60" i="27"/>
  <c r="D60" i="27" s="1"/>
  <c r="I61" i="13"/>
  <c r="K57" i="13"/>
  <c r="M57" i="13" s="1"/>
  <c r="A58" i="25"/>
  <c r="D58" i="25" s="1"/>
  <c r="B59" i="13"/>
  <c r="D57" i="26"/>
  <c r="C57" i="26"/>
  <c r="A58" i="12"/>
  <c r="L60" i="12"/>
  <c r="A58" i="26"/>
  <c r="E61" i="5"/>
  <c r="F61" i="5" s="1"/>
  <c r="E57" i="13"/>
  <c r="E62" i="4"/>
  <c r="F62" i="4" s="1"/>
  <c r="E61" i="3"/>
  <c r="F61" i="3" s="1"/>
  <c r="E56" i="13"/>
  <c r="L59" i="5" l="1"/>
  <c r="N59" i="5" s="1"/>
  <c r="O59" i="5" s="1"/>
  <c r="P59" i="5"/>
  <c r="J60" i="5"/>
  <c r="AH61" i="22" s="1"/>
  <c r="AJ61" i="22" s="1"/>
  <c r="AI60" i="22"/>
  <c r="AK60" i="22" s="1"/>
  <c r="AI61" i="22"/>
  <c r="J61" i="4"/>
  <c r="S62" i="22" s="1"/>
  <c r="U62" i="22" s="1"/>
  <c r="M60" i="4"/>
  <c r="T62" i="22"/>
  <c r="G60" i="22"/>
  <c r="F61" i="22"/>
  <c r="G61" i="22" s="1"/>
  <c r="N58" i="3"/>
  <c r="O58" i="3" s="1"/>
  <c r="K60" i="5"/>
  <c r="L60" i="5" s="1"/>
  <c r="L60" i="4"/>
  <c r="K61" i="4"/>
  <c r="P61" i="4" s="1"/>
  <c r="N60" i="4"/>
  <c r="O60" i="4" s="1"/>
  <c r="M60" i="5"/>
  <c r="K60" i="3"/>
  <c r="H61" i="3"/>
  <c r="I61" i="3"/>
  <c r="C62" i="22" s="1"/>
  <c r="E62" i="22" s="1"/>
  <c r="M59" i="3"/>
  <c r="L59" i="3"/>
  <c r="P59" i="3"/>
  <c r="I62" i="4"/>
  <c r="R63" i="22" s="1"/>
  <c r="H62" i="4"/>
  <c r="I61" i="5"/>
  <c r="AG62" i="22" s="1"/>
  <c r="H61" i="5"/>
  <c r="Q57" i="13"/>
  <c r="S57" i="13" s="1"/>
  <c r="O60" i="13"/>
  <c r="A61" i="27"/>
  <c r="D61" i="27" s="1"/>
  <c r="I62" i="13"/>
  <c r="K59" i="13"/>
  <c r="M59" i="13" s="1"/>
  <c r="A59" i="25"/>
  <c r="B60" i="13"/>
  <c r="D58" i="26"/>
  <c r="C58" i="26"/>
  <c r="A59" i="12"/>
  <c r="L61" i="12"/>
  <c r="A59" i="26"/>
  <c r="E62" i="5"/>
  <c r="F62" i="5" s="1"/>
  <c r="E62" i="3"/>
  <c r="F62" i="3" s="1"/>
  <c r="E63" i="4"/>
  <c r="F63" i="4" s="1"/>
  <c r="J61" i="3" l="1"/>
  <c r="D62" i="22" s="1"/>
  <c r="J61" i="5"/>
  <c r="AH62" i="22" s="1"/>
  <c r="M61" i="4"/>
  <c r="AK61" i="22"/>
  <c r="P60" i="5"/>
  <c r="AI62" i="22"/>
  <c r="AJ62" i="22"/>
  <c r="J62" i="4"/>
  <c r="S63" i="22" s="1"/>
  <c r="U63" i="22" s="1"/>
  <c r="T63" i="22"/>
  <c r="V62" i="22"/>
  <c r="F62" i="22"/>
  <c r="G62" i="22" s="1"/>
  <c r="L61" i="4"/>
  <c r="K61" i="5"/>
  <c r="P61" i="5" s="1"/>
  <c r="H62" i="3"/>
  <c r="I62" i="3"/>
  <c r="C63" i="22" s="1"/>
  <c r="E63" i="22" s="1"/>
  <c r="K62" i="4"/>
  <c r="M60" i="3"/>
  <c r="L60" i="3"/>
  <c r="P60" i="3"/>
  <c r="H63" i="4"/>
  <c r="I63" i="4"/>
  <c r="R64" i="22" s="1"/>
  <c r="I62" i="5"/>
  <c r="AG63" i="22" s="1"/>
  <c r="AI63" i="22" s="1"/>
  <c r="H62" i="5"/>
  <c r="N59" i="3"/>
  <c r="O59" i="3" s="1"/>
  <c r="K61" i="3"/>
  <c r="N60" i="5"/>
  <c r="O60" i="5" s="1"/>
  <c r="Q58" i="13"/>
  <c r="S58" i="13" s="1"/>
  <c r="O61" i="13"/>
  <c r="A62" i="27"/>
  <c r="I63" i="13"/>
  <c r="K60" i="13"/>
  <c r="M60" i="13" s="1"/>
  <c r="D59" i="25"/>
  <c r="A60" i="25"/>
  <c r="D60" i="25" s="1"/>
  <c r="B61" i="13"/>
  <c r="D59" i="26"/>
  <c r="C59" i="26"/>
  <c r="A60" i="12"/>
  <c r="L62" i="12"/>
  <c r="A60" i="26"/>
  <c r="E63" i="5"/>
  <c r="F63" i="5" s="1"/>
  <c r="E64" i="4"/>
  <c r="F64" i="4" s="1"/>
  <c r="E63" i="3"/>
  <c r="F63" i="3" s="1"/>
  <c r="E58" i="13"/>
  <c r="J63" i="4" l="1"/>
  <c r="S64" i="22" s="1"/>
  <c r="U64" i="22" s="1"/>
  <c r="N61" i="4"/>
  <c r="O61" i="4" s="1"/>
  <c r="J62" i="5"/>
  <c r="AH63" i="22" s="1"/>
  <c r="AJ63" i="22" s="1"/>
  <c r="AK63" i="22" s="1"/>
  <c r="AK62" i="22"/>
  <c r="V63" i="22"/>
  <c r="T64" i="22"/>
  <c r="V64" i="22" s="1"/>
  <c r="J62" i="3"/>
  <c r="D63" i="22" s="1"/>
  <c r="F63" i="22" s="1"/>
  <c r="G63" i="22" s="1"/>
  <c r="L61" i="5"/>
  <c r="K63" i="4"/>
  <c r="P63" i="4" s="1"/>
  <c r="M61" i="5"/>
  <c r="L62" i="4"/>
  <c r="M62" i="4"/>
  <c r="P62" i="4"/>
  <c r="I63" i="5"/>
  <c r="AG64" i="22" s="1"/>
  <c r="H63" i="5"/>
  <c r="K62" i="3"/>
  <c r="H63" i="3"/>
  <c r="I63" i="3"/>
  <c r="C64" i="22" s="1"/>
  <c r="I64" i="4"/>
  <c r="R65" i="22" s="1"/>
  <c r="H64" i="4"/>
  <c r="L61" i="3"/>
  <c r="M61" i="3"/>
  <c r="P61" i="3"/>
  <c r="K62" i="5"/>
  <c r="N60" i="3"/>
  <c r="O60" i="3" s="1"/>
  <c r="O62" i="13"/>
  <c r="Q59" i="13"/>
  <c r="S59" i="13" s="1"/>
  <c r="D62" i="27"/>
  <c r="K61" i="13"/>
  <c r="M61" i="13" s="1"/>
  <c r="A63" i="27"/>
  <c r="D63" i="27" s="1"/>
  <c r="I64" i="13"/>
  <c r="A61" i="25"/>
  <c r="B62" i="13"/>
  <c r="D60" i="26"/>
  <c r="C60" i="26"/>
  <c r="A61" i="12"/>
  <c r="L63" i="12"/>
  <c r="E64" i="5"/>
  <c r="F64" i="5" s="1"/>
  <c r="A61" i="26"/>
  <c r="E64" i="3"/>
  <c r="F64" i="3" s="1"/>
  <c r="E65" i="4"/>
  <c r="F65" i="4" s="1"/>
  <c r="E59" i="13"/>
  <c r="L63" i="4" l="1"/>
  <c r="J63" i="5"/>
  <c r="AH64" i="22" s="1"/>
  <c r="AJ64" i="22" s="1"/>
  <c r="AI64" i="22"/>
  <c r="M63" i="4"/>
  <c r="J64" i="4"/>
  <c r="S65" i="22" s="1"/>
  <c r="U65" i="22"/>
  <c r="T65" i="22"/>
  <c r="J63" i="3"/>
  <c r="D64" i="22" s="1"/>
  <c r="F64" i="22" s="1"/>
  <c r="E64" i="22"/>
  <c r="N61" i="5"/>
  <c r="O61" i="5" s="1"/>
  <c r="K63" i="5"/>
  <c r="P63" i="5" s="1"/>
  <c r="N63" i="4"/>
  <c r="O63" i="4" s="1"/>
  <c r="K64" i="4"/>
  <c r="P64" i="4" s="1"/>
  <c r="N62" i="4"/>
  <c r="O62" i="4" s="1"/>
  <c r="H64" i="5"/>
  <c r="I64" i="5"/>
  <c r="AG65" i="22" s="1"/>
  <c r="AI65" i="22" s="1"/>
  <c r="N61" i="3"/>
  <c r="O61" i="3" s="1"/>
  <c r="M62" i="3"/>
  <c r="L62" i="3"/>
  <c r="N62" i="3" s="1"/>
  <c r="O62" i="3" s="1"/>
  <c r="P62" i="3"/>
  <c r="H64" i="3"/>
  <c r="I64" i="3"/>
  <c r="C65" i="22" s="1"/>
  <c r="M62" i="5"/>
  <c r="L62" i="5"/>
  <c r="P62" i="5"/>
  <c r="H65" i="4"/>
  <c r="I65" i="4"/>
  <c r="R66" i="22" s="1"/>
  <c r="J65" i="4"/>
  <c r="S66" i="22" s="1"/>
  <c r="K63" i="3"/>
  <c r="O63" i="13"/>
  <c r="Q60" i="13"/>
  <c r="S60" i="13" s="1"/>
  <c r="A64" i="27"/>
  <c r="I65" i="13"/>
  <c r="K62" i="13"/>
  <c r="M62" i="13" s="1"/>
  <c r="A62" i="25"/>
  <c r="D62" i="25" s="1"/>
  <c r="B63" i="13"/>
  <c r="D61" i="25"/>
  <c r="D61" i="26"/>
  <c r="C61" i="26"/>
  <c r="A62" i="12"/>
  <c r="L64" i="12"/>
  <c r="A62" i="26"/>
  <c r="E65" i="5"/>
  <c r="F65" i="5" s="1"/>
  <c r="E60" i="13"/>
  <c r="E66" i="4"/>
  <c r="F66" i="4" s="1"/>
  <c r="E65" i="3"/>
  <c r="F65" i="3" s="1"/>
  <c r="J64" i="5" l="1"/>
  <c r="AH65" i="22" s="1"/>
  <c r="AJ65" i="22" s="1"/>
  <c r="V65" i="22"/>
  <c r="AK64" i="22"/>
  <c r="L63" i="5"/>
  <c r="AK65" i="22"/>
  <c r="M63" i="5"/>
  <c r="U66" i="22"/>
  <c r="T66" i="22"/>
  <c r="V66" i="22" s="1"/>
  <c r="G64" i="22"/>
  <c r="J64" i="3"/>
  <c r="D65" i="22" s="1"/>
  <c r="F65" i="22" s="1"/>
  <c r="E65" i="22"/>
  <c r="G65" i="22" s="1"/>
  <c r="K64" i="5"/>
  <c r="M64" i="5" s="1"/>
  <c r="N62" i="5"/>
  <c r="O62" i="5" s="1"/>
  <c r="L64" i="4"/>
  <c r="K65" i="4"/>
  <c r="M65" i="4" s="1"/>
  <c r="M64" i="4"/>
  <c r="K64" i="3"/>
  <c r="M63" i="3"/>
  <c r="L63" i="3"/>
  <c r="P63" i="3"/>
  <c r="I65" i="5"/>
  <c r="AG66" i="22" s="1"/>
  <c r="H65" i="5"/>
  <c r="P64" i="5"/>
  <c r="H65" i="3"/>
  <c r="I65" i="3"/>
  <c r="C66" i="22" s="1"/>
  <c r="I66" i="4"/>
  <c r="R67" i="22" s="1"/>
  <c r="H66" i="4"/>
  <c r="Q61" i="13"/>
  <c r="S61" i="13" s="1"/>
  <c r="O64" i="13"/>
  <c r="D64" i="27"/>
  <c r="K63" i="13"/>
  <c r="M63" i="13" s="1"/>
  <c r="A65" i="27"/>
  <c r="I66" i="13"/>
  <c r="A63" i="25"/>
  <c r="D63" i="25" s="1"/>
  <c r="B64" i="13"/>
  <c r="D62" i="26"/>
  <c r="C62" i="26"/>
  <c r="A63" i="12"/>
  <c r="L65" i="12"/>
  <c r="E66" i="5"/>
  <c r="F66" i="5" s="1"/>
  <c r="A63" i="26"/>
  <c r="E67" i="4"/>
  <c r="F67" i="4" s="1"/>
  <c r="E66" i="3"/>
  <c r="F66" i="3" s="1"/>
  <c r="E61" i="13"/>
  <c r="L64" i="5" l="1"/>
  <c r="N63" i="5"/>
  <c r="O63" i="5" s="1"/>
  <c r="J65" i="5"/>
  <c r="AH66" i="22" s="1"/>
  <c r="AJ66" i="22" s="1"/>
  <c r="AI66" i="22"/>
  <c r="J66" i="4"/>
  <c r="S67" i="22" s="1"/>
  <c r="U67" i="22" s="1"/>
  <c r="L65" i="4"/>
  <c r="T67" i="22"/>
  <c r="J65" i="3"/>
  <c r="D66" i="22" s="1"/>
  <c r="F66" i="22" s="1"/>
  <c r="E66" i="22"/>
  <c r="N63" i="3"/>
  <c r="O63" i="3" s="1"/>
  <c r="N64" i="4"/>
  <c r="O64" i="4" s="1"/>
  <c r="P65" i="4"/>
  <c r="N64" i="5"/>
  <c r="O64" i="5" s="1"/>
  <c r="H66" i="5"/>
  <c r="I66" i="5"/>
  <c r="AG67" i="22" s="1"/>
  <c r="AI67" i="22" s="1"/>
  <c r="K65" i="3"/>
  <c r="K66" i="4"/>
  <c r="N65" i="4"/>
  <c r="O65" i="4" s="1"/>
  <c r="M64" i="3"/>
  <c r="L64" i="3"/>
  <c r="P64" i="3"/>
  <c r="H66" i="3"/>
  <c r="I66" i="3"/>
  <c r="C67" i="22" s="1"/>
  <c r="H67" i="4"/>
  <c r="I67" i="4"/>
  <c r="R68" i="22" s="1"/>
  <c r="K65" i="5"/>
  <c r="O65" i="13"/>
  <c r="Q62" i="13"/>
  <c r="S62" i="13" s="1"/>
  <c r="A66" i="27"/>
  <c r="D66" i="27" s="1"/>
  <c r="I67" i="13"/>
  <c r="D65" i="27"/>
  <c r="K64" i="13"/>
  <c r="M64" i="13" s="1"/>
  <c r="A64" i="25"/>
  <c r="B65" i="13"/>
  <c r="D63" i="26"/>
  <c r="C63" i="26"/>
  <c r="A64" i="12"/>
  <c r="L66" i="12"/>
  <c r="A64" i="26"/>
  <c r="E67" i="5"/>
  <c r="F67" i="5" s="1"/>
  <c r="E62" i="13"/>
  <c r="E67" i="3"/>
  <c r="F67" i="3" s="1"/>
  <c r="E68" i="4"/>
  <c r="F68" i="4" s="1"/>
  <c r="J66" i="5" l="1"/>
  <c r="AH67" i="22" s="1"/>
  <c r="AJ67" i="22" s="1"/>
  <c r="AK66" i="22"/>
  <c r="AK67" i="22"/>
  <c r="V67" i="22"/>
  <c r="J67" i="4"/>
  <c r="S68" i="22" s="1"/>
  <c r="U68" i="22" s="1"/>
  <c r="T68" i="22"/>
  <c r="J66" i="3"/>
  <c r="D67" i="22" s="1"/>
  <c r="F67" i="22" s="1"/>
  <c r="G66" i="22"/>
  <c r="E67" i="22"/>
  <c r="N64" i="3"/>
  <c r="O64" i="3" s="1"/>
  <c r="K66" i="3"/>
  <c r="I67" i="5"/>
  <c r="AG68" i="22" s="1"/>
  <c r="H67" i="5"/>
  <c r="L66" i="4"/>
  <c r="M66" i="4"/>
  <c r="P66" i="4"/>
  <c r="M65" i="3"/>
  <c r="L65" i="3"/>
  <c r="P65" i="3"/>
  <c r="I68" i="4"/>
  <c r="R69" i="22" s="1"/>
  <c r="H68" i="4"/>
  <c r="I67" i="3"/>
  <c r="C68" i="22" s="1"/>
  <c r="H67" i="3"/>
  <c r="L65" i="5"/>
  <c r="M65" i="5"/>
  <c r="P65" i="5"/>
  <c r="K67" i="4"/>
  <c r="K66" i="5"/>
  <c r="O66" i="13"/>
  <c r="Q63" i="13"/>
  <c r="S63" i="13" s="1"/>
  <c r="K65" i="13"/>
  <c r="M65" i="13" s="1"/>
  <c r="A65" i="25"/>
  <c r="D65" i="25" s="1"/>
  <c r="B66" i="13"/>
  <c r="D64" i="25"/>
  <c r="D64" i="26"/>
  <c r="C64" i="26"/>
  <c r="A65" i="12"/>
  <c r="E68" i="5"/>
  <c r="F68" i="5" s="1"/>
  <c r="A65" i="26"/>
  <c r="E69" i="4"/>
  <c r="F69" i="4" s="1"/>
  <c r="E63" i="13"/>
  <c r="E68" i="3"/>
  <c r="F68" i="3" s="1"/>
  <c r="V68" i="22" l="1"/>
  <c r="J67" i="5"/>
  <c r="AH68" i="22" s="1"/>
  <c r="AJ68" i="22" s="1"/>
  <c r="AI68" i="22"/>
  <c r="AI69" i="22"/>
  <c r="J68" i="4"/>
  <c r="S69" i="22" s="1"/>
  <c r="U69" i="22" s="1"/>
  <c r="T69" i="22"/>
  <c r="G67" i="22"/>
  <c r="J67" i="3"/>
  <c r="D68" i="22" s="1"/>
  <c r="F68" i="22" s="1"/>
  <c r="E68" i="22"/>
  <c r="K68" i="4"/>
  <c r="P68" i="4" s="1"/>
  <c r="N65" i="5"/>
  <c r="O65" i="5" s="1"/>
  <c r="K67" i="3"/>
  <c r="N66" i="4"/>
  <c r="O66" i="4" s="1"/>
  <c r="L67" i="4"/>
  <c r="M67" i="4"/>
  <c r="P67" i="4"/>
  <c r="H69" i="4"/>
  <c r="I69" i="4"/>
  <c r="R70" i="22" s="1"/>
  <c r="T70" i="22" s="1"/>
  <c r="J69" i="4"/>
  <c r="S70" i="22" s="1"/>
  <c r="L66" i="5"/>
  <c r="M66" i="5"/>
  <c r="P66" i="5"/>
  <c r="I68" i="3"/>
  <c r="C69" i="22" s="1"/>
  <c r="H68" i="3"/>
  <c r="H68" i="5"/>
  <c r="I68" i="5"/>
  <c r="AG69" i="22" s="1"/>
  <c r="J68" i="5"/>
  <c r="AH69" i="22" s="1"/>
  <c r="AJ69" i="22" s="1"/>
  <c r="M68" i="4"/>
  <c r="N65" i="3"/>
  <c r="O65" i="3" s="1"/>
  <c r="K67" i="5"/>
  <c r="L66" i="3"/>
  <c r="M66" i="3"/>
  <c r="P66" i="3"/>
  <c r="O67" i="13"/>
  <c r="Q64" i="13"/>
  <c r="S64" i="13" s="1"/>
  <c r="A68" i="27"/>
  <c r="D68" i="27" s="1"/>
  <c r="I69" i="13"/>
  <c r="A67" i="27"/>
  <c r="I68" i="13"/>
  <c r="K66" i="13"/>
  <c r="M66" i="13" s="1"/>
  <c r="A66" i="25"/>
  <c r="B67" i="13"/>
  <c r="D65" i="26"/>
  <c r="C65" i="26"/>
  <c r="A66" i="12"/>
  <c r="L68" i="12"/>
  <c r="L67" i="12"/>
  <c r="E69" i="5"/>
  <c r="F69" i="5" s="1"/>
  <c r="A66" i="26"/>
  <c r="E64" i="13"/>
  <c r="E69" i="3"/>
  <c r="F69" i="3" s="1"/>
  <c r="E70" i="4"/>
  <c r="F70" i="4" s="1"/>
  <c r="J68" i="3" l="1"/>
  <c r="D69" i="22" s="1"/>
  <c r="G68" i="22"/>
  <c r="AK68" i="22"/>
  <c r="AK69" i="22"/>
  <c r="V69" i="22"/>
  <c r="L68" i="4"/>
  <c r="U70" i="22"/>
  <c r="V70" i="22" s="1"/>
  <c r="F69" i="22"/>
  <c r="E69" i="22"/>
  <c r="N68" i="4"/>
  <c r="O68" i="4" s="1"/>
  <c r="K69" i="4"/>
  <c r="P69" i="4" s="1"/>
  <c r="N67" i="4"/>
  <c r="O67" i="4" s="1"/>
  <c r="N66" i="5"/>
  <c r="O66" i="5" s="1"/>
  <c r="I69" i="5"/>
  <c r="AG70" i="22" s="1"/>
  <c r="H69" i="5"/>
  <c r="I70" i="4"/>
  <c r="R71" i="22" s="1"/>
  <c r="H70" i="4"/>
  <c r="J70" i="4"/>
  <c r="S71" i="22" s="1"/>
  <c r="U71" i="22" s="1"/>
  <c r="L67" i="5"/>
  <c r="M67" i="5"/>
  <c r="P67" i="5"/>
  <c r="K68" i="5"/>
  <c r="L67" i="3"/>
  <c r="M67" i="3"/>
  <c r="P67" i="3"/>
  <c r="H69" i="3"/>
  <c r="I69" i="3"/>
  <c r="C70" i="22" s="1"/>
  <c r="E70" i="22" s="1"/>
  <c r="N66" i="3"/>
  <c r="O66" i="3" s="1"/>
  <c r="K68" i="3"/>
  <c r="M69" i="4"/>
  <c r="O68" i="13"/>
  <c r="Q65" i="13"/>
  <c r="S65" i="13" s="1"/>
  <c r="D67" i="27"/>
  <c r="A69" i="27"/>
  <c r="I70" i="13"/>
  <c r="K67" i="13"/>
  <c r="M67" i="13" s="1"/>
  <c r="A67" i="25"/>
  <c r="D67" i="25" s="1"/>
  <c r="B68" i="13"/>
  <c r="D66" i="25"/>
  <c r="D66" i="26"/>
  <c r="C66" i="26"/>
  <c r="A67" i="12"/>
  <c r="L69" i="12"/>
  <c r="A67" i="26"/>
  <c r="E70" i="5"/>
  <c r="F70" i="5" s="1"/>
  <c r="E71" i="4"/>
  <c r="F71" i="4" s="1"/>
  <c r="E65" i="13"/>
  <c r="E70" i="3"/>
  <c r="F70" i="3" s="1"/>
  <c r="J69" i="5" l="1"/>
  <c r="AH70" i="22" s="1"/>
  <c r="N67" i="5"/>
  <c r="O67" i="5" s="1"/>
  <c r="G69" i="22"/>
  <c r="AI70" i="22"/>
  <c r="AJ70" i="22"/>
  <c r="L69" i="4"/>
  <c r="T71" i="22"/>
  <c r="V71" i="22" s="1"/>
  <c r="J69" i="3"/>
  <c r="D70" i="22" s="1"/>
  <c r="F70" i="22" s="1"/>
  <c r="G70" i="22" s="1"/>
  <c r="N67" i="3"/>
  <c r="O67" i="3" s="1"/>
  <c r="K69" i="5"/>
  <c r="P69" i="5" s="1"/>
  <c r="K70" i="4"/>
  <c r="P70" i="4" s="1"/>
  <c r="H71" i="4"/>
  <c r="I71" i="4"/>
  <c r="R72" i="22" s="1"/>
  <c r="L68" i="3"/>
  <c r="M68" i="3"/>
  <c r="P68" i="3"/>
  <c r="K69" i="3"/>
  <c r="L68" i="5"/>
  <c r="M68" i="5"/>
  <c r="P68" i="5"/>
  <c r="L69" i="5"/>
  <c r="H70" i="3"/>
  <c r="I70" i="3"/>
  <c r="C71" i="22" s="1"/>
  <c r="E71" i="22" s="1"/>
  <c r="J70" i="3"/>
  <c r="D71" i="22" s="1"/>
  <c r="H70" i="5"/>
  <c r="I70" i="5"/>
  <c r="AG71" i="22" s="1"/>
  <c r="AI71" i="22" s="1"/>
  <c r="N69" i="4"/>
  <c r="O69" i="4" s="1"/>
  <c r="Q66" i="13"/>
  <c r="S66" i="13" s="1"/>
  <c r="O69" i="13"/>
  <c r="D69" i="27"/>
  <c r="A70" i="27"/>
  <c r="D70" i="27" s="1"/>
  <c r="I71" i="13"/>
  <c r="A68" i="25"/>
  <c r="B69" i="13"/>
  <c r="D67" i="26"/>
  <c r="C67" i="26"/>
  <c r="A68" i="12"/>
  <c r="L70" i="12"/>
  <c r="A68" i="26"/>
  <c r="E71" i="5"/>
  <c r="F71" i="5" s="1"/>
  <c r="E71" i="3"/>
  <c r="F71" i="3" s="1"/>
  <c r="E66" i="13"/>
  <c r="E72" i="4"/>
  <c r="F72" i="4" s="1"/>
  <c r="J70" i="5" l="1"/>
  <c r="AH71" i="22" s="1"/>
  <c r="AJ71" i="22" s="1"/>
  <c r="M69" i="5"/>
  <c r="AK71" i="22"/>
  <c r="AK70" i="22"/>
  <c r="J71" i="4"/>
  <c r="S72" i="22" s="1"/>
  <c r="U72" i="22" s="1"/>
  <c r="T72" i="22"/>
  <c r="F71" i="22"/>
  <c r="G71" i="22" s="1"/>
  <c r="N68" i="3"/>
  <c r="O68" i="3" s="1"/>
  <c r="M70" i="4"/>
  <c r="K71" i="4"/>
  <c r="P71" i="4" s="1"/>
  <c r="L70" i="4"/>
  <c r="K70" i="3"/>
  <c r="I72" i="4"/>
  <c r="R73" i="22" s="1"/>
  <c r="H72" i="4"/>
  <c r="L69" i="3"/>
  <c r="M69" i="3"/>
  <c r="P69" i="3"/>
  <c r="I71" i="5"/>
  <c r="AG72" i="22" s="1"/>
  <c r="H71" i="5"/>
  <c r="H71" i="3"/>
  <c r="I71" i="3"/>
  <c r="C72" i="22" s="1"/>
  <c r="J71" i="3"/>
  <c r="D72" i="22" s="1"/>
  <c r="K70" i="5"/>
  <c r="N69" i="5"/>
  <c r="O69" i="5" s="1"/>
  <c r="N68" i="5"/>
  <c r="O68" i="5" s="1"/>
  <c r="O70" i="13"/>
  <c r="Q67" i="13"/>
  <c r="S67" i="13" s="1"/>
  <c r="K69" i="13"/>
  <c r="M69" i="13" s="1"/>
  <c r="K68" i="13"/>
  <c r="M68" i="13" s="1"/>
  <c r="A69" i="25"/>
  <c r="D69" i="25" s="1"/>
  <c r="B70" i="13"/>
  <c r="D68" i="25"/>
  <c r="D68" i="26"/>
  <c r="C68" i="26"/>
  <c r="A69" i="12"/>
  <c r="E72" i="5"/>
  <c r="F72" i="5" s="1"/>
  <c r="A69" i="26"/>
  <c r="I70" i="10"/>
  <c r="E73" i="4"/>
  <c r="F73" i="4" s="1"/>
  <c r="E72" i="3"/>
  <c r="F72" i="3" s="1"/>
  <c r="E67" i="13"/>
  <c r="N69" i="3" l="1"/>
  <c r="O69" i="3" s="1"/>
  <c r="J71" i="5"/>
  <c r="AH72" i="22" s="1"/>
  <c r="AJ72" i="22"/>
  <c r="AI72" i="22"/>
  <c r="AK72" i="22" s="1"/>
  <c r="M71" i="4"/>
  <c r="J72" i="4"/>
  <c r="S73" i="22" s="1"/>
  <c r="U73" i="22" s="1"/>
  <c r="N70" i="4"/>
  <c r="O70" i="4" s="1"/>
  <c r="V72" i="22"/>
  <c r="L71" i="4"/>
  <c r="N71" i="4" s="1"/>
  <c r="O71" i="4" s="1"/>
  <c r="T73" i="22"/>
  <c r="F72" i="22"/>
  <c r="E72" i="22"/>
  <c r="G72" i="22" s="1"/>
  <c r="K71" i="5"/>
  <c r="M71" i="5" s="1"/>
  <c r="K72" i="4"/>
  <c r="P72" i="4" s="1"/>
  <c r="I72" i="3"/>
  <c r="C73" i="22" s="1"/>
  <c r="E73" i="22" s="1"/>
  <c r="H72" i="3"/>
  <c r="H73" i="4"/>
  <c r="I73" i="4"/>
  <c r="R74" i="22" s="1"/>
  <c r="T74" i="22" s="1"/>
  <c r="L70" i="5"/>
  <c r="M70" i="5"/>
  <c r="P70" i="5"/>
  <c r="K71" i="3"/>
  <c r="L70" i="3"/>
  <c r="M70" i="3"/>
  <c r="P70" i="3"/>
  <c r="H72" i="5"/>
  <c r="I72" i="5"/>
  <c r="AG73" i="22" s="1"/>
  <c r="AI73" i="22" s="1"/>
  <c r="Q68" i="13"/>
  <c r="S68" i="13" s="1"/>
  <c r="O71" i="13"/>
  <c r="A71" i="27"/>
  <c r="D71" i="27" s="1"/>
  <c r="I72" i="13"/>
  <c r="K70" i="13"/>
  <c r="M70" i="13" s="1"/>
  <c r="A70" i="25"/>
  <c r="B71" i="13"/>
  <c r="C69" i="26"/>
  <c r="A70" i="12"/>
  <c r="L71" i="12"/>
  <c r="W70" i="12"/>
  <c r="N70" i="10"/>
  <c r="E73" i="5"/>
  <c r="F73" i="5" s="1"/>
  <c r="D69" i="26"/>
  <c r="A70" i="26"/>
  <c r="I71" i="10"/>
  <c r="D70" i="10"/>
  <c r="E68" i="13"/>
  <c r="E73" i="3"/>
  <c r="F73" i="3" s="1"/>
  <c r="E74" i="4"/>
  <c r="F74" i="4" s="1"/>
  <c r="J72" i="3" l="1"/>
  <c r="D73" i="22" s="1"/>
  <c r="J72" i="5"/>
  <c r="AH73" i="22" s="1"/>
  <c r="AJ73" i="22" s="1"/>
  <c r="AK73" i="22" s="1"/>
  <c r="J73" i="4"/>
  <c r="S74" i="22" s="1"/>
  <c r="U74" i="22" s="1"/>
  <c r="V74" i="22" s="1"/>
  <c r="V73" i="22"/>
  <c r="F73" i="22"/>
  <c r="G73" i="22" s="1"/>
  <c r="L72" i="4"/>
  <c r="L71" i="5"/>
  <c r="P71" i="5"/>
  <c r="M72" i="4"/>
  <c r="K72" i="5"/>
  <c r="P72" i="5" s="1"/>
  <c r="H73" i="5"/>
  <c r="I73" i="5"/>
  <c r="AG74" i="22" s="1"/>
  <c r="K73" i="4"/>
  <c r="N70" i="3"/>
  <c r="O70" i="3" s="1"/>
  <c r="K72" i="3"/>
  <c r="I74" i="4"/>
  <c r="R75" i="22" s="1"/>
  <c r="H74" i="4"/>
  <c r="H73" i="3"/>
  <c r="I73" i="3"/>
  <c r="C74" i="22" s="1"/>
  <c r="E74" i="22" s="1"/>
  <c r="L71" i="3"/>
  <c r="M71" i="3"/>
  <c r="P71" i="3"/>
  <c r="N70" i="5"/>
  <c r="O70" i="5" s="1"/>
  <c r="N71" i="5"/>
  <c r="O71" i="5" s="1"/>
  <c r="O72" i="13"/>
  <c r="Q69" i="13"/>
  <c r="S69" i="13" s="1"/>
  <c r="A72" i="27"/>
  <c r="D72" i="27" s="1"/>
  <c r="I73" i="13"/>
  <c r="S70" i="12"/>
  <c r="K71" i="13"/>
  <c r="M71" i="13" s="1"/>
  <c r="D70" i="25"/>
  <c r="A71" i="25"/>
  <c r="B72" i="13"/>
  <c r="D70" i="26"/>
  <c r="C70" i="26"/>
  <c r="A71" i="12"/>
  <c r="L72" i="12"/>
  <c r="W71" i="12"/>
  <c r="E74" i="5"/>
  <c r="F74" i="5" s="1"/>
  <c r="N71" i="10"/>
  <c r="A71" i="26"/>
  <c r="I72" i="10"/>
  <c r="D71" i="10"/>
  <c r="E69" i="13"/>
  <c r="E74" i="3"/>
  <c r="F74" i="3" s="1"/>
  <c r="E75" i="4"/>
  <c r="F75" i="4" s="1"/>
  <c r="J73" i="5" l="1"/>
  <c r="AH74" i="22" s="1"/>
  <c r="AI74" i="22"/>
  <c r="AJ74" i="22"/>
  <c r="AJ75" i="22"/>
  <c r="J74" i="4"/>
  <c r="S75" i="22" s="1"/>
  <c r="U75" i="22" s="1"/>
  <c r="N72" i="4"/>
  <c r="O72" i="4" s="1"/>
  <c r="T75" i="22"/>
  <c r="J73" i="3"/>
  <c r="D74" i="22" s="1"/>
  <c r="F74" i="22" s="1"/>
  <c r="G74" i="22" s="1"/>
  <c r="L72" i="5"/>
  <c r="M72" i="5"/>
  <c r="N72" i="5"/>
  <c r="O72" i="5" s="1"/>
  <c r="H75" i="4"/>
  <c r="I75" i="4"/>
  <c r="R76" i="22" s="1"/>
  <c r="T76" i="22" s="1"/>
  <c r="J74" i="5"/>
  <c r="AH75" i="22" s="1"/>
  <c r="H74" i="5"/>
  <c r="I74" i="5"/>
  <c r="AG75" i="22" s="1"/>
  <c r="AI75" i="22" s="1"/>
  <c r="H74" i="3"/>
  <c r="I74" i="3"/>
  <c r="C75" i="22" s="1"/>
  <c r="E75" i="22" s="1"/>
  <c r="K74" i="4"/>
  <c r="L72" i="3"/>
  <c r="M72" i="3"/>
  <c r="P72" i="3"/>
  <c r="M73" i="4"/>
  <c r="L73" i="4"/>
  <c r="P73" i="4"/>
  <c r="N71" i="3"/>
  <c r="O71" i="3" s="1"/>
  <c r="K73" i="3"/>
  <c r="K73" i="5"/>
  <c r="O73" i="13"/>
  <c r="Q70" i="13"/>
  <c r="S70" i="13" s="1"/>
  <c r="A73" i="27"/>
  <c r="I74" i="13"/>
  <c r="A72" i="25"/>
  <c r="D72" i="25" s="1"/>
  <c r="B73" i="13"/>
  <c r="D71" i="25"/>
  <c r="D71" i="26"/>
  <c r="C71" i="26"/>
  <c r="A72" i="12"/>
  <c r="L73" i="12"/>
  <c r="W72" i="12"/>
  <c r="E75" i="5"/>
  <c r="F75" i="5" s="1"/>
  <c r="A72" i="26"/>
  <c r="N72" i="10"/>
  <c r="I73" i="10"/>
  <c r="D72" i="10"/>
  <c r="E76" i="4"/>
  <c r="F76" i="4" s="1"/>
  <c r="E70" i="13"/>
  <c r="E75" i="3"/>
  <c r="F75" i="3" s="1"/>
  <c r="AK75" i="22" l="1"/>
  <c r="AK74" i="22"/>
  <c r="V75" i="22"/>
  <c r="J75" i="4"/>
  <c r="S76" i="22" s="1"/>
  <c r="U76" i="22" s="1"/>
  <c r="V76" i="22" s="1"/>
  <c r="J74" i="3"/>
  <c r="D75" i="22" s="1"/>
  <c r="F75" i="22" s="1"/>
  <c r="G75" i="22" s="1"/>
  <c r="K75" i="4"/>
  <c r="P75" i="4" s="1"/>
  <c r="K74" i="5"/>
  <c r="M74" i="5" s="1"/>
  <c r="K74" i="3"/>
  <c r="I76" i="4"/>
  <c r="R77" i="22" s="1"/>
  <c r="H76" i="4"/>
  <c r="I75" i="5"/>
  <c r="AG76" i="22" s="1"/>
  <c r="H75" i="5"/>
  <c r="M74" i="4"/>
  <c r="L74" i="4"/>
  <c r="P74" i="4"/>
  <c r="M73" i="5"/>
  <c r="L73" i="5"/>
  <c r="P73" i="5"/>
  <c r="H75" i="3"/>
  <c r="I75" i="3"/>
  <c r="C76" i="22" s="1"/>
  <c r="L73" i="3"/>
  <c r="M73" i="3"/>
  <c r="P73" i="3"/>
  <c r="M75" i="4"/>
  <c r="N73" i="4"/>
  <c r="O73" i="4" s="1"/>
  <c r="N72" i="3"/>
  <c r="O72" i="3" s="1"/>
  <c r="O74" i="13"/>
  <c r="Q72" i="13"/>
  <c r="S72" i="13" s="1"/>
  <c r="Q71" i="13"/>
  <c r="S71" i="13" s="1"/>
  <c r="A74" i="27"/>
  <c r="D74" i="27" s="1"/>
  <c r="I75" i="13"/>
  <c r="K72" i="13"/>
  <c r="M72" i="13" s="1"/>
  <c r="D73" i="27"/>
  <c r="E71" i="13"/>
  <c r="G71" i="13" s="1"/>
  <c r="A73" i="25"/>
  <c r="D73" i="25" s="1"/>
  <c r="B74" i="13"/>
  <c r="D72" i="26"/>
  <c r="C72" i="26"/>
  <c r="A73" i="12"/>
  <c r="L74" i="12"/>
  <c r="AD70" i="12"/>
  <c r="W73" i="12"/>
  <c r="AD71" i="12"/>
  <c r="A73" i="26"/>
  <c r="N73" i="10"/>
  <c r="E76" i="5"/>
  <c r="F76" i="5" s="1"/>
  <c r="I74" i="10"/>
  <c r="D73" i="10"/>
  <c r="E77" i="4"/>
  <c r="F77" i="4" s="1"/>
  <c r="H70" i="12"/>
  <c r="E76" i="3"/>
  <c r="F76" i="3" s="1"/>
  <c r="J75" i="3" l="1"/>
  <c r="D76" i="22" s="1"/>
  <c r="F76" i="22" s="1"/>
  <c r="J75" i="5"/>
  <c r="AH76" i="22" s="1"/>
  <c r="AI76" i="22"/>
  <c r="AJ76" i="22"/>
  <c r="J76" i="4"/>
  <c r="S77" i="22" s="1"/>
  <c r="U77" i="22" s="1"/>
  <c r="T77" i="22"/>
  <c r="E76" i="22"/>
  <c r="G76" i="22" s="1"/>
  <c r="L74" i="5"/>
  <c r="P74" i="5"/>
  <c r="L75" i="4"/>
  <c r="N75" i="4" s="1"/>
  <c r="O75" i="4" s="1"/>
  <c r="K76" i="4"/>
  <c r="P76" i="4" s="1"/>
  <c r="H76" i="5"/>
  <c r="I76" i="5"/>
  <c r="AG77" i="22" s="1"/>
  <c r="AI77" i="22" s="1"/>
  <c r="N73" i="3"/>
  <c r="O73" i="3" s="1"/>
  <c r="N74" i="5"/>
  <c r="O74" i="5" s="1"/>
  <c r="H77" i="4"/>
  <c r="I77" i="4"/>
  <c r="R78" i="22" s="1"/>
  <c r="T78" i="22" s="1"/>
  <c r="J77" i="4"/>
  <c r="S78" i="22" s="1"/>
  <c r="U78" i="22" s="1"/>
  <c r="I76" i="3"/>
  <c r="C77" i="22" s="1"/>
  <c r="H76" i="3"/>
  <c r="J76" i="3"/>
  <c r="D77" i="22" s="1"/>
  <c r="F77" i="22" s="1"/>
  <c r="N73" i="5"/>
  <c r="O73" i="5" s="1"/>
  <c r="K75" i="3"/>
  <c r="N74" i="4"/>
  <c r="O74" i="4" s="1"/>
  <c r="K75" i="5"/>
  <c r="L76" i="4"/>
  <c r="L74" i="3"/>
  <c r="M74" i="3"/>
  <c r="P74" i="3"/>
  <c r="O75" i="13"/>
  <c r="K73" i="13"/>
  <c r="M73" i="13" s="1"/>
  <c r="A75" i="27"/>
  <c r="D75" i="27" s="1"/>
  <c r="I76" i="13"/>
  <c r="E72" i="13"/>
  <c r="G72" i="13" s="1"/>
  <c r="A74" i="25"/>
  <c r="D74" i="25" s="1"/>
  <c r="B75" i="13"/>
  <c r="D73" i="26"/>
  <c r="C73" i="26"/>
  <c r="A74" i="12"/>
  <c r="L75" i="12"/>
  <c r="S71" i="12"/>
  <c r="W74" i="12"/>
  <c r="A74" i="26"/>
  <c r="E77" i="5"/>
  <c r="F77" i="5" s="1"/>
  <c r="N74" i="10"/>
  <c r="I75" i="10"/>
  <c r="D74" i="10"/>
  <c r="S72" i="12"/>
  <c r="E78" i="4"/>
  <c r="F78" i="4" s="1"/>
  <c r="E77" i="3"/>
  <c r="F77" i="3" s="1"/>
  <c r="H71" i="12"/>
  <c r="J76" i="5" l="1"/>
  <c r="AH77" i="22" s="1"/>
  <c r="AK76" i="22"/>
  <c r="AJ77" i="22"/>
  <c r="AK77" i="22" s="1"/>
  <c r="V77" i="22"/>
  <c r="V78" i="22"/>
  <c r="N74" i="3"/>
  <c r="O74" i="3" s="1"/>
  <c r="E77" i="22"/>
  <c r="G77" i="22" s="1"/>
  <c r="K76" i="5"/>
  <c r="L76" i="5" s="1"/>
  <c r="M76" i="4"/>
  <c r="N76" i="4" s="1"/>
  <c r="O76" i="4" s="1"/>
  <c r="M75" i="3"/>
  <c r="L75" i="3"/>
  <c r="P75" i="3"/>
  <c r="L75" i="5"/>
  <c r="M75" i="5"/>
  <c r="P75" i="5"/>
  <c r="K76" i="3"/>
  <c r="K77" i="4"/>
  <c r="H77" i="3"/>
  <c r="I77" i="3"/>
  <c r="C78" i="22" s="1"/>
  <c r="I77" i="5"/>
  <c r="AG78" i="22" s="1"/>
  <c r="H77" i="5"/>
  <c r="I78" i="4"/>
  <c r="R79" i="22" s="1"/>
  <c r="H78" i="4"/>
  <c r="O76" i="13"/>
  <c r="AD72" i="12"/>
  <c r="Q73" i="13"/>
  <c r="S73" i="13" s="1"/>
  <c r="A76" i="27"/>
  <c r="D76" i="27" s="1"/>
  <c r="I77" i="13"/>
  <c r="K74" i="13"/>
  <c r="M74" i="13" s="1"/>
  <c r="E73" i="13"/>
  <c r="G73" i="13" s="1"/>
  <c r="A75" i="25"/>
  <c r="D75" i="25" s="1"/>
  <c r="B76" i="13"/>
  <c r="D74" i="26"/>
  <c r="C74" i="26"/>
  <c r="A75" i="12"/>
  <c r="L76" i="12"/>
  <c r="W75" i="12"/>
  <c r="A75" i="26"/>
  <c r="E78" i="5"/>
  <c r="F78" i="5" s="1"/>
  <c r="N75" i="10"/>
  <c r="I76" i="10"/>
  <c r="D75" i="10"/>
  <c r="S73" i="12"/>
  <c r="H72" i="12"/>
  <c r="E78" i="3"/>
  <c r="F78" i="3" s="1"/>
  <c r="E79" i="4"/>
  <c r="F79" i="4" s="1"/>
  <c r="M76" i="5" l="1"/>
  <c r="P76" i="5"/>
  <c r="J77" i="5"/>
  <c r="AH78" i="22" s="1"/>
  <c r="AJ78" i="22" s="1"/>
  <c r="AI78" i="22"/>
  <c r="J78" i="4"/>
  <c r="S79" i="22" s="1"/>
  <c r="U79" i="22" s="1"/>
  <c r="T79" i="22"/>
  <c r="J77" i="3"/>
  <c r="D78" i="22" s="1"/>
  <c r="F78" i="22" s="1"/>
  <c r="N75" i="3"/>
  <c r="O75" i="3" s="1"/>
  <c r="E78" i="22"/>
  <c r="K77" i="5"/>
  <c r="P77" i="5" s="1"/>
  <c r="N75" i="5"/>
  <c r="O75" i="5" s="1"/>
  <c r="K77" i="3"/>
  <c r="L77" i="4"/>
  <c r="M77" i="4"/>
  <c r="P77" i="4"/>
  <c r="H78" i="5"/>
  <c r="I78" i="5"/>
  <c r="AG79" i="22" s="1"/>
  <c r="AI79" i="22" s="1"/>
  <c r="K78" i="4"/>
  <c r="N76" i="5"/>
  <c r="O76" i="5" s="1"/>
  <c r="L76" i="3"/>
  <c r="M76" i="3"/>
  <c r="P76" i="3"/>
  <c r="H79" i="4"/>
  <c r="I79" i="4"/>
  <c r="R80" i="22" s="1"/>
  <c r="T80" i="22" s="1"/>
  <c r="H78" i="3"/>
  <c r="I78" i="3"/>
  <c r="C79" i="22" s="1"/>
  <c r="J78" i="3"/>
  <c r="D79" i="22" s="1"/>
  <c r="F79" i="22" s="1"/>
  <c r="O77" i="13"/>
  <c r="AD73" i="12"/>
  <c r="Q74" i="13"/>
  <c r="S74" i="13" s="1"/>
  <c r="K76" i="13"/>
  <c r="M76" i="13" s="1"/>
  <c r="A77" i="27"/>
  <c r="I78" i="13"/>
  <c r="K75" i="13"/>
  <c r="M75" i="13" s="1"/>
  <c r="E74" i="13"/>
  <c r="G74" i="13" s="1"/>
  <c r="A76" i="25"/>
  <c r="D76" i="25" s="1"/>
  <c r="B77" i="13"/>
  <c r="D75" i="26"/>
  <c r="C75" i="26"/>
  <c r="A76" i="12"/>
  <c r="L77" i="12"/>
  <c r="W76" i="12"/>
  <c r="N76" i="10"/>
  <c r="E79" i="5"/>
  <c r="F79" i="5" s="1"/>
  <c r="A76" i="26"/>
  <c r="I77" i="10"/>
  <c r="D76" i="10"/>
  <c r="S74" i="12"/>
  <c r="S75" i="12"/>
  <c r="H73" i="12"/>
  <c r="E80" i="4"/>
  <c r="F80" i="4" s="1"/>
  <c r="E79" i="3"/>
  <c r="F79" i="3" s="1"/>
  <c r="G78" i="22" l="1"/>
  <c r="M77" i="5"/>
  <c r="J78" i="5"/>
  <c r="AH79" i="22" s="1"/>
  <c r="AJ79" i="22" s="1"/>
  <c r="AK79" i="22" s="1"/>
  <c r="AK78" i="22"/>
  <c r="J79" i="4"/>
  <c r="S80" i="22" s="1"/>
  <c r="U80" i="22" s="1"/>
  <c r="V80" i="22" s="1"/>
  <c r="V79" i="22"/>
  <c r="E79" i="22"/>
  <c r="G79" i="22" s="1"/>
  <c r="L77" i="5"/>
  <c r="N77" i="5" s="1"/>
  <c r="O77" i="5" s="1"/>
  <c r="N77" i="4"/>
  <c r="O77" i="4" s="1"/>
  <c r="K78" i="5"/>
  <c r="M78" i="5" s="1"/>
  <c r="L77" i="3"/>
  <c r="M77" i="3"/>
  <c r="P77" i="3"/>
  <c r="I79" i="5"/>
  <c r="AG80" i="22" s="1"/>
  <c r="H79" i="5"/>
  <c r="K78" i="3"/>
  <c r="K79" i="4"/>
  <c r="H79" i="3"/>
  <c r="I79" i="3"/>
  <c r="C80" i="22" s="1"/>
  <c r="I80" i="4"/>
  <c r="R81" i="22" s="1"/>
  <c r="H80" i="4"/>
  <c r="N76" i="3"/>
  <c r="O76" i="3" s="1"/>
  <c r="L78" i="4"/>
  <c r="M78" i="4"/>
  <c r="P78" i="4"/>
  <c r="Q76" i="13"/>
  <c r="S76" i="13" s="1"/>
  <c r="O78" i="13"/>
  <c r="Q75" i="13"/>
  <c r="S75" i="13" s="1"/>
  <c r="D77" i="27"/>
  <c r="A78" i="27"/>
  <c r="D78" i="27" s="1"/>
  <c r="I79" i="13"/>
  <c r="E75" i="13"/>
  <c r="G75" i="13" s="1"/>
  <c r="A77" i="25"/>
  <c r="B78" i="13"/>
  <c r="D76" i="26"/>
  <c r="C76" i="26"/>
  <c r="A77" i="12"/>
  <c r="L78" i="12"/>
  <c r="AD74" i="12"/>
  <c r="W77" i="12"/>
  <c r="A77" i="26"/>
  <c r="AD75" i="12"/>
  <c r="N77" i="10"/>
  <c r="E80" i="5"/>
  <c r="F80" i="5" s="1"/>
  <c r="I78" i="10"/>
  <c r="D77" i="10"/>
  <c r="H74" i="12"/>
  <c r="E80" i="3"/>
  <c r="F80" i="3" s="1"/>
  <c r="E81" i="4"/>
  <c r="F81" i="4" s="1"/>
  <c r="J79" i="3" l="1"/>
  <c r="D80" i="22" s="1"/>
  <c r="F80" i="22" s="1"/>
  <c r="J79" i="5"/>
  <c r="AH80" i="22" s="1"/>
  <c r="AJ80" i="22" s="1"/>
  <c r="AI80" i="22"/>
  <c r="J80" i="4"/>
  <c r="S81" i="22" s="1"/>
  <c r="U81" i="22" s="1"/>
  <c r="T81" i="22"/>
  <c r="E80" i="22"/>
  <c r="G80" i="22" s="1"/>
  <c r="P78" i="5"/>
  <c r="L78" i="5"/>
  <c r="N78" i="5" s="1"/>
  <c r="O78" i="5" s="1"/>
  <c r="K79" i="5"/>
  <c r="L79" i="5" s="1"/>
  <c r="N78" i="4"/>
  <c r="O78" i="4" s="1"/>
  <c r="L79" i="4"/>
  <c r="M79" i="4"/>
  <c r="P79" i="4"/>
  <c r="H81" i="4"/>
  <c r="I81" i="4"/>
  <c r="R82" i="22" s="1"/>
  <c r="T82" i="22" s="1"/>
  <c r="N77" i="3"/>
  <c r="O77" i="3" s="1"/>
  <c r="K79" i="3"/>
  <c r="K80" i="4"/>
  <c r="L78" i="3"/>
  <c r="M78" i="3"/>
  <c r="P78" i="3"/>
  <c r="I80" i="3"/>
  <c r="C81" i="22" s="1"/>
  <c r="E81" i="22" s="1"/>
  <c r="H80" i="3"/>
  <c r="H80" i="5"/>
  <c r="I80" i="5"/>
  <c r="AG81" i="22" s="1"/>
  <c r="AI81" i="22" s="1"/>
  <c r="O79" i="13"/>
  <c r="A79" i="27"/>
  <c r="D79" i="27" s="1"/>
  <c r="I80" i="13"/>
  <c r="K77" i="13"/>
  <c r="M77" i="13" s="1"/>
  <c r="E76" i="13"/>
  <c r="G76" i="13" s="1"/>
  <c r="A78" i="25"/>
  <c r="D78" i="25" s="1"/>
  <c r="B79" i="13"/>
  <c r="D77" i="25"/>
  <c r="D77" i="26"/>
  <c r="C77" i="26"/>
  <c r="A78" i="12"/>
  <c r="S76" i="12"/>
  <c r="L79" i="12"/>
  <c r="W78" i="12"/>
  <c r="N78" i="10"/>
  <c r="A78" i="26"/>
  <c r="E81" i="5"/>
  <c r="F81" i="5" s="1"/>
  <c r="I79" i="10"/>
  <c r="D78" i="10"/>
  <c r="H75" i="12"/>
  <c r="E82" i="4"/>
  <c r="F82" i="4" s="1"/>
  <c r="E81" i="3"/>
  <c r="F81" i="3" s="1"/>
  <c r="J80" i="3" l="1"/>
  <c r="D81" i="22" s="1"/>
  <c r="J80" i="5"/>
  <c r="AH81" i="22" s="1"/>
  <c r="AJ81" i="22" s="1"/>
  <c r="AK81" i="22" s="1"/>
  <c r="AK80" i="22"/>
  <c r="J81" i="4"/>
  <c r="S82" i="22" s="1"/>
  <c r="U82" i="22" s="1"/>
  <c r="V82" i="22" s="1"/>
  <c r="V81" i="22"/>
  <c r="F81" i="22"/>
  <c r="G81" i="22" s="1"/>
  <c r="P79" i="5"/>
  <c r="M79" i="5"/>
  <c r="N79" i="5" s="1"/>
  <c r="O79" i="5" s="1"/>
  <c r="N79" i="4"/>
  <c r="O79" i="4" s="1"/>
  <c r="K80" i="5"/>
  <c r="L80" i="5" s="1"/>
  <c r="J81" i="5"/>
  <c r="AH82" i="22" s="1"/>
  <c r="H81" i="5"/>
  <c r="I81" i="5"/>
  <c r="AG82" i="22" s="1"/>
  <c r="N78" i="3"/>
  <c r="O78" i="3" s="1"/>
  <c r="L79" i="3"/>
  <c r="M79" i="3"/>
  <c r="P79" i="3"/>
  <c r="L80" i="4"/>
  <c r="M80" i="4"/>
  <c r="P80" i="4"/>
  <c r="K81" i="4"/>
  <c r="K80" i="3"/>
  <c r="H81" i="3"/>
  <c r="I81" i="3"/>
  <c r="C82" i="22" s="1"/>
  <c r="E82" i="22" s="1"/>
  <c r="I82" i="4"/>
  <c r="R83" i="22" s="1"/>
  <c r="H82" i="4"/>
  <c r="Q77" i="13"/>
  <c r="S77" i="13" s="1"/>
  <c r="O80" i="13"/>
  <c r="A80" i="27"/>
  <c r="D80" i="27" s="1"/>
  <c r="I81" i="13"/>
  <c r="K78" i="13"/>
  <c r="M78" i="13" s="1"/>
  <c r="E77" i="13"/>
  <c r="G77" i="13" s="1"/>
  <c r="A79" i="25"/>
  <c r="D79" i="25" s="1"/>
  <c r="B80" i="13"/>
  <c r="D78" i="26"/>
  <c r="C78" i="26"/>
  <c r="A79" i="12"/>
  <c r="L80" i="12"/>
  <c r="W79" i="12"/>
  <c r="AD76" i="12"/>
  <c r="A79" i="26"/>
  <c r="N79" i="10"/>
  <c r="E82" i="5"/>
  <c r="F82" i="5" s="1"/>
  <c r="I80" i="10"/>
  <c r="D79" i="10"/>
  <c r="S77" i="12"/>
  <c r="E82" i="3"/>
  <c r="F82" i="3" s="1"/>
  <c r="E83" i="4"/>
  <c r="F83" i="4" s="1"/>
  <c r="H76" i="12"/>
  <c r="J81" i="3" l="1"/>
  <c r="D82" i="22" s="1"/>
  <c r="AI82" i="22"/>
  <c r="AJ82" i="22"/>
  <c r="J82" i="4"/>
  <c r="S83" i="22" s="1"/>
  <c r="U83" i="22" s="1"/>
  <c r="T83" i="22"/>
  <c r="F82" i="22"/>
  <c r="G82" i="22" s="1"/>
  <c r="P80" i="5"/>
  <c r="M80" i="5"/>
  <c r="K81" i="5"/>
  <c r="M81" i="5" s="1"/>
  <c r="K82" i="4"/>
  <c r="P82" i="4" s="1"/>
  <c r="N80" i="4"/>
  <c r="O80" i="4" s="1"/>
  <c r="H83" i="4"/>
  <c r="I83" i="4"/>
  <c r="R84" i="22" s="1"/>
  <c r="T84" i="22" s="1"/>
  <c r="L80" i="3"/>
  <c r="M80" i="3"/>
  <c r="P80" i="3"/>
  <c r="H82" i="3"/>
  <c r="I82" i="3"/>
  <c r="C83" i="22" s="1"/>
  <c r="K81" i="3"/>
  <c r="N80" i="5"/>
  <c r="O80" i="5" s="1"/>
  <c r="L81" i="4"/>
  <c r="M81" i="4"/>
  <c r="P81" i="4"/>
  <c r="N79" i="3"/>
  <c r="O79" i="3" s="1"/>
  <c r="H82" i="5"/>
  <c r="I82" i="5"/>
  <c r="AG83" i="22" s="1"/>
  <c r="AI83" i="22" s="1"/>
  <c r="O81" i="13"/>
  <c r="AD77" i="12"/>
  <c r="Q78" i="13"/>
  <c r="S78" i="13" s="1"/>
  <c r="A81" i="27"/>
  <c r="D81" i="27" s="1"/>
  <c r="I82" i="13"/>
  <c r="K79" i="13"/>
  <c r="M79" i="13" s="1"/>
  <c r="E78" i="13"/>
  <c r="G78" i="13" s="1"/>
  <c r="A80" i="25"/>
  <c r="D80" i="25" s="1"/>
  <c r="B81" i="13"/>
  <c r="D79" i="26"/>
  <c r="C79" i="26"/>
  <c r="A80" i="12"/>
  <c r="L81" i="12"/>
  <c r="W80" i="12"/>
  <c r="AD78" i="12"/>
  <c r="N80" i="10"/>
  <c r="A80" i="26"/>
  <c r="E83" i="5"/>
  <c r="F83" i="5" s="1"/>
  <c r="I81" i="10"/>
  <c r="D80" i="10"/>
  <c r="S78" i="12"/>
  <c r="E83" i="3"/>
  <c r="F83" i="3" s="1"/>
  <c r="H77" i="12"/>
  <c r="E84" i="4"/>
  <c r="F84" i="4" s="1"/>
  <c r="J82" i="5" l="1"/>
  <c r="AH83" i="22" s="1"/>
  <c r="P81" i="5"/>
  <c r="AK82" i="22"/>
  <c r="AJ83" i="22"/>
  <c r="AK83" i="22" s="1"/>
  <c r="J83" i="4"/>
  <c r="S84" i="22" s="1"/>
  <c r="U84" i="22" s="1"/>
  <c r="V84" i="22" s="1"/>
  <c r="V83" i="22"/>
  <c r="J82" i="3"/>
  <c r="D83" i="22" s="1"/>
  <c r="F83" i="22" s="1"/>
  <c r="E83" i="22"/>
  <c r="N80" i="3"/>
  <c r="O80" i="3" s="1"/>
  <c r="L81" i="5"/>
  <c r="N81" i="5" s="1"/>
  <c r="O81" i="5" s="1"/>
  <c r="K82" i="5"/>
  <c r="P82" i="5" s="1"/>
  <c r="L82" i="4"/>
  <c r="M82" i="4"/>
  <c r="K83" i="4"/>
  <c r="L83" i="4" s="1"/>
  <c r="N81" i="4"/>
  <c r="O81" i="4" s="1"/>
  <c r="K82" i="3"/>
  <c r="I83" i="5"/>
  <c r="AG84" i="22" s="1"/>
  <c r="H83" i="5"/>
  <c r="H84" i="4"/>
  <c r="I84" i="4"/>
  <c r="R85" i="22" s="1"/>
  <c r="H83" i="3"/>
  <c r="I83" i="3"/>
  <c r="C84" i="22" s="1"/>
  <c r="J83" i="3"/>
  <c r="D84" i="22" s="1"/>
  <c r="F84" i="22" s="1"/>
  <c r="L81" i="3"/>
  <c r="M81" i="3"/>
  <c r="P81" i="3"/>
  <c r="Q79" i="13"/>
  <c r="S79" i="13" s="1"/>
  <c r="O82" i="13"/>
  <c r="Q80" i="13"/>
  <c r="S80" i="13" s="1"/>
  <c r="K80" i="13"/>
  <c r="M80" i="13" s="1"/>
  <c r="A82" i="27"/>
  <c r="I83" i="13"/>
  <c r="E79" i="13"/>
  <c r="G79" i="13" s="1"/>
  <c r="A81" i="25"/>
  <c r="D81" i="25" s="1"/>
  <c r="B82" i="13"/>
  <c r="D80" i="26"/>
  <c r="C80" i="26"/>
  <c r="A81" i="12"/>
  <c r="L82" i="12"/>
  <c r="W81" i="12"/>
  <c r="N81" i="10"/>
  <c r="AD79" i="12"/>
  <c r="A81" i="26"/>
  <c r="E84" i="5"/>
  <c r="F84" i="5" s="1"/>
  <c r="I82" i="10"/>
  <c r="D81" i="10"/>
  <c r="S79" i="12"/>
  <c r="E85" i="4"/>
  <c r="F85" i="4" s="1"/>
  <c r="H78" i="12"/>
  <c r="E84" i="3"/>
  <c r="F84" i="3" s="1"/>
  <c r="J83" i="5" l="1"/>
  <c r="AH84" i="22" s="1"/>
  <c r="AJ84" i="22" s="1"/>
  <c r="M82" i="5"/>
  <c r="L82" i="5"/>
  <c r="N82" i="5" s="1"/>
  <c r="O82" i="5" s="1"/>
  <c r="AI84" i="22"/>
  <c r="AK84" i="22" s="1"/>
  <c r="N82" i="4"/>
  <c r="O82" i="4" s="1"/>
  <c r="J84" i="4"/>
  <c r="S85" i="22" s="1"/>
  <c r="U85" i="22" s="1"/>
  <c r="T85" i="22"/>
  <c r="G83" i="22"/>
  <c r="E84" i="22"/>
  <c r="G84" i="22" s="1"/>
  <c r="N81" i="3"/>
  <c r="O81" i="3" s="1"/>
  <c r="K84" i="4"/>
  <c r="P84" i="4" s="1"/>
  <c r="M83" i="4"/>
  <c r="N83" i="4" s="1"/>
  <c r="O83" i="4" s="1"/>
  <c r="P83" i="4"/>
  <c r="I84" i="3"/>
  <c r="C85" i="22" s="1"/>
  <c r="H84" i="3"/>
  <c r="L82" i="3"/>
  <c r="M82" i="3"/>
  <c r="P82" i="3"/>
  <c r="K83" i="3"/>
  <c r="H85" i="4"/>
  <c r="I85" i="4"/>
  <c r="R86" i="22" s="1"/>
  <c r="T86" i="22" s="1"/>
  <c r="H84" i="5"/>
  <c r="I84" i="5"/>
  <c r="AG85" i="22" s="1"/>
  <c r="AI85" i="22" s="1"/>
  <c r="K83" i="5"/>
  <c r="O83" i="13"/>
  <c r="D82" i="27"/>
  <c r="K81" i="13"/>
  <c r="M81" i="13" s="1"/>
  <c r="A83" i="27"/>
  <c r="D83" i="27" s="1"/>
  <c r="I84" i="13"/>
  <c r="E80" i="13"/>
  <c r="G80" i="13" s="1"/>
  <c r="A82" i="25"/>
  <c r="D82" i="25" s="1"/>
  <c r="B83" i="13"/>
  <c r="D81" i="26"/>
  <c r="C81" i="26"/>
  <c r="A82" i="12"/>
  <c r="L83" i="12"/>
  <c r="W82" i="12"/>
  <c r="S80" i="12"/>
  <c r="A82" i="26"/>
  <c r="N82" i="10"/>
  <c r="E85" i="5"/>
  <c r="F85" i="5" s="1"/>
  <c r="I83" i="10"/>
  <c r="D82" i="10"/>
  <c r="E86" i="4"/>
  <c r="F86" i="4" s="1"/>
  <c r="E85" i="3"/>
  <c r="F85" i="3" s="1"/>
  <c r="H79" i="12"/>
  <c r="J85" i="4" l="1"/>
  <c r="S86" i="22" s="1"/>
  <c r="U86" i="22" s="1"/>
  <c r="N82" i="3"/>
  <c r="O82" i="3" s="1"/>
  <c r="J84" i="5"/>
  <c r="AH85" i="22" s="1"/>
  <c r="AJ85" i="22" s="1"/>
  <c r="AK85" i="22" s="1"/>
  <c r="V85" i="22"/>
  <c r="V86" i="22"/>
  <c r="J84" i="3"/>
  <c r="D85" i="22" s="1"/>
  <c r="F85" i="22" s="1"/>
  <c r="E85" i="22"/>
  <c r="M84" i="4"/>
  <c r="L84" i="4"/>
  <c r="K85" i="4"/>
  <c r="P85" i="4" s="1"/>
  <c r="H85" i="3"/>
  <c r="I85" i="3"/>
  <c r="C86" i="22" s="1"/>
  <c r="K84" i="5"/>
  <c r="L83" i="5"/>
  <c r="M83" i="5"/>
  <c r="P83" i="5"/>
  <c r="K84" i="3"/>
  <c r="I85" i="5"/>
  <c r="AG86" i="22" s="1"/>
  <c r="H85" i="5"/>
  <c r="L83" i="3"/>
  <c r="M83" i="3"/>
  <c r="P83" i="3"/>
  <c r="H86" i="4"/>
  <c r="I86" i="4"/>
  <c r="R87" i="22" s="1"/>
  <c r="J86" i="4"/>
  <c r="S87" i="22" s="1"/>
  <c r="Q81" i="13"/>
  <c r="S81" i="13" s="1"/>
  <c r="O84" i="13"/>
  <c r="K82" i="13"/>
  <c r="M82" i="13" s="1"/>
  <c r="A84" i="27"/>
  <c r="I85" i="13"/>
  <c r="E81" i="13"/>
  <c r="G81" i="13" s="1"/>
  <c r="A83" i="25"/>
  <c r="D83" i="25" s="1"/>
  <c r="B84" i="13"/>
  <c r="D82" i="26"/>
  <c r="C82" i="26"/>
  <c r="A83" i="12"/>
  <c r="L84" i="12"/>
  <c r="W83" i="12"/>
  <c r="N83" i="10"/>
  <c r="A83" i="26"/>
  <c r="AD80" i="12"/>
  <c r="E86" i="5"/>
  <c r="F86" i="5" s="1"/>
  <c r="I84" i="10"/>
  <c r="D83" i="10"/>
  <c r="S81" i="12"/>
  <c r="H80" i="12"/>
  <c r="E86" i="3"/>
  <c r="F86" i="3" s="1"/>
  <c r="E87" i="4"/>
  <c r="F87" i="4" s="1"/>
  <c r="J85" i="5" l="1"/>
  <c r="AH86" i="22" s="1"/>
  <c r="AJ86" i="22" s="1"/>
  <c r="AI86" i="22"/>
  <c r="N84" i="4"/>
  <c r="O84" i="4" s="1"/>
  <c r="U87" i="22"/>
  <c r="T87" i="22"/>
  <c r="N83" i="3"/>
  <c r="O83" i="3" s="1"/>
  <c r="G85" i="22"/>
  <c r="J85" i="3"/>
  <c r="D86" i="22" s="1"/>
  <c r="F86" i="22" s="1"/>
  <c r="E86" i="22"/>
  <c r="N83" i="5"/>
  <c r="O83" i="5" s="1"/>
  <c r="M85" i="4"/>
  <c r="L85" i="4"/>
  <c r="K86" i="4"/>
  <c r="L86" i="4" s="1"/>
  <c r="K85" i="5"/>
  <c r="M84" i="5"/>
  <c r="L84" i="5"/>
  <c r="P84" i="5"/>
  <c r="K85" i="3"/>
  <c r="L84" i="3"/>
  <c r="M84" i="3"/>
  <c r="P84" i="3"/>
  <c r="H86" i="3"/>
  <c r="I86" i="3"/>
  <c r="C87" i="22" s="1"/>
  <c r="H86" i="5"/>
  <c r="I86" i="5"/>
  <c r="AG87" i="22" s="1"/>
  <c r="AI87" i="22" s="1"/>
  <c r="H87" i="4"/>
  <c r="I87" i="4"/>
  <c r="R88" i="22" s="1"/>
  <c r="T88" i="22" s="1"/>
  <c r="Q82" i="13"/>
  <c r="S82" i="13" s="1"/>
  <c r="O85" i="13"/>
  <c r="D84" i="27"/>
  <c r="K83" i="13"/>
  <c r="M83" i="13" s="1"/>
  <c r="A85" i="27"/>
  <c r="I86" i="13"/>
  <c r="E82" i="13"/>
  <c r="G82" i="13" s="1"/>
  <c r="A84" i="25"/>
  <c r="B85" i="13"/>
  <c r="D83" i="26"/>
  <c r="C83" i="26"/>
  <c r="A84" i="12"/>
  <c r="L85" i="12"/>
  <c r="AD81" i="12"/>
  <c r="W84" i="12"/>
  <c r="A84" i="26"/>
  <c r="E87" i="5"/>
  <c r="F87" i="5" s="1"/>
  <c r="N84" i="10"/>
  <c r="I85" i="10"/>
  <c r="D84" i="10"/>
  <c r="E88" i="4"/>
  <c r="F88" i="4" s="1"/>
  <c r="H81" i="12"/>
  <c r="S82" i="12"/>
  <c r="E87" i="3"/>
  <c r="F87" i="3" s="1"/>
  <c r="J87" i="4" l="1"/>
  <c r="S88" i="22" s="1"/>
  <c r="U88" i="22" s="1"/>
  <c r="J86" i="3"/>
  <c r="D87" i="22" s="1"/>
  <c r="G86" i="22"/>
  <c r="J86" i="5"/>
  <c r="AH87" i="22" s="1"/>
  <c r="AJ87" i="22" s="1"/>
  <c r="AK87" i="22" s="1"/>
  <c r="AK86" i="22"/>
  <c r="V88" i="22"/>
  <c r="V87" i="22"/>
  <c r="F87" i="22"/>
  <c r="E87" i="22"/>
  <c r="K86" i="5"/>
  <c r="M86" i="5" s="1"/>
  <c r="N84" i="5"/>
  <c r="O84" i="5" s="1"/>
  <c r="M86" i="4"/>
  <c r="N85" i="4"/>
  <c r="O85" i="4" s="1"/>
  <c r="P86" i="4"/>
  <c r="K87" i="4"/>
  <c r="L87" i="4" s="1"/>
  <c r="H87" i="3"/>
  <c r="I87" i="3"/>
  <c r="C88" i="22" s="1"/>
  <c r="E88" i="22" s="1"/>
  <c r="H88" i="4"/>
  <c r="I88" i="4"/>
  <c r="R89" i="22" s="1"/>
  <c r="I87" i="5"/>
  <c r="AG88" i="22" s="1"/>
  <c r="H87" i="5"/>
  <c r="N86" i="4"/>
  <c r="O86" i="4" s="1"/>
  <c r="N84" i="3"/>
  <c r="O84" i="3" s="1"/>
  <c r="L85" i="3"/>
  <c r="M85" i="3"/>
  <c r="P85" i="3"/>
  <c r="K86" i="3"/>
  <c r="M85" i="5"/>
  <c r="L85" i="5"/>
  <c r="P85" i="5"/>
  <c r="Q83" i="13"/>
  <c r="S83" i="13" s="1"/>
  <c r="O86" i="13"/>
  <c r="D85" i="27"/>
  <c r="A86" i="27"/>
  <c r="D86" i="27" s="1"/>
  <c r="I87" i="13"/>
  <c r="K84" i="13"/>
  <c r="M84" i="13" s="1"/>
  <c r="E83" i="13"/>
  <c r="G83" i="13" s="1"/>
  <c r="A85" i="25"/>
  <c r="D85" i="25" s="1"/>
  <c r="B86" i="13"/>
  <c r="D84" i="25"/>
  <c r="D84" i="26"/>
  <c r="C84" i="26"/>
  <c r="A85" i="12"/>
  <c r="L86" i="12"/>
  <c r="W85" i="12"/>
  <c r="AD82" i="12"/>
  <c r="N85" i="10"/>
  <c r="E88" i="5"/>
  <c r="F88" i="5" s="1"/>
  <c r="A85" i="26"/>
  <c r="I86" i="10"/>
  <c r="D85" i="10"/>
  <c r="H82" i="12"/>
  <c r="S83" i="12"/>
  <c r="E88" i="3"/>
  <c r="F88" i="3" s="1"/>
  <c r="E89" i="4"/>
  <c r="F89" i="4" s="1"/>
  <c r="G87" i="22" l="1"/>
  <c r="P86" i="5"/>
  <c r="J87" i="5"/>
  <c r="AH88" i="22" s="1"/>
  <c r="AJ88" i="22" s="1"/>
  <c r="AI88" i="22"/>
  <c r="J88" i="4"/>
  <c r="S89" i="22" s="1"/>
  <c r="U89" i="22"/>
  <c r="T89" i="22"/>
  <c r="V89" i="22" s="1"/>
  <c r="J87" i="3"/>
  <c r="D88" i="22" s="1"/>
  <c r="N85" i="3"/>
  <c r="O85" i="3" s="1"/>
  <c r="F88" i="22"/>
  <c r="G88" i="22" s="1"/>
  <c r="L86" i="5"/>
  <c r="N86" i="5" s="1"/>
  <c r="O86" i="5" s="1"/>
  <c r="N85" i="5"/>
  <c r="O85" i="5" s="1"/>
  <c r="P87" i="4"/>
  <c r="M87" i="4"/>
  <c r="N87" i="4" s="1"/>
  <c r="O87" i="4" s="1"/>
  <c r="K87" i="5"/>
  <c r="P87" i="5" s="1"/>
  <c r="L86" i="3"/>
  <c r="M86" i="3"/>
  <c r="P86" i="3"/>
  <c r="M87" i="5"/>
  <c r="K88" i="4"/>
  <c r="K87" i="3"/>
  <c r="H88" i="5"/>
  <c r="I88" i="5"/>
  <c r="AG89" i="22" s="1"/>
  <c r="AI89" i="22" s="1"/>
  <c r="I88" i="3"/>
  <c r="C89" i="22" s="1"/>
  <c r="E89" i="22" s="1"/>
  <c r="H88" i="3"/>
  <c r="J88" i="3"/>
  <c r="D89" i="22" s="1"/>
  <c r="H89" i="4"/>
  <c r="I89" i="4"/>
  <c r="R90" i="22" s="1"/>
  <c r="T90" i="22" s="1"/>
  <c r="O87" i="13"/>
  <c r="Q84" i="13"/>
  <c r="S84" i="13" s="1"/>
  <c r="A87" i="27"/>
  <c r="D87" i="27" s="1"/>
  <c r="I88" i="13"/>
  <c r="K85" i="13"/>
  <c r="M85" i="13" s="1"/>
  <c r="E84" i="13"/>
  <c r="G84" i="13" s="1"/>
  <c r="A86" i="25"/>
  <c r="D86" i="25" s="1"/>
  <c r="B87" i="13"/>
  <c r="D85" i="26"/>
  <c r="C85" i="26"/>
  <c r="S84" i="12"/>
  <c r="A86" i="12"/>
  <c r="L87" i="12"/>
  <c r="AD83" i="12"/>
  <c r="W86" i="12"/>
  <c r="N86" i="10"/>
  <c r="A86" i="26"/>
  <c r="E89" i="5"/>
  <c r="F89" i="5" s="1"/>
  <c r="I87" i="10"/>
  <c r="D86" i="10"/>
  <c r="H83" i="12"/>
  <c r="E90" i="4"/>
  <c r="F90" i="4" s="1"/>
  <c r="E89" i="3"/>
  <c r="F89" i="3" s="1"/>
  <c r="J88" i="5" l="1"/>
  <c r="AH89" i="22" s="1"/>
  <c r="AK88" i="22"/>
  <c r="AJ89" i="22"/>
  <c r="AK89" i="22" s="1"/>
  <c r="J89" i="4"/>
  <c r="S90" i="22" s="1"/>
  <c r="U90" i="22" s="1"/>
  <c r="V90" i="22" s="1"/>
  <c r="F89" i="22"/>
  <c r="G89" i="22" s="1"/>
  <c r="N86" i="3"/>
  <c r="O86" i="3" s="1"/>
  <c r="L87" i="5"/>
  <c r="N87" i="5" s="1"/>
  <c r="O87" i="5" s="1"/>
  <c r="K88" i="5"/>
  <c r="P88" i="5" s="1"/>
  <c r="K88" i="3"/>
  <c r="L87" i="3"/>
  <c r="M87" i="3"/>
  <c r="P87" i="3"/>
  <c r="H89" i="3"/>
  <c r="I89" i="3"/>
  <c r="C90" i="22" s="1"/>
  <c r="E90" i="22" s="1"/>
  <c r="K89" i="4"/>
  <c r="H90" i="4"/>
  <c r="I90" i="4"/>
  <c r="R91" i="22" s="1"/>
  <c r="J90" i="4"/>
  <c r="S91" i="22" s="1"/>
  <c r="J89" i="5"/>
  <c r="AH90" i="22" s="1"/>
  <c r="AJ90" i="22" s="1"/>
  <c r="H89" i="5"/>
  <c r="I89" i="5"/>
  <c r="AG90" i="22" s="1"/>
  <c r="M88" i="4"/>
  <c r="L88" i="4"/>
  <c r="P88" i="4"/>
  <c r="O88" i="13"/>
  <c r="Q85" i="13"/>
  <c r="S85" i="13" s="1"/>
  <c r="Q86" i="13"/>
  <c r="S86" i="13" s="1"/>
  <c r="S85" i="12"/>
  <c r="K86" i="13"/>
  <c r="M86" i="13" s="1"/>
  <c r="A88" i="27"/>
  <c r="D88" i="27" s="1"/>
  <c r="I89" i="13"/>
  <c r="E85" i="13"/>
  <c r="G85" i="13" s="1"/>
  <c r="A87" i="25"/>
  <c r="D87" i="25" s="1"/>
  <c r="B88" i="13"/>
  <c r="D86" i="26"/>
  <c r="C86" i="26"/>
  <c r="A87" i="12"/>
  <c r="L88" i="12"/>
  <c r="W87" i="12"/>
  <c r="AD85" i="12"/>
  <c r="AD84" i="12"/>
  <c r="N87" i="10"/>
  <c r="E90" i="5"/>
  <c r="F90" i="5" s="1"/>
  <c r="A87" i="26"/>
  <c r="I88" i="10"/>
  <c r="D87" i="10"/>
  <c r="H84" i="12"/>
  <c r="E90" i="3"/>
  <c r="F90" i="3" s="1"/>
  <c r="E91" i="4"/>
  <c r="F91" i="4" s="1"/>
  <c r="N87" i="3" l="1"/>
  <c r="O87" i="3" s="1"/>
  <c r="AI90" i="22"/>
  <c r="AK90" i="22" s="1"/>
  <c r="U91" i="22"/>
  <c r="T91" i="22"/>
  <c r="V91" i="22" s="1"/>
  <c r="J89" i="3"/>
  <c r="D90" i="22" s="1"/>
  <c r="F90" i="22" s="1"/>
  <c r="G90" i="22" s="1"/>
  <c r="M88" i="5"/>
  <c r="L88" i="5"/>
  <c r="N88" i="4"/>
  <c r="O88" i="4" s="1"/>
  <c r="K89" i="5"/>
  <c r="P89" i="5" s="1"/>
  <c r="K90" i="4"/>
  <c r="L89" i="4"/>
  <c r="M89" i="4"/>
  <c r="P89" i="4"/>
  <c r="K89" i="3"/>
  <c r="L88" i="3"/>
  <c r="M88" i="3"/>
  <c r="P88" i="3"/>
  <c r="H90" i="5"/>
  <c r="I90" i="5"/>
  <c r="AG91" i="22" s="1"/>
  <c r="AI91" i="22" s="1"/>
  <c r="H91" i="4"/>
  <c r="I91" i="4"/>
  <c r="R92" i="22" s="1"/>
  <c r="T92" i="22" s="1"/>
  <c r="H90" i="3"/>
  <c r="I90" i="3"/>
  <c r="C91" i="22" s="1"/>
  <c r="O89" i="13"/>
  <c r="S86" i="12"/>
  <c r="K87" i="13"/>
  <c r="M87" i="13" s="1"/>
  <c r="A89" i="27"/>
  <c r="I90" i="13"/>
  <c r="E86" i="13"/>
  <c r="G86" i="13" s="1"/>
  <c r="A88" i="25"/>
  <c r="D88" i="25" s="1"/>
  <c r="B89" i="13"/>
  <c r="D87" i="26"/>
  <c r="C87" i="26"/>
  <c r="A88" i="12"/>
  <c r="L89" i="12"/>
  <c r="W88" i="12"/>
  <c r="A88" i="26"/>
  <c r="E91" i="5"/>
  <c r="F91" i="5" s="1"/>
  <c r="N88" i="10"/>
  <c r="I89" i="10"/>
  <c r="D88" i="10"/>
  <c r="H85" i="12"/>
  <c r="E91" i="3"/>
  <c r="F91" i="3" s="1"/>
  <c r="E92" i="4"/>
  <c r="F92" i="4" s="1"/>
  <c r="N88" i="5" l="1"/>
  <c r="O88" i="5" s="1"/>
  <c r="J90" i="5"/>
  <c r="AH91" i="22" s="1"/>
  <c r="AJ91" i="22" s="1"/>
  <c r="AK91" i="22" s="1"/>
  <c r="J91" i="4"/>
  <c r="S92" i="22" s="1"/>
  <c r="U92" i="22" s="1"/>
  <c r="V92" i="22" s="1"/>
  <c r="J90" i="3"/>
  <c r="D91" i="22" s="1"/>
  <c r="F91" i="22" s="1"/>
  <c r="E91" i="22"/>
  <c r="M89" i="5"/>
  <c r="L89" i="5"/>
  <c r="K90" i="5"/>
  <c r="P90" i="5" s="1"/>
  <c r="N89" i="4"/>
  <c r="O89" i="4" s="1"/>
  <c r="K91" i="4"/>
  <c r="M91" i="4" s="1"/>
  <c r="J91" i="5"/>
  <c r="AH92" i="22" s="1"/>
  <c r="AJ92" i="22" s="1"/>
  <c r="H91" i="5"/>
  <c r="I91" i="5"/>
  <c r="AG92" i="22" s="1"/>
  <c r="H91" i="3"/>
  <c r="I91" i="3"/>
  <c r="C92" i="22" s="1"/>
  <c r="J91" i="3"/>
  <c r="D92" i="22" s="1"/>
  <c r="K90" i="3"/>
  <c r="H92" i="4"/>
  <c r="I92" i="4"/>
  <c r="R93" i="22" s="1"/>
  <c r="N88" i="3"/>
  <c r="O88" i="3" s="1"/>
  <c r="M89" i="3"/>
  <c r="L89" i="3"/>
  <c r="P89" i="3"/>
  <c r="L90" i="4"/>
  <c r="M90" i="4"/>
  <c r="P90" i="4"/>
  <c r="Q87" i="13"/>
  <c r="S87" i="13" s="1"/>
  <c r="O90" i="13"/>
  <c r="D89" i="27"/>
  <c r="A90" i="27"/>
  <c r="D90" i="27" s="1"/>
  <c r="I91" i="13"/>
  <c r="K88" i="13"/>
  <c r="M88" i="13" s="1"/>
  <c r="E87" i="13"/>
  <c r="G87" i="13" s="1"/>
  <c r="A89" i="25"/>
  <c r="D89" i="25" s="1"/>
  <c r="B90" i="13"/>
  <c r="D88" i="26"/>
  <c r="C88" i="26"/>
  <c r="A89" i="12"/>
  <c r="L90" i="12"/>
  <c r="W89" i="12"/>
  <c r="A89" i="26"/>
  <c r="N89" i="10"/>
  <c r="AD86" i="12"/>
  <c r="E92" i="5"/>
  <c r="F92" i="5" s="1"/>
  <c r="I90" i="10"/>
  <c r="D89" i="10"/>
  <c r="H86" i="12"/>
  <c r="E93" i="4"/>
  <c r="F93" i="4" s="1"/>
  <c r="E92" i="3"/>
  <c r="F92" i="3" s="1"/>
  <c r="S87" i="12"/>
  <c r="N89" i="3" l="1"/>
  <c r="O89" i="3" s="1"/>
  <c r="AI92" i="22"/>
  <c r="AK92" i="22" s="1"/>
  <c r="J92" i="4"/>
  <c r="S93" i="22" s="1"/>
  <c r="U93" i="22" s="1"/>
  <c r="L91" i="4"/>
  <c r="N91" i="4" s="1"/>
  <c r="O91" i="4" s="1"/>
  <c r="T93" i="22"/>
  <c r="G91" i="22"/>
  <c r="E92" i="22"/>
  <c r="F92" i="22"/>
  <c r="N89" i="5"/>
  <c r="O89" i="5" s="1"/>
  <c r="L90" i="5"/>
  <c r="M90" i="5"/>
  <c r="P91" i="4"/>
  <c r="K92" i="4"/>
  <c r="M92" i="4" s="1"/>
  <c r="K91" i="3"/>
  <c r="N90" i="4"/>
  <c r="O90" i="4" s="1"/>
  <c r="K91" i="5"/>
  <c r="I92" i="3"/>
  <c r="C93" i="22" s="1"/>
  <c r="E93" i="22" s="1"/>
  <c r="H92" i="3"/>
  <c r="J92" i="3"/>
  <c r="D93" i="22" s="1"/>
  <c r="H93" i="4"/>
  <c r="I93" i="4"/>
  <c r="R94" i="22" s="1"/>
  <c r="T94" i="22" s="1"/>
  <c r="H92" i="5"/>
  <c r="I92" i="5"/>
  <c r="AG93" i="22" s="1"/>
  <c r="AI93" i="22" s="1"/>
  <c r="L90" i="3"/>
  <c r="M90" i="3"/>
  <c r="P90" i="3"/>
  <c r="O91" i="13"/>
  <c r="Q88" i="13"/>
  <c r="S88" i="13" s="1"/>
  <c r="A91" i="27"/>
  <c r="D91" i="27" s="1"/>
  <c r="I92" i="13"/>
  <c r="K89" i="13"/>
  <c r="M89" i="13" s="1"/>
  <c r="E88" i="13"/>
  <c r="G88" i="13" s="1"/>
  <c r="A90" i="25"/>
  <c r="D90" i="25" s="1"/>
  <c r="B91" i="13"/>
  <c r="D89" i="26"/>
  <c r="C89" i="26"/>
  <c r="A90" i="12"/>
  <c r="L91" i="12"/>
  <c r="W90" i="12"/>
  <c r="S88" i="12"/>
  <c r="N90" i="10"/>
  <c r="AD87" i="12"/>
  <c r="E93" i="5"/>
  <c r="F93" i="5" s="1"/>
  <c r="A90" i="26"/>
  <c r="I91" i="10"/>
  <c r="D90" i="10"/>
  <c r="H87" i="12"/>
  <c r="E93" i="3"/>
  <c r="F93" i="3" s="1"/>
  <c r="J92" i="5" l="1"/>
  <c r="AH93" i="22" s="1"/>
  <c r="AJ93" i="22" s="1"/>
  <c r="AK93" i="22" s="1"/>
  <c r="V93" i="22"/>
  <c r="J93" i="4"/>
  <c r="S94" i="22" s="1"/>
  <c r="U94" i="22" s="1"/>
  <c r="V94" i="22" s="1"/>
  <c r="G92" i="22"/>
  <c r="F93" i="22"/>
  <c r="G93" i="22" s="1"/>
  <c r="N90" i="5"/>
  <c r="O90" i="5" s="1"/>
  <c r="P92" i="4"/>
  <c r="L92" i="4"/>
  <c r="N92" i="4" s="1"/>
  <c r="O92" i="4" s="1"/>
  <c r="K93" i="4"/>
  <c r="M93" i="4" s="1"/>
  <c r="L91" i="3"/>
  <c r="M91" i="3"/>
  <c r="P91" i="3"/>
  <c r="H93" i="5"/>
  <c r="I93" i="5"/>
  <c r="AG94" i="22" s="1"/>
  <c r="AI94" i="22" s="1"/>
  <c r="N90" i="3"/>
  <c r="O90" i="3" s="1"/>
  <c r="K92" i="5"/>
  <c r="K92" i="3"/>
  <c r="L91" i="5"/>
  <c r="M91" i="5"/>
  <c r="P91" i="5"/>
  <c r="H93" i="3"/>
  <c r="I93" i="3"/>
  <c r="C94" i="22" s="1"/>
  <c r="E94" i="22" s="1"/>
  <c r="Q89" i="13"/>
  <c r="S89" i="13" s="1"/>
  <c r="O92" i="13"/>
  <c r="K90" i="13"/>
  <c r="M90" i="13" s="1"/>
  <c r="A92" i="27"/>
  <c r="C92" i="27" s="1"/>
  <c r="C91" i="27" s="1"/>
  <c r="C90" i="27" s="1"/>
  <c r="C89" i="27" s="1"/>
  <c r="C88" i="27" s="1"/>
  <c r="C87" i="27" s="1"/>
  <c r="C86" i="27" s="1"/>
  <c r="C85" i="27" s="1"/>
  <c r="C84" i="27" s="1"/>
  <c r="C83" i="27" s="1"/>
  <c r="C82" i="27" s="1"/>
  <c r="C81" i="27" s="1"/>
  <c r="C80" i="27" s="1"/>
  <c r="C79" i="27" s="1"/>
  <c r="C78" i="27" s="1"/>
  <c r="C77" i="27" s="1"/>
  <c r="C76" i="27" s="1"/>
  <c r="C75" i="27" s="1"/>
  <c r="C74" i="27" s="1"/>
  <c r="C73" i="27" s="1"/>
  <c r="C72" i="27" s="1"/>
  <c r="C71" i="27" s="1"/>
  <c r="C70" i="27" s="1"/>
  <c r="C69" i="27" s="1"/>
  <c r="C68" i="27" s="1"/>
  <c r="C67" i="27" s="1"/>
  <c r="C66" i="27" s="1"/>
  <c r="C65" i="27" s="1"/>
  <c r="C64" i="27" s="1"/>
  <c r="C63" i="27" s="1"/>
  <c r="C62" i="27" s="1"/>
  <c r="C61" i="27" s="1"/>
  <c r="C60" i="27" s="1"/>
  <c r="C59" i="27" s="1"/>
  <c r="C58" i="27" s="1"/>
  <c r="C57" i="27" s="1"/>
  <c r="C56" i="27" s="1"/>
  <c r="C55" i="27" s="1"/>
  <c r="C54" i="27" s="1"/>
  <c r="C53" i="27" s="1"/>
  <c r="C52" i="27" s="1"/>
  <c r="C51" i="27" s="1"/>
  <c r="C50" i="27" s="1"/>
  <c r="C49" i="27" s="1"/>
  <c r="C48" i="27" s="1"/>
  <c r="C47" i="27" s="1"/>
  <c r="C46" i="27" s="1"/>
  <c r="C45" i="27" s="1"/>
  <c r="C44" i="27" s="1"/>
  <c r="C43" i="27" s="1"/>
  <c r="C42" i="27" s="1"/>
  <c r="C41" i="27" s="1"/>
  <c r="C40" i="27" s="1"/>
  <c r="C39" i="27" s="1"/>
  <c r="C38" i="27" s="1"/>
  <c r="C37" i="27" s="1"/>
  <c r="C36" i="27" s="1"/>
  <c r="C35" i="27" s="1"/>
  <c r="C34" i="27" s="1"/>
  <c r="C33" i="27" s="1"/>
  <c r="C32" i="27" s="1"/>
  <c r="C31" i="27" s="1"/>
  <c r="C30" i="27" s="1"/>
  <c r="C29" i="27" s="1"/>
  <c r="C28" i="27" s="1"/>
  <c r="C27" i="27" s="1"/>
  <c r="C26" i="27" s="1"/>
  <c r="C25" i="27" s="1"/>
  <c r="C24" i="27" s="1"/>
  <c r="C23" i="27" s="1"/>
  <c r="C22" i="27" s="1"/>
  <c r="C21" i="27" s="1"/>
  <c r="C20" i="27" s="1"/>
  <c r="C19" i="27" s="1"/>
  <c r="C18" i="27" s="1"/>
  <c r="C17" i="27" s="1"/>
  <c r="C16" i="27" s="1"/>
  <c r="C15" i="27" s="1"/>
  <c r="C14" i="27" s="1"/>
  <c r="C13" i="27" s="1"/>
  <c r="C12" i="27" s="1"/>
  <c r="C11" i="27" s="1"/>
  <c r="C10" i="27" s="1"/>
  <c r="C9" i="27" s="1"/>
  <c r="C8" i="27" s="1"/>
  <c r="C7" i="27" s="1"/>
  <c r="C6" i="27" s="1"/>
  <c r="C5" i="27" s="1"/>
  <c r="C4" i="27" s="1"/>
  <c r="C3" i="27" s="1"/>
  <c r="I93" i="13"/>
  <c r="E89" i="13"/>
  <c r="G89" i="13" s="1"/>
  <c r="A91" i="25"/>
  <c r="D91" i="25" s="1"/>
  <c r="B92" i="13"/>
  <c r="D90" i="26"/>
  <c r="C90" i="26"/>
  <c r="A91" i="12"/>
  <c r="L92" i="12"/>
  <c r="AD88" i="12"/>
  <c r="W91" i="12"/>
  <c r="N91" i="10"/>
  <c r="A91" i="26"/>
  <c r="I92" i="10"/>
  <c r="D91" i="10"/>
  <c r="H88" i="12"/>
  <c r="J93" i="3" l="1"/>
  <c r="D94" i="22" s="1"/>
  <c r="F94" i="22" s="1"/>
  <c r="J93" i="5"/>
  <c r="AH94" i="22" s="1"/>
  <c r="AJ94" i="22" s="1"/>
  <c r="AK94" i="22" s="1"/>
  <c r="N91" i="3"/>
  <c r="O91" i="3" s="1"/>
  <c r="G94" i="22"/>
  <c r="L93" i="4"/>
  <c r="N91" i="5"/>
  <c r="O91" i="5" s="1"/>
  <c r="P93" i="4"/>
  <c r="K93" i="3"/>
  <c r="N93" i="4"/>
  <c r="O93" i="4" s="1"/>
  <c r="M92" i="5"/>
  <c r="L92" i="5"/>
  <c r="P92" i="5"/>
  <c r="K93" i="5"/>
  <c r="L92" i="3"/>
  <c r="M92" i="3"/>
  <c r="P92" i="3"/>
  <c r="Q90" i="13"/>
  <c r="S90" i="13" s="1"/>
  <c r="O93" i="13"/>
  <c r="D92" i="27"/>
  <c r="K91" i="13"/>
  <c r="M91" i="13" s="1"/>
  <c r="E90" i="13"/>
  <c r="G90" i="13" s="1"/>
  <c r="A92" i="25"/>
  <c r="C92" i="25" s="1"/>
  <c r="C91" i="25" s="1"/>
  <c r="C90" i="25" s="1"/>
  <c r="C89" i="25" s="1"/>
  <c r="C88" i="25" s="1"/>
  <c r="C87" i="25" s="1"/>
  <c r="C86" i="25" s="1"/>
  <c r="C85" i="25" s="1"/>
  <c r="C84" i="25" s="1"/>
  <c r="C83" i="25" s="1"/>
  <c r="C82" i="25" s="1"/>
  <c r="C81" i="25" s="1"/>
  <c r="C80" i="25" s="1"/>
  <c r="C79" i="25" s="1"/>
  <c r="C78" i="25" s="1"/>
  <c r="C77" i="25" s="1"/>
  <c r="C76" i="25" s="1"/>
  <c r="C75" i="25" s="1"/>
  <c r="C74" i="25" s="1"/>
  <c r="C73" i="25" s="1"/>
  <c r="C72" i="25" s="1"/>
  <c r="C71" i="25" s="1"/>
  <c r="C70" i="25" s="1"/>
  <c r="C69" i="25" s="1"/>
  <c r="C68" i="25" s="1"/>
  <c r="C67" i="25" s="1"/>
  <c r="C66" i="25" s="1"/>
  <c r="C65" i="25" s="1"/>
  <c r="C64" i="25" s="1"/>
  <c r="C63" i="25" s="1"/>
  <c r="C62" i="25" s="1"/>
  <c r="C61" i="25" s="1"/>
  <c r="C60" i="25" s="1"/>
  <c r="C59" i="25" s="1"/>
  <c r="C58" i="25" s="1"/>
  <c r="C57" i="25" s="1"/>
  <c r="C56" i="25" s="1"/>
  <c r="C55" i="25" s="1"/>
  <c r="C54" i="25" s="1"/>
  <c r="C53" i="25" s="1"/>
  <c r="C52" i="25" s="1"/>
  <c r="C51" i="25" s="1"/>
  <c r="C50" i="25" s="1"/>
  <c r="C49" i="25" s="1"/>
  <c r="C48" i="25" s="1"/>
  <c r="C47" i="25" s="1"/>
  <c r="C46" i="25" s="1"/>
  <c r="C45" i="25" s="1"/>
  <c r="C44" i="25" s="1"/>
  <c r="C43" i="25" s="1"/>
  <c r="C42" i="25" s="1"/>
  <c r="C41" i="25" s="1"/>
  <c r="C40" i="25" s="1"/>
  <c r="C39" i="25" s="1"/>
  <c r="C38" i="25" s="1"/>
  <c r="C37" i="25" s="1"/>
  <c r="C36" i="25" s="1"/>
  <c r="C35" i="25" s="1"/>
  <c r="C34" i="25" s="1"/>
  <c r="C33" i="25" s="1"/>
  <c r="C32" i="25" s="1"/>
  <c r="C31" i="25" s="1"/>
  <c r="C30" i="25" s="1"/>
  <c r="C29" i="25" s="1"/>
  <c r="C28" i="25" s="1"/>
  <c r="C27" i="25" s="1"/>
  <c r="C26" i="25" s="1"/>
  <c r="C25" i="25" s="1"/>
  <c r="C24" i="25" s="1"/>
  <c r="C23" i="25" s="1"/>
  <c r="C22" i="25" s="1"/>
  <c r="C21" i="25" s="1"/>
  <c r="C20" i="25" s="1"/>
  <c r="C19" i="25" s="1"/>
  <c r="C18" i="25" s="1"/>
  <c r="C17" i="25" s="1"/>
  <c r="C16" i="25" s="1"/>
  <c r="C15" i="25" s="1"/>
  <c r="C14" i="25" s="1"/>
  <c r="C13" i="25" s="1"/>
  <c r="C12" i="25" s="1"/>
  <c r="C11" i="25" s="1"/>
  <c r="C10" i="25" s="1"/>
  <c r="C9" i="25" s="1"/>
  <c r="C8" i="25" s="1"/>
  <c r="C7" i="25" s="1"/>
  <c r="C6" i="25" s="1"/>
  <c r="C5" i="25" s="1"/>
  <c r="C4" i="25" s="1"/>
  <c r="C3" i="25" s="1"/>
  <c r="B93" i="13"/>
  <c r="D91" i="26"/>
  <c r="C91" i="26"/>
  <c r="A92" i="12"/>
  <c r="S89" i="12"/>
  <c r="AD89" i="12"/>
  <c r="W92" i="12"/>
  <c r="A92" i="26"/>
  <c r="N92" i="10"/>
  <c r="D92" i="10"/>
  <c r="H89" i="12"/>
  <c r="N92" i="5" l="1"/>
  <c r="O92" i="5" s="1"/>
  <c r="M93" i="3"/>
  <c r="L93" i="3"/>
  <c r="P93" i="3"/>
  <c r="N92" i="3"/>
  <c r="O92" i="3" s="1"/>
  <c r="M93" i="5"/>
  <c r="L93" i="5"/>
  <c r="P93" i="5"/>
  <c r="D92" i="25"/>
  <c r="AD90" i="12"/>
  <c r="Q91" i="13"/>
  <c r="S91" i="13" s="1"/>
  <c r="K92" i="13"/>
  <c r="M92" i="13" s="1"/>
  <c r="H90" i="12"/>
  <c r="E91" i="13"/>
  <c r="G91" i="13" s="1"/>
  <c r="C92" i="26"/>
  <c r="S90" i="12"/>
  <c r="D92" i="26"/>
  <c r="S91" i="12"/>
  <c r="N93" i="5" l="1"/>
  <c r="O93" i="5" s="1"/>
  <c r="N93" i="3"/>
  <c r="O93" i="3" s="1"/>
  <c r="Q93" i="13"/>
  <c r="S93" i="13" s="1"/>
  <c r="Q92" i="13"/>
  <c r="S92" i="13" s="1"/>
  <c r="S92" i="12"/>
  <c r="K93" i="13"/>
  <c r="M93" i="13" s="1"/>
  <c r="E92" i="13"/>
  <c r="G92" i="13" s="1"/>
  <c r="AD91" i="12"/>
  <c r="AD92" i="12"/>
  <c r="H91" i="12"/>
  <c r="E93" i="13" l="1"/>
  <c r="G93" i="13" s="1"/>
  <c r="H92" i="12"/>
  <c r="B5" i="4" l="1"/>
  <c r="B3" i="4"/>
  <c r="J3" i="5"/>
  <c r="AH4" i="22" s="1"/>
  <c r="AH5" i="22"/>
  <c r="AJ6" i="22" s="1"/>
  <c r="AK6" i="22" s="1"/>
  <c r="AL6" i="22" s="1"/>
  <c r="J3" i="4"/>
  <c r="S4" i="22" s="1"/>
  <c r="S5" i="22"/>
  <c r="U6" i="22" s="1"/>
  <c r="V6" i="22" s="1"/>
  <c r="W6" i="22" s="1"/>
  <c r="I5" i="22"/>
  <c r="AM5" i="22" l="1"/>
  <c r="X5" i="22"/>
  <c r="AJ4" i="22"/>
  <c r="AK4" i="22" s="1"/>
  <c r="AL4" i="22" s="1"/>
  <c r="AJ5" i="22"/>
  <c r="AK5" i="22" s="1"/>
  <c r="AL5" i="22" s="1"/>
  <c r="U4" i="22"/>
  <c r="V4" i="22" s="1"/>
  <c r="W4" i="22" s="1"/>
  <c r="U5" i="22"/>
  <c r="V5" i="22" s="1"/>
  <c r="W5" i="22" s="1"/>
  <c r="K3" i="5"/>
  <c r="J3" i="3"/>
  <c r="D4" i="22" s="1"/>
  <c r="F4" i="22" l="1"/>
  <c r="G4" i="22" s="1"/>
  <c r="H4" i="22" s="1"/>
  <c r="F5" i="22"/>
  <c r="G5" i="22" s="1"/>
  <c r="H5" i="22" s="1"/>
  <c r="AN6" i="22"/>
  <c r="AO6" i="22" s="1"/>
  <c r="AN7" i="22"/>
  <c r="AO7" i="22" s="1"/>
  <c r="AN8" i="22"/>
  <c r="AO8" i="22" s="1"/>
  <c r="AN9" i="22"/>
  <c r="AO9" i="22" s="1"/>
  <c r="AN10" i="22"/>
  <c r="AO10" i="22" s="1"/>
  <c r="AN11" i="22"/>
  <c r="AO11" i="22" s="1"/>
  <c r="AN12" i="22"/>
  <c r="AO12" i="22" s="1"/>
  <c r="AN13" i="22"/>
  <c r="AO13" i="22" s="1"/>
  <c r="AN14" i="22"/>
  <c r="AO14" i="22" s="1"/>
  <c r="AN15" i="22"/>
  <c r="AO15" i="22" s="1"/>
  <c r="AN16" i="22"/>
  <c r="AO16" i="22" s="1"/>
  <c r="AN17" i="22"/>
  <c r="AO17" i="22" s="1"/>
  <c r="AN18" i="22"/>
  <c r="AO18" i="22" s="1"/>
  <c r="AN19" i="22"/>
  <c r="AO19" i="22" s="1"/>
  <c r="AN20" i="22"/>
  <c r="AO20" i="22" s="1"/>
  <c r="AN21" i="22"/>
  <c r="AO21" i="22" s="1"/>
  <c r="AN22" i="22"/>
  <c r="AO22" i="22" s="1"/>
  <c r="AN23" i="22"/>
  <c r="AO23" i="22" s="1"/>
  <c r="AN24" i="22"/>
  <c r="AO24" i="22" s="1"/>
  <c r="AN25" i="22"/>
  <c r="AO25" i="22" s="1"/>
  <c r="AN26" i="22"/>
  <c r="AO26" i="22" s="1"/>
  <c r="AN27" i="22"/>
  <c r="AO27" i="22" s="1"/>
  <c r="AN28" i="22"/>
  <c r="AO28" i="22" s="1"/>
  <c r="AN29" i="22"/>
  <c r="AO29" i="22" s="1"/>
  <c r="AN30" i="22"/>
  <c r="AO30" i="22" s="1"/>
  <c r="AN31" i="22"/>
  <c r="AO31" i="22" s="1"/>
  <c r="AN32" i="22"/>
  <c r="AO32" i="22" s="1"/>
  <c r="AN33" i="22"/>
  <c r="AO33" i="22" s="1"/>
  <c r="AN34" i="22"/>
  <c r="AO34" i="22" s="1"/>
  <c r="AN35" i="22"/>
  <c r="AO35" i="22" s="1"/>
  <c r="AN36" i="22"/>
  <c r="AO36" i="22" s="1"/>
  <c r="AN37" i="22"/>
  <c r="AO37" i="22" s="1"/>
  <c r="AN38" i="22"/>
  <c r="AO38" i="22" s="1"/>
  <c r="AN91" i="22"/>
  <c r="AO91" i="22" s="1"/>
  <c r="AN49" i="22"/>
  <c r="AO49" i="22" s="1"/>
  <c r="AN72" i="22"/>
  <c r="AO72" i="22" s="1"/>
  <c r="AN93" i="22"/>
  <c r="AO93" i="22" s="1"/>
  <c r="AN86" i="22"/>
  <c r="AO86" i="22" s="1"/>
  <c r="AN62" i="22"/>
  <c r="AO62" i="22" s="1"/>
  <c r="AN63" i="22"/>
  <c r="AO63" i="22" s="1"/>
  <c r="AN77" i="22"/>
  <c r="AO77" i="22" s="1"/>
  <c r="AN87" i="22"/>
  <c r="AO87" i="22" s="1"/>
  <c r="AN60" i="22"/>
  <c r="AO60" i="22" s="1"/>
  <c r="AN88" i="22"/>
  <c r="AO88" i="22" s="1"/>
  <c r="AN48" i="22"/>
  <c r="AO48" i="22" s="1"/>
  <c r="AN59" i="22"/>
  <c r="AO59" i="22" s="1"/>
  <c r="AN92" i="22"/>
  <c r="AO92" i="22" s="1"/>
  <c r="AN55" i="22"/>
  <c r="AO55" i="22" s="1"/>
  <c r="AN67" i="22"/>
  <c r="AO67" i="22" s="1"/>
  <c r="AN85" i="22"/>
  <c r="AO85" i="22" s="1"/>
  <c r="AN52" i="22"/>
  <c r="AO52" i="22" s="1"/>
  <c r="AN83" i="22"/>
  <c r="AO83" i="22" s="1"/>
  <c r="AN45" i="22"/>
  <c r="AO45" i="22" s="1"/>
  <c r="AN76" i="22"/>
  <c r="AO76" i="22" s="1"/>
  <c r="AN50" i="22"/>
  <c r="AO50" i="22" s="1"/>
  <c r="AN90" i="22"/>
  <c r="AO90" i="22" s="1"/>
  <c r="AN71" i="22"/>
  <c r="AO71" i="22" s="1"/>
  <c r="AN51" i="22"/>
  <c r="AO51" i="22" s="1"/>
  <c r="AN84" i="22"/>
  <c r="AO84" i="22" s="1"/>
  <c r="AN69" i="22"/>
  <c r="AO69" i="22" s="1"/>
  <c r="AN39" i="22"/>
  <c r="AO39" i="22" s="1"/>
  <c r="AN81" i="22"/>
  <c r="AO81" i="22" s="1"/>
  <c r="AN73" i="22"/>
  <c r="AO73" i="22" s="1"/>
  <c r="AN43" i="22"/>
  <c r="AO43" i="22" s="1"/>
  <c r="AN57" i="22"/>
  <c r="AO57" i="22" s="1"/>
  <c r="AN47" i="22"/>
  <c r="AO47" i="22" s="1"/>
  <c r="AN40" i="22"/>
  <c r="AO40" i="22" s="1"/>
  <c r="AN82" i="22"/>
  <c r="AO82" i="22" s="1"/>
  <c r="AN42" i="22"/>
  <c r="AO42" i="22" s="1"/>
  <c r="AN68" i="22"/>
  <c r="AO68" i="22" s="1"/>
  <c r="AN89" i="22"/>
  <c r="AO89" i="22" s="1"/>
  <c r="AN94" i="22"/>
  <c r="AO94" i="22" s="1"/>
  <c r="AN80" i="22"/>
  <c r="AO80" i="22" s="1"/>
  <c r="AN75" i="22"/>
  <c r="AO75" i="22" s="1"/>
  <c r="AN78" i="22"/>
  <c r="AO78" i="22" s="1"/>
  <c r="AN44" i="22"/>
  <c r="AO44" i="22" s="1"/>
  <c r="AN41" i="22"/>
  <c r="AO41" i="22" s="1"/>
  <c r="AN70" i="22"/>
  <c r="AO70" i="22" s="1"/>
  <c r="AN79" i="22"/>
  <c r="AO79" i="22" s="1"/>
  <c r="AN56" i="22"/>
  <c r="AO56" i="22" s="1"/>
  <c r="AN58" i="22"/>
  <c r="AO58" i="22" s="1"/>
  <c r="AN54" i="22"/>
  <c r="AO54" i="22" s="1"/>
  <c r="AN53" i="22"/>
  <c r="AO53" i="22" s="1"/>
  <c r="AN64" i="22"/>
  <c r="AO64" i="22" s="1"/>
  <c r="AN65" i="22"/>
  <c r="AO65" i="22" s="1"/>
  <c r="AN74" i="22"/>
  <c r="AO74" i="22" s="1"/>
  <c r="AN66" i="22"/>
  <c r="AO66" i="22" s="1"/>
  <c r="AN61" i="22"/>
  <c r="AO61" i="22" s="1"/>
  <c r="AN46" i="22"/>
  <c r="AO46" i="22" s="1"/>
  <c r="Y6" i="22"/>
  <c r="Z6" i="22" s="1"/>
  <c r="Y7" i="22"/>
  <c r="Z7" i="22" s="1"/>
  <c r="Y8" i="22"/>
  <c r="Z8" i="22" s="1"/>
  <c r="Y9" i="22"/>
  <c r="Z9" i="22" s="1"/>
  <c r="Y10" i="22"/>
  <c r="Z10" i="22" s="1"/>
  <c r="Y11" i="22"/>
  <c r="Z11" i="22" s="1"/>
  <c r="Y12" i="22"/>
  <c r="Z12" i="22" s="1"/>
  <c r="Y13" i="22"/>
  <c r="Z13" i="22" s="1"/>
  <c r="Y14" i="22"/>
  <c r="Z14" i="22" s="1"/>
  <c r="Y15" i="22"/>
  <c r="Z15" i="22" s="1"/>
  <c r="Y16" i="22"/>
  <c r="Z16" i="22" s="1"/>
  <c r="Y17" i="22"/>
  <c r="Z17" i="22" s="1"/>
  <c r="Y18" i="22"/>
  <c r="Z18" i="22" s="1"/>
  <c r="Y19" i="22"/>
  <c r="Z19" i="22" s="1"/>
  <c r="Y20" i="22"/>
  <c r="Z20" i="22" s="1"/>
  <c r="Y21" i="22"/>
  <c r="Z21" i="22" s="1"/>
  <c r="Y22" i="22"/>
  <c r="Z22" i="22" s="1"/>
  <c r="Y23" i="22"/>
  <c r="Z23" i="22" s="1"/>
  <c r="Y24" i="22"/>
  <c r="Z24" i="22" s="1"/>
  <c r="Y25" i="22"/>
  <c r="Z25" i="22" s="1"/>
  <c r="Y26" i="22"/>
  <c r="Z26" i="22" s="1"/>
  <c r="Y27" i="22"/>
  <c r="Z27" i="22" s="1"/>
  <c r="Y28" i="22"/>
  <c r="Z28" i="22" s="1"/>
  <c r="Y29" i="22"/>
  <c r="Z29" i="22" s="1"/>
  <c r="Y30" i="22"/>
  <c r="Z30" i="22" s="1"/>
  <c r="Y31" i="22"/>
  <c r="Z31" i="22" s="1"/>
  <c r="Y32" i="22"/>
  <c r="Z32" i="22" s="1"/>
  <c r="Y33" i="22"/>
  <c r="Z33" i="22" s="1"/>
  <c r="Y34" i="22"/>
  <c r="Z34" i="22" s="1"/>
  <c r="Y35" i="22"/>
  <c r="Z35" i="22" s="1"/>
  <c r="Y36" i="22"/>
  <c r="Z36" i="22" s="1"/>
  <c r="Y37" i="22"/>
  <c r="Z37" i="22" s="1"/>
  <c r="Y38" i="22"/>
  <c r="Z38" i="22" s="1"/>
  <c r="Y39" i="22"/>
  <c r="Z39" i="22" s="1"/>
  <c r="Y56" i="22"/>
  <c r="Z56" i="22" s="1"/>
  <c r="Y58" i="22"/>
  <c r="Z58" i="22" s="1"/>
  <c r="Y73" i="22"/>
  <c r="Z73" i="22" s="1"/>
  <c r="Y85" i="22"/>
  <c r="Z85" i="22" s="1"/>
  <c r="Y76" i="22"/>
  <c r="Z76" i="22" s="1"/>
  <c r="Y59" i="22"/>
  <c r="Z59" i="22" s="1"/>
  <c r="Y81" i="22"/>
  <c r="Z81" i="22" s="1"/>
  <c r="Y65" i="22"/>
  <c r="Z65" i="22" s="1"/>
  <c r="Y90" i="22"/>
  <c r="Z90" i="22" s="1"/>
  <c r="Y89" i="22"/>
  <c r="Z89" i="22" s="1"/>
  <c r="Y84" i="22"/>
  <c r="Z84" i="22" s="1"/>
  <c r="Y42" i="22"/>
  <c r="Z42" i="22" s="1"/>
  <c r="Y74" i="22"/>
  <c r="Z74" i="22" s="1"/>
  <c r="Y47" i="22"/>
  <c r="Z47" i="22" s="1"/>
  <c r="Y62" i="22"/>
  <c r="Z62" i="22" s="1"/>
  <c r="Y91" i="22"/>
  <c r="Z91" i="22" s="1"/>
  <c r="Y57" i="22"/>
  <c r="Z57" i="22" s="1"/>
  <c r="Y92" i="22"/>
  <c r="Z92" i="22" s="1"/>
  <c r="Y52" i="22"/>
  <c r="Z52" i="22" s="1"/>
  <c r="Y66" i="22"/>
  <c r="Z66" i="22" s="1"/>
  <c r="Y82" i="22"/>
  <c r="Z82" i="22" s="1"/>
  <c r="Y77" i="22"/>
  <c r="Z77" i="22" s="1"/>
  <c r="Y45" i="22"/>
  <c r="Z45" i="22" s="1"/>
  <c r="Y50" i="22"/>
  <c r="Z50" i="22" s="1"/>
  <c r="Y69" i="22"/>
  <c r="Z69" i="22" s="1"/>
  <c r="Y40" i="22"/>
  <c r="Z40" i="22" s="1"/>
  <c r="Y53" i="22"/>
  <c r="Z53" i="22" s="1"/>
  <c r="Y55" i="22"/>
  <c r="Z55" i="22" s="1"/>
  <c r="Y70" i="22"/>
  <c r="Z70" i="22" s="1"/>
  <c r="Y87" i="22"/>
  <c r="Z87" i="22" s="1"/>
  <c r="Y41" i="22"/>
  <c r="Z41" i="22" s="1"/>
  <c r="Y86" i="22"/>
  <c r="Z86" i="22" s="1"/>
  <c r="Y67" i="22"/>
  <c r="Z67" i="22" s="1"/>
  <c r="Y49" i="22"/>
  <c r="Z49" i="22" s="1"/>
  <c r="Y88" i="22"/>
  <c r="Z88" i="22" s="1"/>
  <c r="Y94" i="22"/>
  <c r="Z94" i="22" s="1"/>
  <c r="Y43" i="22"/>
  <c r="Z43" i="22" s="1"/>
  <c r="Y93" i="22"/>
  <c r="Z93" i="22" s="1"/>
  <c r="Y64" i="22"/>
  <c r="Z64" i="22" s="1"/>
  <c r="Y72" i="22"/>
  <c r="Z72" i="22" s="1"/>
  <c r="Y54" i="22"/>
  <c r="Z54" i="22" s="1"/>
  <c r="Y63" i="22"/>
  <c r="Z63" i="22" s="1"/>
  <c r="Y80" i="22"/>
  <c r="Z80" i="22" s="1"/>
  <c r="Y46" i="22"/>
  <c r="Z46" i="22" s="1"/>
  <c r="Y60" i="22"/>
  <c r="Z60" i="22" s="1"/>
  <c r="Y71" i="22"/>
  <c r="Z71" i="22" s="1"/>
  <c r="Y48" i="22"/>
  <c r="Z48" i="22" s="1"/>
  <c r="Y83" i="22"/>
  <c r="Z83" i="22" s="1"/>
  <c r="Y79" i="22"/>
  <c r="Z79" i="22" s="1"/>
  <c r="Y61" i="22"/>
  <c r="Z61" i="22" s="1"/>
  <c r="Y51" i="22"/>
  <c r="Z51" i="22" s="1"/>
  <c r="Y68" i="22"/>
  <c r="Z68" i="22" s="1"/>
  <c r="Y75" i="22"/>
  <c r="Z75" i="22" s="1"/>
  <c r="Y78" i="22"/>
  <c r="Z78" i="22" s="1"/>
  <c r="Y44" i="22"/>
  <c r="Z44" i="22" s="1"/>
  <c r="AR6" i="22"/>
  <c r="B13" i="5" s="1"/>
  <c r="AN4" i="22"/>
  <c r="AN5" i="22"/>
  <c r="AO5" i="22" s="1"/>
  <c r="AM4" i="22"/>
  <c r="AC6" i="22"/>
  <c r="B13" i="4" s="1"/>
  <c r="B38" i="4" s="1"/>
  <c r="Y4" i="22"/>
  <c r="Y5" i="22"/>
  <c r="Z5" i="22" s="1"/>
  <c r="X4" i="22"/>
  <c r="M3" i="5"/>
  <c r="L3" i="5"/>
  <c r="K3" i="3"/>
  <c r="L3" i="3" s="1"/>
  <c r="P3" i="5"/>
  <c r="J5" i="22" l="1"/>
  <c r="K5" i="22" s="1"/>
  <c r="J7" i="22"/>
  <c r="K7" i="22" s="1"/>
  <c r="J6" i="22"/>
  <c r="K6" i="22" s="1"/>
  <c r="J8" i="22"/>
  <c r="K8" i="22" s="1"/>
  <c r="J9" i="22"/>
  <c r="K9" i="22" s="1"/>
  <c r="J10" i="22"/>
  <c r="K10" i="22" s="1"/>
  <c r="J11" i="22"/>
  <c r="K11" i="22" s="1"/>
  <c r="J12" i="22"/>
  <c r="K12" i="22" s="1"/>
  <c r="J13" i="22"/>
  <c r="K13" i="22" s="1"/>
  <c r="J14" i="22"/>
  <c r="K14" i="22" s="1"/>
  <c r="J15" i="22"/>
  <c r="K15" i="22" s="1"/>
  <c r="J17" i="22"/>
  <c r="K17" i="22" s="1"/>
  <c r="J16" i="22"/>
  <c r="K16" i="22" s="1"/>
  <c r="J18" i="22"/>
  <c r="K18" i="22" s="1"/>
  <c r="J20" i="22"/>
  <c r="K20" i="22" s="1"/>
  <c r="J19" i="22"/>
  <c r="K19" i="22" s="1"/>
  <c r="J21" i="22"/>
  <c r="K21" i="22" s="1"/>
  <c r="J22" i="22"/>
  <c r="K22" i="22" s="1"/>
  <c r="J23" i="22"/>
  <c r="K23" i="22" s="1"/>
  <c r="J25" i="22"/>
  <c r="K25" i="22" s="1"/>
  <c r="J24" i="22"/>
  <c r="K24" i="22" s="1"/>
  <c r="J26" i="22"/>
  <c r="K26" i="22" s="1"/>
  <c r="J27" i="22"/>
  <c r="K27" i="22" s="1"/>
  <c r="J28" i="22"/>
  <c r="K28" i="22" s="1"/>
  <c r="J29" i="22"/>
  <c r="K29" i="22" s="1"/>
  <c r="J30" i="22"/>
  <c r="K30" i="22" s="1"/>
  <c r="J32" i="22"/>
  <c r="K32" i="22" s="1"/>
  <c r="J31" i="22"/>
  <c r="K31" i="22" s="1"/>
  <c r="J33" i="22"/>
  <c r="K33" i="22" s="1"/>
  <c r="J35" i="22"/>
  <c r="K35" i="22" s="1"/>
  <c r="J34" i="22"/>
  <c r="K34" i="22" s="1"/>
  <c r="J36" i="22"/>
  <c r="K36" i="22" s="1"/>
  <c r="J37" i="22"/>
  <c r="K37" i="22" s="1"/>
  <c r="J38" i="22"/>
  <c r="K38" i="22" s="1"/>
  <c r="J39" i="22"/>
  <c r="K39" i="22" s="1"/>
  <c r="J87" i="22"/>
  <c r="K87" i="22" s="1"/>
  <c r="J52" i="22"/>
  <c r="K52" i="22" s="1"/>
  <c r="J69" i="22"/>
  <c r="K69" i="22" s="1"/>
  <c r="J48" i="22"/>
  <c r="K48" i="22" s="1"/>
  <c r="J79" i="22"/>
  <c r="K79" i="22" s="1"/>
  <c r="J41" i="22"/>
  <c r="K41" i="22" s="1"/>
  <c r="J78" i="22"/>
  <c r="K78" i="22" s="1"/>
  <c r="J62" i="22"/>
  <c r="K62" i="22" s="1"/>
  <c r="J93" i="22"/>
  <c r="K93" i="22" s="1"/>
  <c r="J55" i="22"/>
  <c r="K55" i="22" s="1"/>
  <c r="J56" i="22"/>
  <c r="K56" i="22" s="1"/>
  <c r="J51" i="22"/>
  <c r="K51" i="22" s="1"/>
  <c r="J65" i="22"/>
  <c r="K65" i="22" s="1"/>
  <c r="J49" i="22"/>
  <c r="K49" i="22" s="1"/>
  <c r="J46" i="22"/>
  <c r="K46" i="22" s="1"/>
  <c r="J42" i="22"/>
  <c r="K42" i="22" s="1"/>
  <c r="J59" i="22"/>
  <c r="K59" i="22" s="1"/>
  <c r="J67" i="22"/>
  <c r="K67" i="22" s="1"/>
  <c r="J84" i="22"/>
  <c r="K84" i="22" s="1"/>
  <c r="J85" i="22"/>
  <c r="K85" i="22" s="1"/>
  <c r="J40" i="22"/>
  <c r="K40" i="22" s="1"/>
  <c r="J90" i="22"/>
  <c r="K90" i="22" s="1"/>
  <c r="J68" i="22"/>
  <c r="K68" i="22" s="1"/>
  <c r="J75" i="22"/>
  <c r="K75" i="22" s="1"/>
  <c r="J64" i="22"/>
  <c r="K64" i="22" s="1"/>
  <c r="J61" i="22"/>
  <c r="K61" i="22" s="1"/>
  <c r="J83" i="22"/>
  <c r="K83" i="22" s="1"/>
  <c r="J54" i="22"/>
  <c r="K54" i="22" s="1"/>
  <c r="J77" i="22"/>
  <c r="K77" i="22" s="1"/>
  <c r="J71" i="22"/>
  <c r="K71" i="22" s="1"/>
  <c r="J57" i="22"/>
  <c r="K57" i="22" s="1"/>
  <c r="J82" i="22"/>
  <c r="K82" i="22" s="1"/>
  <c r="J58" i="22"/>
  <c r="K58" i="22" s="1"/>
  <c r="J86" i="22"/>
  <c r="K86" i="22" s="1"/>
  <c r="J76" i="22"/>
  <c r="K76" i="22" s="1"/>
  <c r="J74" i="22"/>
  <c r="K74" i="22" s="1"/>
  <c r="J80" i="22"/>
  <c r="K80" i="22" s="1"/>
  <c r="J47" i="22"/>
  <c r="K47" i="22" s="1"/>
  <c r="J63" i="22"/>
  <c r="K63" i="22" s="1"/>
  <c r="J72" i="22"/>
  <c r="K72" i="22" s="1"/>
  <c r="J89" i="22"/>
  <c r="K89" i="22" s="1"/>
  <c r="J88" i="22"/>
  <c r="K88" i="22" s="1"/>
  <c r="J43" i="22"/>
  <c r="K43" i="22" s="1"/>
  <c r="J70" i="22"/>
  <c r="K70" i="22" s="1"/>
  <c r="J66" i="22"/>
  <c r="K66" i="22" s="1"/>
  <c r="J44" i="22"/>
  <c r="K44" i="22" s="1"/>
  <c r="J92" i="22"/>
  <c r="K92" i="22" s="1"/>
  <c r="J91" i="22"/>
  <c r="K91" i="22" s="1"/>
  <c r="J45" i="22"/>
  <c r="K45" i="22" s="1"/>
  <c r="J53" i="22"/>
  <c r="K53" i="22" s="1"/>
  <c r="J60" i="22"/>
  <c r="K60" i="22" s="1"/>
  <c r="J94" i="22"/>
  <c r="K94" i="22" s="1"/>
  <c r="J73" i="22"/>
  <c r="K73" i="22" s="1"/>
  <c r="J81" i="22"/>
  <c r="K81" i="22" s="1"/>
  <c r="J50" i="22"/>
  <c r="K50" i="22" s="1"/>
  <c r="J4" i="22"/>
  <c r="B25" i="5"/>
  <c r="B38" i="5"/>
  <c r="B14" i="5"/>
  <c r="B39" i="5" s="1"/>
  <c r="AO4" i="22"/>
  <c r="AQ4" i="22" s="1"/>
  <c r="AR4" i="22" s="1"/>
  <c r="B27" i="5" s="1"/>
  <c r="Z4" i="22"/>
  <c r="AB4" i="22" s="1"/>
  <c r="AC4" i="22" s="1"/>
  <c r="B27" i="4" s="1"/>
  <c r="B25" i="4"/>
  <c r="B14" i="4"/>
  <c r="B39" i="4" s="1"/>
  <c r="N3" i="5"/>
  <c r="O3" i="5" s="1"/>
  <c r="P3" i="3"/>
  <c r="M3" i="3"/>
  <c r="N6" i="22" l="1"/>
  <c r="B13" i="3" s="1"/>
  <c r="B38" i="3" s="1"/>
  <c r="I4" i="22"/>
  <c r="B28" i="5"/>
  <c r="B29" i="5"/>
  <c r="E40" i="26"/>
  <c r="E39" i="26" s="1"/>
  <c r="E38" i="26" s="1"/>
  <c r="E37" i="26" s="1"/>
  <c r="E36" i="26" s="1"/>
  <c r="E35" i="26" s="1"/>
  <c r="E34" i="26" s="1"/>
  <c r="E33" i="26" s="1"/>
  <c r="E32" i="26" s="1"/>
  <c r="E31" i="26" s="1"/>
  <c r="E30" i="26" s="1"/>
  <c r="E29" i="26" s="1"/>
  <c r="E28" i="26" s="1"/>
  <c r="E27" i="26" s="1"/>
  <c r="E26" i="26" s="1"/>
  <c r="E25" i="26" s="1"/>
  <c r="E24" i="26" s="1"/>
  <c r="E23" i="26" s="1"/>
  <c r="E22" i="26" s="1"/>
  <c r="E21" i="26" s="1"/>
  <c r="E20" i="26" s="1"/>
  <c r="E19" i="26" s="1"/>
  <c r="E18" i="26" s="1"/>
  <c r="E17" i="26" s="1"/>
  <c r="E16" i="26" s="1"/>
  <c r="E15" i="26" s="1"/>
  <c r="E14" i="26" s="1"/>
  <c r="E13" i="26" s="1"/>
  <c r="E12" i="26" s="1"/>
  <c r="E11" i="26" s="1"/>
  <c r="E10" i="26" s="1"/>
  <c r="E9" i="26" s="1"/>
  <c r="E8" i="26" s="1"/>
  <c r="E7" i="26" s="1"/>
  <c r="E6" i="26" s="1"/>
  <c r="E5" i="26" s="1"/>
  <c r="E4" i="26" s="1"/>
  <c r="E3" i="26" s="1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39" i="27"/>
  <c r="E38" i="27" s="1"/>
  <c r="E37" i="27" s="1"/>
  <c r="E36" i="27" s="1"/>
  <c r="E35" i="27" s="1"/>
  <c r="E34" i="27" s="1"/>
  <c r="E33" i="27" s="1"/>
  <c r="E32" i="27" s="1"/>
  <c r="E31" i="27" s="1"/>
  <c r="E30" i="27" s="1"/>
  <c r="E29" i="27" s="1"/>
  <c r="E28" i="27" s="1"/>
  <c r="E27" i="27" s="1"/>
  <c r="E26" i="27" s="1"/>
  <c r="E25" i="27" s="1"/>
  <c r="E24" i="27" s="1"/>
  <c r="E23" i="27" s="1"/>
  <c r="E22" i="27" s="1"/>
  <c r="E21" i="27" s="1"/>
  <c r="E20" i="27" s="1"/>
  <c r="E19" i="27" s="1"/>
  <c r="E18" i="27" s="1"/>
  <c r="E17" i="27" s="1"/>
  <c r="E16" i="27" s="1"/>
  <c r="E15" i="27" s="1"/>
  <c r="E14" i="27" s="1"/>
  <c r="E13" i="27" s="1"/>
  <c r="E12" i="27" s="1"/>
  <c r="E11" i="27" s="1"/>
  <c r="E10" i="27" s="1"/>
  <c r="E9" i="27" s="1"/>
  <c r="E8" i="27" s="1"/>
  <c r="E7" i="27" s="1"/>
  <c r="E6" i="27" s="1"/>
  <c r="E5" i="27" s="1"/>
  <c r="E4" i="27" s="1"/>
  <c r="E3" i="27" s="1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8" i="27"/>
  <c r="E67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BT93" i="27"/>
  <c r="BV93" i="27" s="1"/>
  <c r="G49" i="12"/>
  <c r="G52" i="12"/>
  <c r="G82" i="12"/>
  <c r="I82" i="12" s="1"/>
  <c r="G65" i="12"/>
  <c r="G91" i="12"/>
  <c r="I91" i="12" s="1"/>
  <c r="G43" i="12"/>
  <c r="G76" i="12"/>
  <c r="I76" i="12" s="1"/>
  <c r="G46" i="12"/>
  <c r="G73" i="12"/>
  <c r="I73" i="12" s="1"/>
  <c r="G67" i="12"/>
  <c r="G92" i="12"/>
  <c r="I92" i="12" s="1"/>
  <c r="G45" i="12"/>
  <c r="G80" i="12"/>
  <c r="I80" i="12" s="1"/>
  <c r="G74" i="12"/>
  <c r="I74" i="12" s="1"/>
  <c r="G50" i="12"/>
  <c r="G87" i="12"/>
  <c r="I87" i="12" s="1"/>
  <c r="G71" i="12"/>
  <c r="I71" i="12" s="1"/>
  <c r="G86" i="12"/>
  <c r="I86" i="12" s="1"/>
  <c r="G41" i="12"/>
  <c r="G85" i="12"/>
  <c r="I85" i="12" s="1"/>
  <c r="G88" i="12"/>
  <c r="I88" i="12" s="1"/>
  <c r="G40" i="12"/>
  <c r="G62" i="12"/>
  <c r="G53" i="12"/>
  <c r="G79" i="12"/>
  <c r="I79" i="12" s="1"/>
  <c r="G42" i="12"/>
  <c r="G60" i="12"/>
  <c r="R70" i="12"/>
  <c r="T70" i="12" s="1"/>
  <c r="R74" i="12"/>
  <c r="T74" i="12" s="1"/>
  <c r="R78" i="12"/>
  <c r="T78" i="12" s="1"/>
  <c r="R82" i="12"/>
  <c r="T82" i="12" s="1"/>
  <c r="R86" i="12"/>
  <c r="T86" i="12" s="1"/>
  <c r="R90" i="12"/>
  <c r="T90" i="12" s="1"/>
  <c r="AC72" i="12"/>
  <c r="AC88" i="12"/>
  <c r="AC79" i="12"/>
  <c r="AC75" i="12"/>
  <c r="AC83" i="12"/>
  <c r="AC87" i="12"/>
  <c r="AC89" i="12"/>
  <c r="R71" i="12"/>
  <c r="T71" i="12" s="1"/>
  <c r="R75" i="12"/>
  <c r="T75" i="12" s="1"/>
  <c r="R79" i="12"/>
  <c r="T79" i="12" s="1"/>
  <c r="R83" i="12"/>
  <c r="T83" i="12" s="1"/>
  <c r="R87" i="12"/>
  <c r="T87" i="12" s="1"/>
  <c r="R91" i="12"/>
  <c r="T91" i="12" s="1"/>
  <c r="AC76" i="12"/>
  <c r="AC92" i="12"/>
  <c r="AC85" i="12"/>
  <c r="AC81" i="12"/>
  <c r="R72" i="12"/>
  <c r="T72" i="12" s="1"/>
  <c r="R76" i="12"/>
  <c r="T76" i="12" s="1"/>
  <c r="R80" i="12"/>
  <c r="T80" i="12" s="1"/>
  <c r="R84" i="12"/>
  <c r="T84" i="12" s="1"/>
  <c r="R88" i="12"/>
  <c r="T88" i="12" s="1"/>
  <c r="R92" i="12"/>
  <c r="T92" i="12" s="1"/>
  <c r="AC80" i="12"/>
  <c r="AC69" i="12"/>
  <c r="AC90" i="12"/>
  <c r="AC86" i="12"/>
  <c r="AC71" i="12"/>
  <c r="R73" i="12"/>
  <c r="T73" i="12" s="1"/>
  <c r="R77" i="12"/>
  <c r="T77" i="12" s="1"/>
  <c r="R81" i="12"/>
  <c r="T81" i="12" s="1"/>
  <c r="R85" i="12"/>
  <c r="T85" i="12" s="1"/>
  <c r="R89" i="12"/>
  <c r="T89" i="12" s="1"/>
  <c r="AC84" i="12"/>
  <c r="AC74" i="12"/>
  <c r="AC70" i="12"/>
  <c r="AC91" i="12"/>
  <c r="AC82" i="12"/>
  <c r="AC73" i="12"/>
  <c r="AC77" i="12"/>
  <c r="AC78" i="12"/>
  <c r="B29" i="4"/>
  <c r="B28" i="4"/>
  <c r="N3" i="3"/>
  <c r="O3" i="3" s="1"/>
  <c r="L4" i="26" l="1"/>
  <c r="K4" i="22"/>
  <c r="B14" i="3"/>
  <c r="B39" i="3" s="1"/>
  <c r="G66" i="12" s="1"/>
  <c r="B25" i="3"/>
  <c r="G47" i="12"/>
  <c r="G69" i="12"/>
  <c r="G56" i="12"/>
  <c r="G78" i="12"/>
  <c r="I78" i="12" s="1"/>
  <c r="G39" i="12"/>
  <c r="G61" i="12"/>
  <c r="G48" i="12"/>
  <c r="G58" i="12"/>
  <c r="G83" i="12"/>
  <c r="I83" i="12" s="1"/>
  <c r="G70" i="12"/>
  <c r="I70" i="12" s="1"/>
  <c r="G59" i="12"/>
  <c r="G81" i="12"/>
  <c r="I81" i="12" s="1"/>
  <c r="G68" i="12"/>
  <c r="G63" i="12"/>
  <c r="G89" i="12"/>
  <c r="I89" i="12" s="1"/>
  <c r="G72" i="12"/>
  <c r="I72" i="12" s="1"/>
  <c r="G51" i="12"/>
  <c r="G55" i="12"/>
  <c r="G77" i="12"/>
  <c r="I77" i="12" s="1"/>
  <c r="G64" i="12"/>
  <c r="G90" i="12"/>
  <c r="I90" i="12" s="1"/>
  <c r="G57" i="12"/>
  <c r="G44" i="12"/>
  <c r="G75" i="12"/>
  <c r="I75" i="12" s="1"/>
  <c r="G54" i="12"/>
  <c r="G84" i="12"/>
  <c r="I84" i="12" s="1"/>
  <c r="G41" i="26"/>
  <c r="G40" i="26"/>
  <c r="G39" i="26" s="1"/>
  <c r="G38" i="26" s="1"/>
  <c r="G37" i="26" s="1"/>
  <c r="G36" i="26" s="1"/>
  <c r="G35" i="26" s="1"/>
  <c r="G34" i="26" s="1"/>
  <c r="G33" i="26" s="1"/>
  <c r="G32" i="26" s="1"/>
  <c r="G31" i="26" s="1"/>
  <c r="G30" i="26" s="1"/>
  <c r="G29" i="26" s="1"/>
  <c r="G28" i="26" s="1"/>
  <c r="G27" i="26" s="1"/>
  <c r="G26" i="26" s="1"/>
  <c r="G25" i="26" s="1"/>
  <c r="G24" i="26" s="1"/>
  <c r="G23" i="26" s="1"/>
  <c r="G22" i="26" s="1"/>
  <c r="G21" i="26" s="1"/>
  <c r="G20" i="26" s="1"/>
  <c r="G19" i="26" s="1"/>
  <c r="G18" i="26" s="1"/>
  <c r="G17" i="26" s="1"/>
  <c r="G16" i="26" s="1"/>
  <c r="G15" i="26" s="1"/>
  <c r="G14" i="26" s="1"/>
  <c r="G13" i="26" s="1"/>
  <c r="G12" i="26" s="1"/>
  <c r="G11" i="26" s="1"/>
  <c r="G10" i="26" s="1"/>
  <c r="G9" i="26" s="1"/>
  <c r="G8" i="26" s="1"/>
  <c r="G7" i="26" s="1"/>
  <c r="G6" i="26" s="1"/>
  <c r="G5" i="26" s="1"/>
  <c r="G4" i="26" s="1"/>
  <c r="G3" i="26" s="1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F39" i="26"/>
  <c r="F38" i="26" s="1"/>
  <c r="F37" i="26" s="1"/>
  <c r="F36" i="26" s="1"/>
  <c r="F35" i="26" s="1"/>
  <c r="F34" i="26" s="1"/>
  <c r="F33" i="26" s="1"/>
  <c r="F32" i="26" s="1"/>
  <c r="F31" i="26" s="1"/>
  <c r="F30" i="26" s="1"/>
  <c r="F29" i="26" s="1"/>
  <c r="F28" i="26" s="1"/>
  <c r="F27" i="26" s="1"/>
  <c r="F26" i="26" s="1"/>
  <c r="F25" i="26" s="1"/>
  <c r="F24" i="26" s="1"/>
  <c r="F23" i="26" s="1"/>
  <c r="F22" i="26" s="1"/>
  <c r="F21" i="26" s="1"/>
  <c r="F20" i="26" s="1"/>
  <c r="F19" i="26" s="1"/>
  <c r="F18" i="26" s="1"/>
  <c r="F17" i="26" s="1"/>
  <c r="F16" i="26" s="1"/>
  <c r="F15" i="26" s="1"/>
  <c r="F14" i="26" s="1"/>
  <c r="F13" i="26" s="1"/>
  <c r="F12" i="26" s="1"/>
  <c r="F11" i="26" s="1"/>
  <c r="F10" i="26" s="1"/>
  <c r="F9" i="26" s="1"/>
  <c r="F8" i="26" s="1"/>
  <c r="F7" i="26" s="1"/>
  <c r="F6" i="26" s="1"/>
  <c r="F5" i="26" s="1"/>
  <c r="F4" i="26" s="1"/>
  <c r="F3" i="26" s="1"/>
  <c r="F41" i="26"/>
  <c r="F40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39" i="27"/>
  <c r="F38" i="27" s="1"/>
  <c r="F37" i="27" s="1"/>
  <c r="F36" i="27" s="1"/>
  <c r="F35" i="27" s="1"/>
  <c r="F34" i="27" s="1"/>
  <c r="F33" i="27" s="1"/>
  <c r="F32" i="27" s="1"/>
  <c r="F31" i="27" s="1"/>
  <c r="F30" i="27" s="1"/>
  <c r="F29" i="27" s="1"/>
  <c r="F28" i="27" s="1"/>
  <c r="F27" i="27" s="1"/>
  <c r="F26" i="27" s="1"/>
  <c r="F25" i="27" s="1"/>
  <c r="F24" i="27" s="1"/>
  <c r="F23" i="27" s="1"/>
  <c r="F22" i="27" s="1"/>
  <c r="F21" i="27" s="1"/>
  <c r="F20" i="27" s="1"/>
  <c r="F19" i="27" s="1"/>
  <c r="F18" i="27" s="1"/>
  <c r="F17" i="27" s="1"/>
  <c r="F16" i="27" s="1"/>
  <c r="F15" i="27" s="1"/>
  <c r="F14" i="27" s="1"/>
  <c r="F13" i="27" s="1"/>
  <c r="F12" i="27" s="1"/>
  <c r="F11" i="27" s="1"/>
  <c r="F10" i="27" s="1"/>
  <c r="F9" i="27" s="1"/>
  <c r="F8" i="27" s="1"/>
  <c r="F7" i="27" s="1"/>
  <c r="F6" i="27" s="1"/>
  <c r="F5" i="27" s="1"/>
  <c r="F4" i="27" s="1"/>
  <c r="F3" i="27" s="1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8" i="27"/>
  <c r="F57" i="27"/>
  <c r="F59" i="27"/>
  <c r="F60" i="27"/>
  <c r="F61" i="27"/>
  <c r="F62" i="27"/>
  <c r="F63" i="27"/>
  <c r="F64" i="27"/>
  <c r="F65" i="27"/>
  <c r="F66" i="27"/>
  <c r="F68" i="27"/>
  <c r="F67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BC51" i="27"/>
  <c r="BE51" i="27" s="1"/>
  <c r="G39" i="27"/>
  <c r="G38" i="27" s="1"/>
  <c r="G37" i="27" s="1"/>
  <c r="G36" i="27" s="1"/>
  <c r="G35" i="27" s="1"/>
  <c r="G34" i="27" s="1"/>
  <c r="G33" i="27" s="1"/>
  <c r="G32" i="27" s="1"/>
  <c r="G31" i="27" s="1"/>
  <c r="G30" i="27" s="1"/>
  <c r="G29" i="27" s="1"/>
  <c r="G28" i="27" s="1"/>
  <c r="G27" i="27" s="1"/>
  <c r="G26" i="27" s="1"/>
  <c r="G25" i="27" s="1"/>
  <c r="G24" i="27" s="1"/>
  <c r="G23" i="27" s="1"/>
  <c r="G22" i="27" s="1"/>
  <c r="G21" i="27" s="1"/>
  <c r="G20" i="27" s="1"/>
  <c r="G19" i="27" s="1"/>
  <c r="G18" i="27" s="1"/>
  <c r="G17" i="27" s="1"/>
  <c r="G16" i="27" s="1"/>
  <c r="G15" i="27" s="1"/>
  <c r="G14" i="27" s="1"/>
  <c r="G13" i="27" s="1"/>
  <c r="G12" i="27" s="1"/>
  <c r="G11" i="27" s="1"/>
  <c r="G10" i="27" s="1"/>
  <c r="G9" i="27" s="1"/>
  <c r="G8" i="27" s="1"/>
  <c r="G7" i="27" s="1"/>
  <c r="G6" i="27" s="1"/>
  <c r="G5" i="27" s="1"/>
  <c r="G4" i="27" s="1"/>
  <c r="G3" i="27" s="1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AQ81" i="27"/>
  <c r="AS81" i="27" s="1"/>
  <c r="Y90" i="27"/>
  <c r="AA90" i="27" s="1"/>
  <c r="S84" i="27"/>
  <c r="U84" i="27" s="1"/>
  <c r="BU78" i="27"/>
  <c r="BW78" i="27" s="1"/>
  <c r="BC71" i="27"/>
  <c r="BE71" i="27" s="1"/>
  <c r="AE65" i="27"/>
  <c r="AG65" i="27" s="1"/>
  <c r="BU56" i="27"/>
  <c r="BW56" i="27" s="1"/>
  <c r="BU68" i="27"/>
  <c r="BW68" i="27" s="1"/>
  <c r="S61" i="27"/>
  <c r="U61" i="27" s="1"/>
  <c r="S89" i="27"/>
  <c r="U89" i="27" s="1"/>
  <c r="AW83" i="27"/>
  <c r="AY83" i="27" s="1"/>
  <c r="BO76" i="27"/>
  <c r="BQ76" i="27" s="1"/>
  <c r="AQ69" i="27"/>
  <c r="AS69" i="27" s="1"/>
  <c r="AK62" i="27"/>
  <c r="AM62" i="27" s="1"/>
  <c r="BC53" i="27"/>
  <c r="BE53" i="27" s="1"/>
  <c r="M3" i="27"/>
  <c r="AK87" i="27"/>
  <c r="AM87" i="27" s="1"/>
  <c r="BO75" i="27"/>
  <c r="BQ75" i="27" s="1"/>
  <c r="Y92" i="27"/>
  <c r="AA92" i="27" s="1"/>
  <c r="AK86" i="27"/>
  <c r="AM86" i="27" s="1"/>
  <c r="AE79" i="27"/>
  <c r="AG79" i="27" s="1"/>
  <c r="BO73" i="27"/>
  <c r="BQ73" i="27" s="1"/>
  <c r="S66" i="27"/>
  <c r="U66" i="27" s="1"/>
  <c r="BI59" i="27"/>
  <c r="BK59" i="27" s="1"/>
  <c r="AE45" i="27"/>
  <c r="AG45" i="27" s="1"/>
  <c r="BO92" i="27"/>
  <c r="BQ92" i="27" s="1"/>
  <c r="BU90" i="27"/>
  <c r="BW90" i="27" s="1"/>
  <c r="AQ88" i="27"/>
  <c r="AS88" i="27" s="1"/>
  <c r="Y87" i="27"/>
  <c r="AA87" i="27" s="1"/>
  <c r="AK85" i="27"/>
  <c r="AM85" i="27" s="1"/>
  <c r="BI84" i="27"/>
  <c r="BK84" i="27" s="1"/>
  <c r="BO82" i="27"/>
  <c r="BQ82" i="27" s="1"/>
  <c r="BC81" i="27"/>
  <c r="BE81" i="27" s="1"/>
  <c r="BU79" i="27"/>
  <c r="BW79" i="27" s="1"/>
  <c r="Y77" i="27"/>
  <c r="AA77" i="27" s="1"/>
  <c r="BC76" i="27"/>
  <c r="BE76" i="27" s="1"/>
  <c r="Y74" i="27"/>
  <c r="AA74" i="27" s="1"/>
  <c r="AW72" i="27"/>
  <c r="AY72" i="27" s="1"/>
  <c r="AQ71" i="27"/>
  <c r="AS71" i="27" s="1"/>
  <c r="AW69" i="27"/>
  <c r="AY69" i="27" s="1"/>
  <c r="S67" i="27"/>
  <c r="U67" i="27" s="1"/>
  <c r="BO66" i="27"/>
  <c r="BQ66" i="27" s="1"/>
  <c r="AE64" i="27"/>
  <c r="AG64" i="27" s="1"/>
  <c r="AW62" i="27"/>
  <c r="AY62" i="27" s="1"/>
  <c r="BU60" i="27"/>
  <c r="BW60" i="27" s="1"/>
  <c r="BU59" i="27"/>
  <c r="BW59" i="27" s="1"/>
  <c r="BU55" i="27"/>
  <c r="BW55" i="27" s="1"/>
  <c r="AK53" i="27"/>
  <c r="AM53" i="27" s="1"/>
  <c r="AK50" i="27"/>
  <c r="AM50" i="27" s="1"/>
  <c r="BO42" i="27"/>
  <c r="BQ42" i="27" s="1"/>
  <c r="S91" i="27"/>
  <c r="U91" i="27" s="1"/>
  <c r="BI90" i="27"/>
  <c r="BK90" i="27" s="1"/>
  <c r="S88" i="27"/>
  <c r="U88" i="27" s="1"/>
  <c r="BC86" i="27"/>
  <c r="BE86" i="27" s="1"/>
  <c r="AQ85" i="27"/>
  <c r="AS85" i="27" s="1"/>
  <c r="BU83" i="27"/>
  <c r="BW83" i="27" s="1"/>
  <c r="S82" i="27"/>
  <c r="U82" i="27" s="1"/>
  <c r="BU80" i="27"/>
  <c r="BW80" i="27" s="1"/>
  <c r="AK79" i="27"/>
  <c r="AM79" i="27" s="1"/>
  <c r="BC77" i="27"/>
  <c r="BE77" i="27" s="1"/>
  <c r="BI75" i="27"/>
  <c r="BK75" i="27" s="1"/>
  <c r="BI74" i="27"/>
  <c r="BK74" i="27" s="1"/>
  <c r="BO72" i="27"/>
  <c r="BQ72" i="27" s="1"/>
  <c r="BU70" i="27"/>
  <c r="BW70" i="27" s="1"/>
  <c r="BO69" i="27"/>
  <c r="BQ69" i="27" s="1"/>
  <c r="BU67" i="27"/>
  <c r="BW67" i="27" s="1"/>
  <c r="BI65" i="27"/>
  <c r="BK65" i="27" s="1"/>
  <c r="S64" i="27"/>
  <c r="U64" i="27" s="1"/>
  <c r="S62" i="27"/>
  <c r="U62" i="27" s="1"/>
  <c r="BI60" i="27"/>
  <c r="BK60" i="27" s="1"/>
  <c r="Y58" i="27"/>
  <c r="AA58" i="27" s="1"/>
  <c r="AW55" i="27"/>
  <c r="AY55" i="27" s="1"/>
  <c r="AW53" i="27"/>
  <c r="AY53" i="27" s="1"/>
  <c r="AK48" i="27"/>
  <c r="AM48" i="27" s="1"/>
  <c r="BC40" i="27"/>
  <c r="BE40" i="27" s="1"/>
  <c r="L44" i="27"/>
  <c r="S92" i="27"/>
  <c r="U92" i="27" s="1"/>
  <c r="AE91" i="27"/>
  <c r="AG91" i="27" s="1"/>
  <c r="BI89" i="27"/>
  <c r="BK89" i="27" s="1"/>
  <c r="BO88" i="27"/>
  <c r="BQ88" i="27" s="1"/>
  <c r="BO86" i="27"/>
  <c r="BQ86" i="27" s="1"/>
  <c r="BO84" i="27"/>
  <c r="BQ84" i="27" s="1"/>
  <c r="S83" i="27"/>
  <c r="U83" i="27" s="1"/>
  <c r="BI81" i="27"/>
  <c r="BK81" i="27" s="1"/>
  <c r="AE80" i="27"/>
  <c r="AG80" i="27" s="1"/>
  <c r="Y78" i="27"/>
  <c r="AA78" i="27" s="1"/>
  <c r="BU77" i="27"/>
  <c r="BW77" i="27" s="1"/>
  <c r="AW75" i="27"/>
  <c r="AY75" i="27" s="1"/>
  <c r="AE73" i="27"/>
  <c r="AG73" i="27" s="1"/>
  <c r="Y71" i="27"/>
  <c r="AA71" i="27" s="1"/>
  <c r="BI70" i="27"/>
  <c r="BK70" i="27" s="1"/>
  <c r="AQ68" i="27"/>
  <c r="AS68" i="27" s="1"/>
  <c r="BC67" i="27"/>
  <c r="BE67" i="27" s="1"/>
  <c r="AQ65" i="27"/>
  <c r="AS65" i="27" s="1"/>
  <c r="BO63" i="27"/>
  <c r="BQ63" i="27" s="1"/>
  <c r="AW61" i="27"/>
  <c r="AY61" i="27" s="1"/>
  <c r="AW60" i="27"/>
  <c r="AY60" i="27" s="1"/>
  <c r="Y57" i="27"/>
  <c r="AA57" i="27" s="1"/>
  <c r="AW54" i="27"/>
  <c r="AY54" i="27" s="1"/>
  <c r="BU52" i="27"/>
  <c r="BW52" i="27" s="1"/>
  <c r="AQ47" i="27"/>
  <c r="AS47" i="27" s="1"/>
  <c r="BI39" i="27"/>
  <c r="BK39" i="27" s="1"/>
  <c r="O91" i="27"/>
  <c r="O89" i="27"/>
  <c r="O88" i="27"/>
  <c r="O86" i="27"/>
  <c r="O64" i="27"/>
  <c r="O60" i="27"/>
  <c r="O56" i="27"/>
  <c r="O51" i="27"/>
  <c r="O47" i="27"/>
  <c r="O43" i="27"/>
  <c r="O39" i="27"/>
  <c r="O35" i="27"/>
  <c r="O31" i="27"/>
  <c r="O27" i="27"/>
  <c r="O23" i="27"/>
  <c r="O87" i="27"/>
  <c r="O85" i="27"/>
  <c r="O79" i="27"/>
  <c r="O78" i="27"/>
  <c r="O77" i="27"/>
  <c r="O75" i="27"/>
  <c r="O69" i="27"/>
  <c r="O68" i="27"/>
  <c r="O67" i="27"/>
  <c r="O65" i="27"/>
  <c r="O61" i="27"/>
  <c r="O57" i="27"/>
  <c r="O54" i="27"/>
  <c r="O50" i="27"/>
  <c r="O46" i="27"/>
  <c r="O42" i="27"/>
  <c r="O38" i="27"/>
  <c r="O34" i="27"/>
  <c r="O30" i="27"/>
  <c r="O26" i="27"/>
  <c r="O22" i="27"/>
  <c r="O92" i="27"/>
  <c r="O83" i="27"/>
  <c r="O82" i="27"/>
  <c r="O81" i="27"/>
  <c r="O80" i="27"/>
  <c r="O76" i="27"/>
  <c r="O73" i="27"/>
  <c r="O72" i="27"/>
  <c r="O71" i="27"/>
  <c r="O70" i="27"/>
  <c r="O66" i="27"/>
  <c r="O62" i="27"/>
  <c r="O58" i="27"/>
  <c r="O53" i="27"/>
  <c r="O49" i="27"/>
  <c r="O45" i="27"/>
  <c r="O41" i="27"/>
  <c r="O37" i="27"/>
  <c r="O33" i="27"/>
  <c r="O29" i="27"/>
  <c r="O25" i="27"/>
  <c r="O93" i="27"/>
  <c r="O90" i="27"/>
  <c r="O84" i="27"/>
  <c r="O74" i="27"/>
  <c r="O63" i="27"/>
  <c r="O59" i="27"/>
  <c r="O55" i="27"/>
  <c r="O52" i="27"/>
  <c r="O48" i="27"/>
  <c r="O44" i="27"/>
  <c r="O40" i="27"/>
  <c r="O36" i="27"/>
  <c r="O32" i="27"/>
  <c r="O28" i="27"/>
  <c r="O24" i="27"/>
  <c r="O11" i="27"/>
  <c r="O10" i="27"/>
  <c r="O9" i="27"/>
  <c r="O8" i="27"/>
  <c r="O7" i="27"/>
  <c r="O6" i="27"/>
  <c r="O5" i="27"/>
  <c r="O4" i="27"/>
  <c r="O3" i="27"/>
  <c r="O21" i="27"/>
  <c r="O20" i="27"/>
  <c r="O19" i="27"/>
  <c r="O18" i="27"/>
  <c r="O17" i="27"/>
  <c r="O16" i="27"/>
  <c r="O15" i="27"/>
  <c r="O14" i="27"/>
  <c r="O13" i="27"/>
  <c r="O12" i="27"/>
  <c r="M84" i="27"/>
  <c r="L81" i="27"/>
  <c r="L70" i="27"/>
  <c r="L62" i="27"/>
  <c r="M55" i="27"/>
  <c r="M48" i="27"/>
  <c r="M40" i="27"/>
  <c r="M32" i="27"/>
  <c r="M24" i="27"/>
  <c r="L90" i="27"/>
  <c r="L84" i="27"/>
  <c r="L63" i="27"/>
  <c r="M56" i="27"/>
  <c r="M51" i="27"/>
  <c r="M43" i="27"/>
  <c r="M35" i="27"/>
  <c r="M27" i="27"/>
  <c r="L89" i="27"/>
  <c r="L86" i="27"/>
  <c r="M77" i="27"/>
  <c r="M67" i="27"/>
  <c r="M61" i="27"/>
  <c r="M50" i="27"/>
  <c r="M42" i="27"/>
  <c r="M34" i="27"/>
  <c r="M26" i="27"/>
  <c r="L87" i="27"/>
  <c r="M82" i="27"/>
  <c r="L79" i="27"/>
  <c r="M71" i="27"/>
  <c r="L68" i="27"/>
  <c r="L65" i="27"/>
  <c r="M58" i="27"/>
  <c r="L54" i="27"/>
  <c r="L46" i="27"/>
  <c r="L38" i="27"/>
  <c r="L30" i="27"/>
  <c r="L22" i="27"/>
  <c r="L17" i="27"/>
  <c r="M13" i="27"/>
  <c r="L14" i="27"/>
  <c r="M10" i="27"/>
  <c r="M6" i="27"/>
  <c r="L21" i="27"/>
  <c r="L10" i="27"/>
  <c r="L6" i="27"/>
  <c r="L20" i="27"/>
  <c r="M16" i="27"/>
  <c r="M93" i="27"/>
  <c r="L80" i="27"/>
  <c r="L73" i="27"/>
  <c r="L66" i="27"/>
  <c r="M59" i="27"/>
  <c r="L53" i="27"/>
  <c r="L45" i="27"/>
  <c r="L37" i="27"/>
  <c r="L29" i="27"/>
  <c r="L93" i="27"/>
  <c r="M89" i="27"/>
  <c r="L74" i="27"/>
  <c r="M60" i="27"/>
  <c r="L48" i="27"/>
  <c r="L40" i="27"/>
  <c r="L32" i="27"/>
  <c r="L24" i="27"/>
  <c r="L88" i="27"/>
  <c r="M85" i="27"/>
  <c r="M75" i="27"/>
  <c r="M65" i="27"/>
  <c r="L56" i="27"/>
  <c r="L47" i="27"/>
  <c r="L39" i="27"/>
  <c r="L31" i="27"/>
  <c r="L23" i="27"/>
  <c r="M81" i="27"/>
  <c r="L78" i="27"/>
  <c r="L75" i="27"/>
  <c r="M70" i="27"/>
  <c r="L67" i="27"/>
  <c r="M62" i="27"/>
  <c r="N62" i="27" s="1"/>
  <c r="BC14" i="27" s="1"/>
  <c r="BE14" i="27" s="1"/>
  <c r="M53" i="27"/>
  <c r="M45" i="27"/>
  <c r="M37" i="27"/>
  <c r="M29" i="27"/>
  <c r="M21" i="27"/>
  <c r="L16" i="27"/>
  <c r="M12" i="27"/>
  <c r="L13" i="27"/>
  <c r="M9" i="27"/>
  <c r="M20" i="27"/>
  <c r="N20" i="27" s="1"/>
  <c r="P20" i="27" s="1"/>
  <c r="L9" i="27"/>
  <c r="L5" i="27"/>
  <c r="M19" i="27"/>
  <c r="L92" i="27"/>
  <c r="L83" i="27"/>
  <c r="L76" i="27"/>
  <c r="L72" i="27"/>
  <c r="M63" i="27"/>
  <c r="M52" i="27"/>
  <c r="M44" i="27"/>
  <c r="M36" i="27"/>
  <c r="M28" i="27"/>
  <c r="M91" i="27"/>
  <c r="M88" i="27"/>
  <c r="M64" i="27"/>
  <c r="L55" i="27"/>
  <c r="M47" i="27"/>
  <c r="M39" i="27"/>
  <c r="M31" i="27"/>
  <c r="M23" i="27"/>
  <c r="M87" i="27"/>
  <c r="M79" i="27"/>
  <c r="M69" i="27"/>
  <c r="L60" i="27"/>
  <c r="M54" i="27"/>
  <c r="M46" i="27"/>
  <c r="M38" i="27"/>
  <c r="M30" i="27"/>
  <c r="M22" i="27"/>
  <c r="L85" i="27"/>
  <c r="M80" i="27"/>
  <c r="L77" i="27"/>
  <c r="M73" i="27"/>
  <c r="M66" i="27"/>
  <c r="L57" i="27"/>
  <c r="L50" i="27"/>
  <c r="L42" i="27"/>
  <c r="L34" i="27"/>
  <c r="L26" i="27"/>
  <c r="L19" i="27"/>
  <c r="M15" i="27"/>
  <c r="L12" i="27"/>
  <c r="M8" i="27"/>
  <c r="M4" i="27"/>
  <c r="L8" i="27"/>
  <c r="L4" i="27"/>
  <c r="M18" i="27"/>
  <c r="L71" i="27"/>
  <c r="L49" i="27"/>
  <c r="L59" i="27"/>
  <c r="L36" i="27"/>
  <c r="M78" i="27"/>
  <c r="L43" i="27"/>
  <c r="M25" i="27"/>
  <c r="L15" i="27"/>
  <c r="M17" i="27"/>
  <c r="N17" i="27" s="1"/>
  <c r="P17" i="27" s="1"/>
  <c r="BC24" i="27"/>
  <c r="BE24" i="27" s="1"/>
  <c r="BC37" i="27"/>
  <c r="BE37" i="27" s="1"/>
  <c r="S39" i="27"/>
  <c r="U39" i="27" s="1"/>
  <c r="BC39" i="27"/>
  <c r="BE39" i="27" s="1"/>
  <c r="AW39" i="27"/>
  <c r="AY39" i="27" s="1"/>
  <c r="BI40" i="27"/>
  <c r="BK40" i="27" s="1"/>
  <c r="AE40" i="27"/>
  <c r="AG40" i="27" s="1"/>
  <c r="AK41" i="27"/>
  <c r="AM41" i="27" s="1"/>
  <c r="BC41" i="27"/>
  <c r="BE41" i="27" s="1"/>
  <c r="BI41" i="27"/>
  <c r="BK41" i="27" s="1"/>
  <c r="AK42" i="27"/>
  <c r="AM42" i="27" s="1"/>
  <c r="AE42" i="27"/>
  <c r="AG42" i="27" s="1"/>
  <c r="AQ43" i="27"/>
  <c r="AS43" i="27" s="1"/>
  <c r="AK43" i="27"/>
  <c r="AM43" i="27" s="1"/>
  <c r="AE43" i="27"/>
  <c r="AG43" i="27" s="1"/>
  <c r="AK44" i="27"/>
  <c r="AM44" i="27" s="1"/>
  <c r="BI44" i="27"/>
  <c r="BK44" i="27" s="1"/>
  <c r="BI45" i="27"/>
  <c r="BK45" i="27" s="1"/>
  <c r="BU45" i="27"/>
  <c r="BW45" i="27" s="1"/>
  <c r="Y45" i="27"/>
  <c r="AA45" i="27" s="1"/>
  <c r="BU46" i="27"/>
  <c r="BW46" i="27" s="1"/>
  <c r="BC46" i="27"/>
  <c r="BE46" i="27" s="1"/>
  <c r="Y47" i="27"/>
  <c r="AA47" i="27" s="1"/>
  <c r="S47" i="27"/>
  <c r="U47" i="27" s="1"/>
  <c r="BC47" i="27"/>
  <c r="BE47" i="27" s="1"/>
  <c r="AQ48" i="27"/>
  <c r="AS48" i="27" s="1"/>
  <c r="BC48" i="27"/>
  <c r="BE48" i="27" s="1"/>
  <c r="Y49" i="27"/>
  <c r="AA49" i="27" s="1"/>
  <c r="AE49" i="27"/>
  <c r="AG49" i="27" s="1"/>
  <c r="BU49" i="27"/>
  <c r="BW49" i="27" s="1"/>
  <c r="AQ50" i="27"/>
  <c r="AS50" i="27" s="1"/>
  <c r="BU50" i="27"/>
  <c r="BW50" i="27" s="1"/>
  <c r="Y51" i="27"/>
  <c r="AA51" i="27" s="1"/>
  <c r="S51" i="27"/>
  <c r="U51" i="27" s="1"/>
  <c r="AE51" i="27"/>
  <c r="AG51" i="27" s="1"/>
  <c r="S52" i="27"/>
  <c r="U52" i="27" s="1"/>
  <c r="AK52" i="27"/>
  <c r="AM52" i="27" s="1"/>
  <c r="Y53" i="27"/>
  <c r="AA53" i="27" s="1"/>
  <c r="AQ53" i="27"/>
  <c r="AS53" i="27" s="1"/>
  <c r="BU53" i="27"/>
  <c r="BW53" i="27" s="1"/>
  <c r="AK54" i="27"/>
  <c r="AM54" i="27" s="1"/>
  <c r="AE54" i="27"/>
  <c r="AG54" i="27" s="1"/>
  <c r="BI54" i="27"/>
  <c r="BK54" i="27" s="1"/>
  <c r="Y55" i="27"/>
  <c r="AA55" i="27" s="1"/>
  <c r="AQ55" i="27"/>
  <c r="AS55" i="27" s="1"/>
  <c r="AQ56" i="27"/>
  <c r="AS56" i="27" s="1"/>
  <c r="AE56" i="27"/>
  <c r="AG56" i="27" s="1"/>
  <c r="S56" i="27"/>
  <c r="U56" i="27" s="1"/>
  <c r="BU57" i="27"/>
  <c r="BW57" i="27" s="1"/>
  <c r="S57" i="27"/>
  <c r="U57" i="27" s="1"/>
  <c r="BC58" i="27"/>
  <c r="BE58" i="27" s="1"/>
  <c r="AQ58" i="27"/>
  <c r="AS58" i="27" s="1"/>
  <c r="BI58" i="27"/>
  <c r="BK58" i="27" s="1"/>
  <c r="S59" i="27"/>
  <c r="U59" i="27" s="1"/>
  <c r="AW59" i="27"/>
  <c r="AY59" i="27" s="1"/>
  <c r="L82" i="27"/>
  <c r="L41" i="27"/>
  <c r="M86" i="27"/>
  <c r="L28" i="27"/>
  <c r="M68" i="27"/>
  <c r="M57" i="27"/>
  <c r="L35" i="27"/>
  <c r="M83" i="27"/>
  <c r="M72" i="27"/>
  <c r="M49" i="27"/>
  <c r="L18" i="27"/>
  <c r="M11" i="27"/>
  <c r="L11" i="27"/>
  <c r="AE39" i="27"/>
  <c r="AG39" i="27" s="1"/>
  <c r="Y39" i="27"/>
  <c r="AA39" i="27" s="1"/>
  <c r="AQ39" i="27"/>
  <c r="AS39" i="27" s="1"/>
  <c r="S40" i="27"/>
  <c r="U40" i="27" s="1"/>
  <c r="BU40" i="27"/>
  <c r="BW40" i="27" s="1"/>
  <c r="AE41" i="27"/>
  <c r="AG41" i="27" s="1"/>
  <c r="S41" i="27"/>
  <c r="U41" i="27" s="1"/>
  <c r="AW41" i="27"/>
  <c r="AY41" i="27" s="1"/>
  <c r="AQ42" i="27"/>
  <c r="AS42" i="27" s="1"/>
  <c r="BU42" i="27"/>
  <c r="BW42" i="27" s="1"/>
  <c r="Y43" i="27"/>
  <c r="AA43" i="27" s="1"/>
  <c r="AW43" i="27"/>
  <c r="AY43" i="27" s="1"/>
  <c r="BU43" i="27"/>
  <c r="BW43" i="27" s="1"/>
  <c r="BI43" i="27"/>
  <c r="BK43" i="27" s="1"/>
  <c r="AQ44" i="27"/>
  <c r="AS44" i="27" s="1"/>
  <c r="BC44" i="27"/>
  <c r="BE44" i="27" s="1"/>
  <c r="S44" i="27"/>
  <c r="U44" i="27" s="1"/>
  <c r="AW45" i="27"/>
  <c r="AY45" i="27" s="1"/>
  <c r="BO45" i="27"/>
  <c r="BQ45" i="27" s="1"/>
  <c r="AK46" i="27"/>
  <c r="AM46" i="27" s="1"/>
  <c r="BO46" i="27"/>
  <c r="BQ46" i="27" s="1"/>
  <c r="BI46" i="27"/>
  <c r="BK46" i="27" s="1"/>
  <c r="BO47" i="27"/>
  <c r="BQ47" i="27" s="1"/>
  <c r="AE47" i="27"/>
  <c r="AG47" i="27" s="1"/>
  <c r="BI48" i="27"/>
  <c r="BK48" i="27" s="1"/>
  <c r="AE48" i="27"/>
  <c r="AG48" i="27" s="1"/>
  <c r="Y48" i="27"/>
  <c r="AA48" i="27" s="1"/>
  <c r="AQ49" i="27"/>
  <c r="AS49" i="27" s="1"/>
  <c r="BO49" i="27"/>
  <c r="BQ49" i="27" s="1"/>
  <c r="BI50" i="27"/>
  <c r="BK50" i="27" s="1"/>
  <c r="AW50" i="27"/>
  <c r="AY50" i="27" s="1"/>
  <c r="S50" i="27"/>
  <c r="U50" i="27" s="1"/>
  <c r="BO51" i="27"/>
  <c r="BQ51" i="27" s="1"/>
  <c r="BU51" i="27"/>
  <c r="BW51" i="27" s="1"/>
  <c r="BO52" i="27"/>
  <c r="BQ52" i="27" s="1"/>
  <c r="AW52" i="27"/>
  <c r="AY52" i="27" s="1"/>
  <c r="BC52" i="27"/>
  <c r="BE52" i="27" s="1"/>
  <c r="BI53" i="27"/>
  <c r="BK53" i="27" s="1"/>
  <c r="BO53" i="27"/>
  <c r="BQ53" i="27" s="1"/>
  <c r="AQ54" i="27"/>
  <c r="AS54" i="27" s="1"/>
  <c r="BU54" i="27"/>
  <c r="BW54" i="27" s="1"/>
  <c r="Y54" i="27"/>
  <c r="AA54" i="27" s="1"/>
  <c r="BO55" i="27"/>
  <c r="BQ55" i="27" s="1"/>
  <c r="AE55" i="27"/>
  <c r="AG55" i="27" s="1"/>
  <c r="AW56" i="27"/>
  <c r="AY56" i="27" s="1"/>
  <c r="BI56" i="27"/>
  <c r="BK56" i="27" s="1"/>
  <c r="Y56" i="27"/>
  <c r="AA56" i="27" s="1"/>
  <c r="BI57" i="27"/>
  <c r="BK57" i="27" s="1"/>
  <c r="BC57" i="27"/>
  <c r="BE57" i="27" s="1"/>
  <c r="S58" i="27"/>
  <c r="U58" i="27" s="1"/>
  <c r="AW58" i="27"/>
  <c r="AY58" i="27" s="1"/>
  <c r="AK58" i="27"/>
  <c r="AM58" i="27" s="1"/>
  <c r="Y59" i="27"/>
  <c r="AA59" i="27" s="1"/>
  <c r="M74" i="27"/>
  <c r="L33" i="27"/>
  <c r="L52" i="27"/>
  <c r="L91" i="27"/>
  <c r="L27" i="27"/>
  <c r="L61" i="27"/>
  <c r="M41" i="27"/>
  <c r="M14" i="27"/>
  <c r="M7" i="27"/>
  <c r="L7" i="27"/>
  <c r="BU39" i="27"/>
  <c r="BW39" i="27" s="1"/>
  <c r="BO39" i="27"/>
  <c r="BQ39" i="27" s="1"/>
  <c r="BO40" i="27"/>
  <c r="BQ40" i="27" s="1"/>
  <c r="AW40" i="27"/>
  <c r="AY40" i="27" s="1"/>
  <c r="AK40" i="27"/>
  <c r="AM40" i="27" s="1"/>
  <c r="BU41" i="27"/>
  <c r="BW41" i="27" s="1"/>
  <c r="Y41" i="27"/>
  <c r="AA41" i="27" s="1"/>
  <c r="BI42" i="27"/>
  <c r="BK42" i="27" s="1"/>
  <c r="AW42" i="27"/>
  <c r="AY42" i="27" s="1"/>
  <c r="S42" i="27"/>
  <c r="U42" i="27" s="1"/>
  <c r="BC43" i="27"/>
  <c r="BE43" i="27" s="1"/>
  <c r="AE44" i="27"/>
  <c r="AG44" i="27" s="1"/>
  <c r="BO44" i="27"/>
  <c r="BQ44" i="27" s="1"/>
  <c r="AW44" i="27"/>
  <c r="AY44" i="27" s="1"/>
  <c r="AK45" i="27"/>
  <c r="AM45" i="27" s="1"/>
  <c r="BC45" i="27"/>
  <c r="BE45" i="27" s="1"/>
  <c r="AQ46" i="27"/>
  <c r="AS46" i="27" s="1"/>
  <c r="AE46" i="27"/>
  <c r="AG46" i="27" s="1"/>
  <c r="Y46" i="27"/>
  <c r="AA46" i="27" s="1"/>
  <c r="AK47" i="27"/>
  <c r="AM47" i="27" s="1"/>
  <c r="BU47" i="27"/>
  <c r="BW47" i="27" s="1"/>
  <c r="S48" i="27"/>
  <c r="U48" i="27" s="1"/>
  <c r="BU48" i="27"/>
  <c r="BW48" i="27" s="1"/>
  <c r="BO48" i="27"/>
  <c r="BQ48" i="27" s="1"/>
  <c r="BI49" i="27"/>
  <c r="BK49" i="27" s="1"/>
  <c r="BC49" i="27"/>
  <c r="BE49" i="27" s="1"/>
  <c r="Y50" i="27"/>
  <c r="AA50" i="27" s="1"/>
  <c r="BO50" i="27"/>
  <c r="BQ50" i="27" s="1"/>
  <c r="BC50" i="27"/>
  <c r="BE50" i="27" s="1"/>
  <c r="AK51" i="27"/>
  <c r="AM51" i="27" s="1"/>
  <c r="BI51" i="27"/>
  <c r="BK51" i="27" s="1"/>
  <c r="Y52" i="27"/>
  <c r="AA52" i="27" s="1"/>
  <c r="BU92" i="27"/>
  <c r="BW92" i="27" s="1"/>
  <c r="AW92" i="27"/>
  <c r="AY92" i="27" s="1"/>
  <c r="Y91" i="27"/>
  <c r="AA91" i="27" s="1"/>
  <c r="BC91" i="27"/>
  <c r="BE91" i="27" s="1"/>
  <c r="BO91" i="27"/>
  <c r="BQ91" i="27" s="1"/>
  <c r="AE90" i="27"/>
  <c r="AG90" i="27" s="1"/>
  <c r="AK90" i="27"/>
  <c r="AM90" i="27" s="1"/>
  <c r="BU89" i="27"/>
  <c r="BW89" i="27" s="1"/>
  <c r="AQ89" i="27"/>
  <c r="AS89" i="27" s="1"/>
  <c r="Y89" i="27"/>
  <c r="AA89" i="27" s="1"/>
  <c r="Y88" i="27"/>
  <c r="AA88" i="27" s="1"/>
  <c r="AW88" i="27"/>
  <c r="AY88" i="27" s="1"/>
  <c r="BI87" i="27"/>
  <c r="BK87" i="27" s="1"/>
  <c r="AW87" i="27"/>
  <c r="AY87" i="27" s="1"/>
  <c r="BC87" i="27"/>
  <c r="BE87" i="27" s="1"/>
  <c r="AW86" i="27"/>
  <c r="AY86" i="27" s="1"/>
  <c r="Y86" i="27"/>
  <c r="AA86" i="27" s="1"/>
  <c r="BI85" i="27"/>
  <c r="BK85" i="27" s="1"/>
  <c r="BO85" i="27"/>
  <c r="BQ85" i="27" s="1"/>
  <c r="Y85" i="27"/>
  <c r="AA85" i="27" s="1"/>
  <c r="AK84" i="27"/>
  <c r="AM84" i="27" s="1"/>
  <c r="AE84" i="27"/>
  <c r="AG84" i="27" s="1"/>
  <c r="BI83" i="27"/>
  <c r="BK83" i="27" s="1"/>
  <c r="BO83" i="27"/>
  <c r="BQ83" i="27" s="1"/>
  <c r="AW82" i="27"/>
  <c r="AY82" i="27" s="1"/>
  <c r="BI82" i="27"/>
  <c r="BK82" i="27" s="1"/>
  <c r="BO81" i="27"/>
  <c r="BQ81" i="27" s="1"/>
  <c r="AK81" i="27"/>
  <c r="AM81" i="27" s="1"/>
  <c r="Y81" i="27"/>
  <c r="AA81" i="27" s="1"/>
  <c r="BC80" i="27"/>
  <c r="BE80" i="27" s="1"/>
  <c r="BI80" i="27"/>
  <c r="BK80" i="27" s="1"/>
  <c r="Y79" i="27"/>
  <c r="AA79" i="27" s="1"/>
  <c r="AW79" i="27"/>
  <c r="AY79" i="27" s="1"/>
  <c r="AQ79" i="27"/>
  <c r="AS79" i="27" s="1"/>
  <c r="BI78" i="27"/>
  <c r="BK78" i="27" s="1"/>
  <c r="AK78" i="27"/>
  <c r="AM78" i="27" s="1"/>
  <c r="AQ77" i="27"/>
  <c r="AS77" i="27" s="1"/>
  <c r="S77" i="27"/>
  <c r="U77" i="27" s="1"/>
  <c r="BI77" i="27"/>
  <c r="BK77" i="27" s="1"/>
  <c r="AK76" i="27"/>
  <c r="AM76" i="27" s="1"/>
  <c r="Y76" i="27"/>
  <c r="AA76" i="27" s="1"/>
  <c r="BC75" i="27"/>
  <c r="BE75" i="27" s="1"/>
  <c r="Y75" i="27"/>
  <c r="AA75" i="27" s="1"/>
  <c r="S75" i="27"/>
  <c r="U75" i="27" s="1"/>
  <c r="S74" i="27"/>
  <c r="U74" i="27" s="1"/>
  <c r="AE74" i="27"/>
  <c r="AG74" i="27" s="1"/>
  <c r="S73" i="27"/>
  <c r="U73" i="27" s="1"/>
  <c r="BC72" i="27"/>
  <c r="BE72" i="27" s="1"/>
  <c r="Y72" i="27"/>
  <c r="AA72" i="27" s="1"/>
  <c r="AE72" i="27"/>
  <c r="AG72" i="27" s="1"/>
  <c r="BU71" i="27"/>
  <c r="BW71" i="27" s="1"/>
  <c r="BI71" i="27"/>
  <c r="BK71" i="27" s="1"/>
  <c r="AK70" i="27"/>
  <c r="AM70" i="27" s="1"/>
  <c r="Y70" i="27"/>
  <c r="AA70" i="27" s="1"/>
  <c r="AE70" i="27"/>
  <c r="AG70" i="27" s="1"/>
  <c r="BI69" i="27"/>
  <c r="BK69" i="27" s="1"/>
  <c r="BC69" i="27"/>
  <c r="BE69" i="27" s="1"/>
  <c r="BI68" i="27"/>
  <c r="BK68" i="27" s="1"/>
  <c r="AK68" i="27"/>
  <c r="AM68" i="27" s="1"/>
  <c r="AW68" i="27"/>
  <c r="AY68" i="27" s="1"/>
  <c r="BO67" i="27"/>
  <c r="BQ67" i="27" s="1"/>
  <c r="AQ67" i="27"/>
  <c r="AS67" i="27" s="1"/>
  <c r="AQ66" i="27"/>
  <c r="AS66" i="27" s="1"/>
  <c r="AE66" i="27"/>
  <c r="AG66" i="27" s="1"/>
  <c r="AK66" i="27"/>
  <c r="AM66" i="27" s="1"/>
  <c r="BO65" i="27"/>
  <c r="BQ65" i="27" s="1"/>
  <c r="BC65" i="27"/>
  <c r="BE65" i="27" s="1"/>
  <c r="BC64" i="27"/>
  <c r="BE64" i="27" s="1"/>
  <c r="AQ64" i="27"/>
  <c r="AS64" i="27" s="1"/>
  <c r="Y64" i="27"/>
  <c r="AA64" i="27" s="1"/>
  <c r="AK63" i="27"/>
  <c r="AM63" i="27" s="1"/>
  <c r="BI63" i="27"/>
  <c r="BK63" i="27" s="1"/>
  <c r="BI62" i="27"/>
  <c r="BK62" i="27" s="1"/>
  <c r="AQ62" i="27"/>
  <c r="AS62" i="27" s="1"/>
  <c r="AE62" i="27"/>
  <c r="AG62" i="27" s="1"/>
  <c r="AQ61" i="27"/>
  <c r="AS61" i="27" s="1"/>
  <c r="AE61" i="27"/>
  <c r="AG61" i="27" s="1"/>
  <c r="Y60" i="27"/>
  <c r="AA60" i="27" s="1"/>
  <c r="AE60" i="27"/>
  <c r="AG60" i="27" s="1"/>
  <c r="AQ60" i="27"/>
  <c r="AS60" i="27" s="1"/>
  <c r="AQ59" i="27"/>
  <c r="AS59" i="27" s="1"/>
  <c r="AE58" i="27"/>
  <c r="AG58" i="27" s="1"/>
  <c r="AW57" i="27"/>
  <c r="AY57" i="27" s="1"/>
  <c r="BO57" i="27"/>
  <c r="BQ57" i="27" s="1"/>
  <c r="BO56" i="27"/>
  <c r="BQ56" i="27" s="1"/>
  <c r="S55" i="27"/>
  <c r="U55" i="27" s="1"/>
  <c r="BC54" i="27"/>
  <c r="BE54" i="27" s="1"/>
  <c r="AQ52" i="27"/>
  <c r="AS52" i="27" s="1"/>
  <c r="AW51" i="27"/>
  <c r="AY51" i="27" s="1"/>
  <c r="AK49" i="27"/>
  <c r="AM49" i="27" s="1"/>
  <c r="AW48" i="27"/>
  <c r="AY48" i="27" s="1"/>
  <c r="S46" i="27"/>
  <c r="U46" i="27" s="1"/>
  <c r="AQ45" i="27"/>
  <c r="AS45" i="27" s="1"/>
  <c r="BO43" i="27"/>
  <c r="BQ43" i="27" s="1"/>
  <c r="Y42" i="27"/>
  <c r="AA42" i="27" s="1"/>
  <c r="AQ40" i="27"/>
  <c r="AS40" i="27" s="1"/>
  <c r="M92" i="27"/>
  <c r="L64" i="27"/>
  <c r="L25" i="27"/>
  <c r="BI92" i="27"/>
  <c r="BK92" i="27" s="1"/>
  <c r="AK92" i="27"/>
  <c r="AM92" i="27" s="1"/>
  <c r="AW91" i="27"/>
  <c r="AY91" i="27" s="1"/>
  <c r="BU91" i="27"/>
  <c r="BW91" i="27" s="1"/>
  <c r="AK91" i="27"/>
  <c r="AM91" i="27" s="1"/>
  <c r="BO90" i="27"/>
  <c r="BQ90" i="27" s="1"/>
  <c r="BC90" i="27"/>
  <c r="BE90" i="27" s="1"/>
  <c r="AK89" i="27"/>
  <c r="AM89" i="27" s="1"/>
  <c r="BO89" i="27"/>
  <c r="BQ89" i="27" s="1"/>
  <c r="AW89" i="27"/>
  <c r="AY89" i="27" s="1"/>
  <c r="BI88" i="27"/>
  <c r="BK88" i="27" s="1"/>
  <c r="BC88" i="27"/>
  <c r="BE88" i="27" s="1"/>
  <c r="AE87" i="27"/>
  <c r="AG87" i="27" s="1"/>
  <c r="S87" i="27"/>
  <c r="U87" i="27" s="1"/>
  <c r="BO87" i="27"/>
  <c r="BQ87" i="27" s="1"/>
  <c r="BU86" i="27"/>
  <c r="BW86" i="27" s="1"/>
  <c r="BI86" i="27"/>
  <c r="BK86" i="27" s="1"/>
  <c r="BC85" i="27"/>
  <c r="BE85" i="27" s="1"/>
  <c r="BU85" i="27"/>
  <c r="BW85" i="27" s="1"/>
  <c r="S85" i="27"/>
  <c r="U85" i="27" s="1"/>
  <c r="BU84" i="27"/>
  <c r="BW84" i="27" s="1"/>
  <c r="AQ84" i="27"/>
  <c r="AS84" i="27" s="1"/>
  <c r="Y83" i="27"/>
  <c r="AA83" i="27" s="1"/>
  <c r="AE83" i="27"/>
  <c r="AG83" i="27" s="1"/>
  <c r="AQ83" i="27"/>
  <c r="AS83" i="27" s="1"/>
  <c r="AQ82" i="27"/>
  <c r="AS82" i="27" s="1"/>
  <c r="AE82" i="27"/>
  <c r="AG82" i="27" s="1"/>
  <c r="BC82" i="27"/>
  <c r="BE82" i="27" s="1"/>
  <c r="AE81" i="27"/>
  <c r="AG81" i="27" s="1"/>
  <c r="S81" i="27"/>
  <c r="U81" i="27" s="1"/>
  <c r="AK80" i="27"/>
  <c r="AM80" i="27" s="1"/>
  <c r="BO80" i="27"/>
  <c r="BQ80" i="27" s="1"/>
  <c r="AW80" i="27"/>
  <c r="AY80" i="27" s="1"/>
  <c r="BI79" i="27"/>
  <c r="BK79" i="27" s="1"/>
  <c r="S79" i="27"/>
  <c r="U79" i="27" s="1"/>
  <c r="AW78" i="27"/>
  <c r="AY78" i="27" s="1"/>
  <c r="AQ78" i="27"/>
  <c r="AS78" i="27" s="1"/>
  <c r="BO78" i="27"/>
  <c r="BQ78" i="27" s="1"/>
  <c r="AK77" i="27"/>
  <c r="AM77" i="27" s="1"/>
  <c r="AE77" i="27"/>
  <c r="AG77" i="27" s="1"/>
  <c r="BI76" i="27"/>
  <c r="BK76" i="27" s="1"/>
  <c r="AW76" i="27"/>
  <c r="AY76" i="27" s="1"/>
  <c r="S76" i="27"/>
  <c r="U76" i="27" s="1"/>
  <c r="AE75" i="27"/>
  <c r="AG75" i="27" s="1"/>
  <c r="BU75" i="27"/>
  <c r="BW75" i="27" s="1"/>
  <c r="AW74" i="27"/>
  <c r="AY74" i="27" s="1"/>
  <c r="BC74" i="27"/>
  <c r="BE74" i="27" s="1"/>
  <c r="BO74" i="27"/>
  <c r="BQ74" i="27" s="1"/>
  <c r="BI73" i="27"/>
  <c r="BK73" i="27" s="1"/>
  <c r="AW73" i="27"/>
  <c r="AY73" i="27" s="1"/>
  <c r="AQ73" i="27"/>
  <c r="AS73" i="27" s="1"/>
  <c r="Y73" i="27"/>
  <c r="AA73" i="27" s="1"/>
  <c r="S72" i="27"/>
  <c r="U72" i="27" s="1"/>
  <c r="AQ72" i="27"/>
  <c r="AS72" i="27" s="1"/>
  <c r="BU72" i="27"/>
  <c r="BW72" i="27" s="1"/>
  <c r="BO71" i="27"/>
  <c r="BQ71" i="27" s="1"/>
  <c r="AK71" i="27"/>
  <c r="AM71" i="27" s="1"/>
  <c r="AW70" i="27"/>
  <c r="AY70" i="27" s="1"/>
  <c r="BC70" i="27"/>
  <c r="BE70" i="27" s="1"/>
  <c r="AQ70" i="27"/>
  <c r="AS70" i="27" s="1"/>
  <c r="AK69" i="27"/>
  <c r="AM69" i="27" s="1"/>
  <c r="AE69" i="27"/>
  <c r="AG69" i="27" s="1"/>
  <c r="BC68" i="27"/>
  <c r="BE68" i="27" s="1"/>
  <c r="S68" i="27"/>
  <c r="U68" i="27" s="1"/>
  <c r="AE68" i="27"/>
  <c r="AG68" i="27" s="1"/>
  <c r="AW67" i="27"/>
  <c r="AY67" i="27" s="1"/>
  <c r="Y67" i="27"/>
  <c r="AA67" i="27" s="1"/>
  <c r="BC66" i="27"/>
  <c r="BE66" i="27" s="1"/>
  <c r="BI66" i="27"/>
  <c r="BK66" i="27" s="1"/>
  <c r="AW66" i="27"/>
  <c r="AY66" i="27" s="1"/>
  <c r="AK65" i="27"/>
  <c r="AM65" i="27" s="1"/>
  <c r="Y65" i="27"/>
  <c r="AA65" i="27" s="1"/>
  <c r="BO64" i="27"/>
  <c r="BQ64" i="27" s="1"/>
  <c r="BU64" i="27"/>
  <c r="BW64" i="27" s="1"/>
  <c r="BI64" i="27"/>
  <c r="BK64" i="27" s="1"/>
  <c r="AW63" i="27"/>
  <c r="AY63" i="27" s="1"/>
  <c r="BU63" i="27"/>
  <c r="BW63" i="27" s="1"/>
  <c r="AE63" i="27"/>
  <c r="AG63" i="27" s="1"/>
  <c r="BU62" i="27"/>
  <c r="BW62" i="27" s="1"/>
  <c r="BC62" i="27"/>
  <c r="BE62" i="27" s="1"/>
  <c r="BO61" i="27"/>
  <c r="BQ61" i="27" s="1"/>
  <c r="BC61" i="27"/>
  <c r="BE61" i="27" s="1"/>
  <c r="BU61" i="27"/>
  <c r="BW61" i="27" s="1"/>
  <c r="S60" i="27"/>
  <c r="U60" i="27" s="1"/>
  <c r="BO60" i="27"/>
  <c r="BQ60" i="27" s="1"/>
  <c r="AE59" i="27"/>
  <c r="AG59" i="27" s="1"/>
  <c r="AK59" i="27"/>
  <c r="AM59" i="27" s="1"/>
  <c r="BO58" i="27"/>
  <c r="BQ58" i="27" s="1"/>
  <c r="AQ57" i="27"/>
  <c r="AS57" i="27" s="1"/>
  <c r="AK57" i="27"/>
  <c r="AM57" i="27" s="1"/>
  <c r="AK56" i="27"/>
  <c r="AM56" i="27" s="1"/>
  <c r="BC55" i="27"/>
  <c r="BE55" i="27" s="1"/>
  <c r="S54" i="27"/>
  <c r="U54" i="27" s="1"/>
  <c r="AE52" i="27"/>
  <c r="AG52" i="27" s="1"/>
  <c r="AQ51" i="27"/>
  <c r="AS51" i="27" s="1"/>
  <c r="AW49" i="27"/>
  <c r="AY49" i="27" s="1"/>
  <c r="BI47" i="27"/>
  <c r="BK47" i="27" s="1"/>
  <c r="AW46" i="27"/>
  <c r="AY46" i="27" s="1"/>
  <c r="Y44" i="27"/>
  <c r="AA44" i="27" s="1"/>
  <c r="AQ41" i="27"/>
  <c r="AS41" i="27" s="1"/>
  <c r="Y40" i="27"/>
  <c r="AA40" i="27" s="1"/>
  <c r="BC36" i="27"/>
  <c r="BE36" i="27" s="1"/>
  <c r="L3" i="27"/>
  <c r="M33" i="27"/>
  <c r="M76" i="27"/>
  <c r="L51" i="27"/>
  <c r="L58" i="27"/>
  <c r="AQ92" i="27"/>
  <c r="AS92" i="27" s="1"/>
  <c r="BC92" i="27"/>
  <c r="BE92" i="27" s="1"/>
  <c r="AE92" i="27"/>
  <c r="AG92" i="27" s="1"/>
  <c r="AQ91" i="27"/>
  <c r="AS91" i="27" s="1"/>
  <c r="BI91" i="27"/>
  <c r="BK91" i="27" s="1"/>
  <c r="AW90" i="27"/>
  <c r="AY90" i="27" s="1"/>
  <c r="S90" i="27"/>
  <c r="U90" i="27" s="1"/>
  <c r="AQ90" i="27"/>
  <c r="AS90" i="27" s="1"/>
  <c r="AE89" i="27"/>
  <c r="AG89" i="27" s="1"/>
  <c r="BC89" i="27"/>
  <c r="BE89" i="27" s="1"/>
  <c r="BU88" i="27"/>
  <c r="BW88" i="27" s="1"/>
  <c r="AE88" i="27"/>
  <c r="AG88" i="27" s="1"/>
  <c r="AK88" i="27"/>
  <c r="AM88" i="27" s="1"/>
  <c r="AQ87" i="27"/>
  <c r="AS87" i="27" s="1"/>
  <c r="BU87" i="27"/>
  <c r="BW87" i="27" s="1"/>
  <c r="AQ86" i="27"/>
  <c r="AS86" i="27" s="1"/>
  <c r="S86" i="27"/>
  <c r="U86" i="27" s="1"/>
  <c r="AE86" i="27"/>
  <c r="AG86" i="27" s="1"/>
  <c r="AE85" i="27"/>
  <c r="AG85" i="27" s="1"/>
  <c r="AW85" i="27"/>
  <c r="AY85" i="27" s="1"/>
  <c r="BC84" i="27"/>
  <c r="BE84" i="27" s="1"/>
  <c r="AW84" i="27"/>
  <c r="AY84" i="27" s="1"/>
  <c r="Y84" i="27"/>
  <c r="AA84" i="27" s="1"/>
  <c r="BC83" i="27"/>
  <c r="BE83" i="27" s="1"/>
  <c r="AK83" i="27"/>
  <c r="AM83" i="27" s="1"/>
  <c r="Y82" i="27"/>
  <c r="AA82" i="27" s="1"/>
  <c r="AK82" i="27"/>
  <c r="AM82" i="27" s="1"/>
  <c r="BU82" i="27"/>
  <c r="BW82" i="27" s="1"/>
  <c r="AW81" i="27"/>
  <c r="AY81" i="27" s="1"/>
  <c r="BU81" i="27"/>
  <c r="BW81" i="27" s="1"/>
  <c r="Y80" i="27"/>
  <c r="AA80" i="27" s="1"/>
  <c r="AQ80" i="27"/>
  <c r="AS80" i="27" s="1"/>
  <c r="S80" i="27"/>
  <c r="U80" i="27" s="1"/>
  <c r="BC79" i="27"/>
  <c r="BE79" i="27" s="1"/>
  <c r="BO79" i="27"/>
  <c r="BQ79" i="27" s="1"/>
  <c r="BC78" i="27"/>
  <c r="BE78" i="27" s="1"/>
  <c r="S78" i="27"/>
  <c r="U78" i="27" s="1"/>
  <c r="AE78" i="27"/>
  <c r="AG78" i="27" s="1"/>
  <c r="AW77" i="27"/>
  <c r="AY77" i="27" s="1"/>
  <c r="BO77" i="27"/>
  <c r="BQ77" i="27" s="1"/>
  <c r="BU76" i="27"/>
  <c r="BW76" i="27" s="1"/>
  <c r="AQ76" i="27"/>
  <c r="AS76" i="27" s="1"/>
  <c r="AE76" i="27"/>
  <c r="AG76" i="27" s="1"/>
  <c r="AQ75" i="27"/>
  <c r="AS75" i="27" s="1"/>
  <c r="AK75" i="27"/>
  <c r="AM75" i="27" s="1"/>
  <c r="AQ74" i="27"/>
  <c r="AS74" i="27" s="1"/>
  <c r="BU74" i="27"/>
  <c r="BW74" i="27" s="1"/>
  <c r="AK74" i="27"/>
  <c r="AM74" i="27" s="1"/>
  <c r="BU73" i="27"/>
  <c r="BW73" i="27" s="1"/>
  <c r="BC73" i="27"/>
  <c r="BE73" i="27" s="1"/>
  <c r="AK73" i="27"/>
  <c r="AM73" i="27" s="1"/>
  <c r="BI72" i="27"/>
  <c r="BK72" i="27" s="1"/>
  <c r="AK72" i="27"/>
  <c r="AM72" i="27" s="1"/>
  <c r="AE71" i="27"/>
  <c r="AG71" i="27" s="1"/>
  <c r="S71" i="27"/>
  <c r="U71" i="27" s="1"/>
  <c r="AW71" i="27"/>
  <c r="AY71" i="27" s="1"/>
  <c r="S70" i="27"/>
  <c r="U70" i="27" s="1"/>
  <c r="BO70" i="27"/>
  <c r="BQ70" i="27" s="1"/>
  <c r="S69" i="27"/>
  <c r="U69" i="27" s="1"/>
  <c r="Y69" i="27"/>
  <c r="AA69" i="27" s="1"/>
  <c r="BU69" i="27"/>
  <c r="BW69" i="27" s="1"/>
  <c r="Y68" i="27"/>
  <c r="AA68" i="27" s="1"/>
  <c r="BO68" i="27"/>
  <c r="BQ68" i="27" s="1"/>
  <c r="AK67" i="27"/>
  <c r="AM67" i="27" s="1"/>
  <c r="BI67" i="27"/>
  <c r="BK67" i="27" s="1"/>
  <c r="AE67" i="27"/>
  <c r="AG67" i="27" s="1"/>
  <c r="Y66" i="27"/>
  <c r="AA66" i="27" s="1"/>
  <c r="BU66" i="27"/>
  <c r="BW66" i="27" s="1"/>
  <c r="BU65" i="27"/>
  <c r="BW65" i="27" s="1"/>
  <c r="AW65" i="27"/>
  <c r="AY65" i="27" s="1"/>
  <c r="S65" i="27"/>
  <c r="U65" i="27" s="1"/>
  <c r="AK64" i="27"/>
  <c r="AM64" i="27" s="1"/>
  <c r="AW64" i="27"/>
  <c r="AY64" i="27" s="1"/>
  <c r="S63" i="27"/>
  <c r="U63" i="27" s="1"/>
  <c r="Y63" i="27"/>
  <c r="AA63" i="27" s="1"/>
  <c r="BC63" i="27"/>
  <c r="BE63" i="27" s="1"/>
  <c r="AQ63" i="27"/>
  <c r="AS63" i="27" s="1"/>
  <c r="BO62" i="27"/>
  <c r="BQ62" i="27" s="1"/>
  <c r="Y62" i="27"/>
  <c r="AA62" i="27" s="1"/>
  <c r="AK61" i="27"/>
  <c r="AM61" i="27" s="1"/>
  <c r="Y61" i="27"/>
  <c r="AA61" i="27" s="1"/>
  <c r="BI61" i="27"/>
  <c r="BK61" i="27" s="1"/>
  <c r="BC60" i="27"/>
  <c r="BE60" i="27" s="1"/>
  <c r="AK60" i="27"/>
  <c r="AM60" i="27" s="1"/>
  <c r="BO59" i="27"/>
  <c r="BQ59" i="27" s="1"/>
  <c r="BC59" i="27"/>
  <c r="BE59" i="27" s="1"/>
  <c r="BU58" i="27"/>
  <c r="BW58" i="27" s="1"/>
  <c r="AE57" i="27"/>
  <c r="AG57" i="27" s="1"/>
  <c r="BC56" i="27"/>
  <c r="BE56" i="27" s="1"/>
  <c r="BI55" i="27"/>
  <c r="BK55" i="27" s="1"/>
  <c r="AK55" i="27"/>
  <c r="AM55" i="27" s="1"/>
  <c r="BO54" i="27"/>
  <c r="BQ54" i="27" s="1"/>
  <c r="AE53" i="27"/>
  <c r="AG53" i="27" s="1"/>
  <c r="S53" i="27"/>
  <c r="U53" i="27" s="1"/>
  <c r="BI52" i="27"/>
  <c r="BK52" i="27" s="1"/>
  <c r="AE50" i="27"/>
  <c r="AG50" i="27" s="1"/>
  <c r="S49" i="27"/>
  <c r="U49" i="27" s="1"/>
  <c r="AW47" i="27"/>
  <c r="AY47" i="27" s="1"/>
  <c r="S45" i="27"/>
  <c r="U45" i="27" s="1"/>
  <c r="BU44" i="27"/>
  <c r="BW44" i="27" s="1"/>
  <c r="S43" i="27"/>
  <c r="U43" i="27" s="1"/>
  <c r="BC42" i="27"/>
  <c r="BE42" i="27" s="1"/>
  <c r="BO41" i="27"/>
  <c r="BQ41" i="27" s="1"/>
  <c r="AK39" i="27"/>
  <c r="AM39" i="27" s="1"/>
  <c r="L69" i="27"/>
  <c r="M90" i="27"/>
  <c r="Y90" i="26"/>
  <c r="AA90" i="26" s="1"/>
  <c r="Y75" i="26"/>
  <c r="AA75" i="26" s="1"/>
  <c r="AE91" i="12"/>
  <c r="AE90" i="12"/>
  <c r="AE92" i="12"/>
  <c r="AE87" i="12"/>
  <c r="AE88" i="12"/>
  <c r="AE89" i="12"/>
  <c r="AW87" i="26"/>
  <c r="AY87" i="26" s="1"/>
  <c r="BU91" i="26"/>
  <c r="BW91" i="26" s="1"/>
  <c r="AW88" i="26"/>
  <c r="AY88" i="26" s="1"/>
  <c r="BO82" i="26"/>
  <c r="BQ82" i="26" s="1"/>
  <c r="BU79" i="26"/>
  <c r="BW79" i="26" s="1"/>
  <c r="M70" i="26"/>
  <c r="M75" i="26"/>
  <c r="AE74" i="12"/>
  <c r="AE82" i="12"/>
  <c r="AE73" i="12"/>
  <c r="AE75" i="12"/>
  <c r="AE76" i="12"/>
  <c r="AE81" i="12"/>
  <c r="AE83" i="12"/>
  <c r="AE84" i="12"/>
  <c r="AE70" i="12"/>
  <c r="AE78" i="12"/>
  <c r="AE86" i="12"/>
  <c r="AE71" i="12"/>
  <c r="AE72" i="12"/>
  <c r="AE77" i="12"/>
  <c r="AE79" i="12"/>
  <c r="AE80" i="12"/>
  <c r="AE85" i="12"/>
  <c r="AW69" i="26"/>
  <c r="AY69" i="26" s="1"/>
  <c r="BO92" i="26"/>
  <c r="BQ92" i="26" s="1"/>
  <c r="BO89" i="26"/>
  <c r="BQ89" i="26" s="1"/>
  <c r="BC86" i="26"/>
  <c r="BE86" i="26" s="1"/>
  <c r="AE80" i="26"/>
  <c r="AG80" i="26" s="1"/>
  <c r="BI77" i="26"/>
  <c r="BK77" i="26" s="1"/>
  <c r="BI66" i="26"/>
  <c r="BK66" i="26" s="1"/>
  <c r="BI90" i="26"/>
  <c r="BK90" i="26" s="1"/>
  <c r="S87" i="26"/>
  <c r="U87" i="26" s="1"/>
  <c r="AW84" i="26"/>
  <c r="AY84" i="26" s="1"/>
  <c r="AQ82" i="26"/>
  <c r="AS82" i="26" s="1"/>
  <c r="BO78" i="26"/>
  <c r="BQ78" i="26" s="1"/>
  <c r="L9" i="26"/>
  <c r="M27" i="26"/>
  <c r="AW66" i="26"/>
  <c r="AY66" i="26" s="1"/>
  <c r="L92" i="26"/>
  <c r="L52" i="26"/>
  <c r="Y69" i="26"/>
  <c r="AA69" i="26" s="1"/>
  <c r="BC64" i="26"/>
  <c r="BE64" i="26" s="1"/>
  <c r="AK92" i="26"/>
  <c r="AM92" i="26" s="1"/>
  <c r="BI89" i="26"/>
  <c r="BK89" i="26" s="1"/>
  <c r="BI85" i="26"/>
  <c r="BK85" i="26" s="1"/>
  <c r="BI81" i="26"/>
  <c r="BK81" i="26" s="1"/>
  <c r="BO77" i="26"/>
  <c r="BQ77" i="26" s="1"/>
  <c r="AE75" i="26"/>
  <c r="AG75" i="26" s="1"/>
  <c r="L18" i="26"/>
  <c r="M77" i="26"/>
  <c r="AW92" i="26"/>
  <c r="AY92" i="26" s="1"/>
  <c r="AK89" i="26"/>
  <c r="AM89" i="26" s="1"/>
  <c r="Y88" i="26"/>
  <c r="AA88" i="26" s="1"/>
  <c r="BI86" i="26"/>
  <c r="BK86" i="26" s="1"/>
  <c r="AQ85" i="26"/>
  <c r="AS85" i="26" s="1"/>
  <c r="Y84" i="26"/>
  <c r="AA84" i="26" s="1"/>
  <c r="AW83" i="26"/>
  <c r="AY83" i="26" s="1"/>
  <c r="S81" i="26"/>
  <c r="U81" i="26" s="1"/>
  <c r="Y80" i="26"/>
  <c r="AA80" i="26" s="1"/>
  <c r="BI79" i="26"/>
  <c r="BK79" i="26" s="1"/>
  <c r="BC77" i="26"/>
  <c r="BE77" i="26" s="1"/>
  <c r="M17" i="26"/>
  <c r="M19" i="26"/>
  <c r="M63" i="26"/>
  <c r="M42" i="26"/>
  <c r="M68" i="26"/>
  <c r="BU75" i="26"/>
  <c r="BW75" i="26" s="1"/>
  <c r="AK77" i="26"/>
  <c r="AM77" i="26" s="1"/>
  <c r="AE76" i="26"/>
  <c r="AG76" i="26" s="1"/>
  <c r="BI76" i="26"/>
  <c r="BK76" i="26" s="1"/>
  <c r="Y78" i="26"/>
  <c r="AA78" i="26" s="1"/>
  <c r="AE79" i="26"/>
  <c r="AG79" i="26" s="1"/>
  <c r="Y79" i="26"/>
  <c r="AA79" i="26" s="1"/>
  <c r="BI80" i="26"/>
  <c r="BK80" i="26" s="1"/>
  <c r="BU81" i="26"/>
  <c r="BW81" i="26" s="1"/>
  <c r="AK82" i="26"/>
  <c r="AM82" i="26" s="1"/>
  <c r="AQ83" i="26"/>
  <c r="AS83" i="26" s="1"/>
  <c r="BC83" i="26"/>
  <c r="BE83" i="26" s="1"/>
  <c r="AE84" i="26"/>
  <c r="AG84" i="26" s="1"/>
  <c r="BU85" i="26"/>
  <c r="BW85" i="26" s="1"/>
  <c r="AK86" i="26"/>
  <c r="AM86" i="26" s="1"/>
  <c r="BO87" i="26"/>
  <c r="BQ87" i="26" s="1"/>
  <c r="AE87" i="26"/>
  <c r="AG87" i="26" s="1"/>
  <c r="AE88" i="26"/>
  <c r="AG88" i="26" s="1"/>
  <c r="AQ89" i="26"/>
  <c r="AS89" i="26" s="1"/>
  <c r="BU89" i="26"/>
  <c r="BW89" i="26" s="1"/>
  <c r="BU90" i="26"/>
  <c r="BW90" i="26" s="1"/>
  <c r="AW90" i="26"/>
  <c r="AY90" i="26" s="1"/>
  <c r="S91" i="26"/>
  <c r="U91" i="26" s="1"/>
  <c r="AQ91" i="26"/>
  <c r="AS91" i="26" s="1"/>
  <c r="AQ92" i="26"/>
  <c r="AS92" i="26" s="1"/>
  <c r="AW61" i="26"/>
  <c r="AY61" i="26" s="1"/>
  <c r="AW64" i="26"/>
  <c r="AY64" i="26" s="1"/>
  <c r="Y65" i="26"/>
  <c r="AA65" i="26" s="1"/>
  <c r="M58" i="26"/>
  <c r="M40" i="26"/>
  <c r="M39" i="26"/>
  <c r="BI73" i="26"/>
  <c r="BK73" i="26" s="1"/>
  <c r="BC74" i="26"/>
  <c r="BE74" i="26" s="1"/>
  <c r="BI75" i="26"/>
  <c r="BK75" i="26" s="1"/>
  <c r="S77" i="26"/>
  <c r="U77" i="26" s="1"/>
  <c r="Y76" i="26"/>
  <c r="AA76" i="26" s="1"/>
  <c r="BI78" i="26"/>
  <c r="BK78" i="26" s="1"/>
  <c r="AQ78" i="26"/>
  <c r="AS78" i="26" s="1"/>
  <c r="AQ79" i="26"/>
  <c r="AS79" i="26" s="1"/>
  <c r="AK80" i="26"/>
  <c r="AM80" i="26" s="1"/>
  <c r="Y81" i="26"/>
  <c r="AA81" i="26" s="1"/>
  <c r="S82" i="26"/>
  <c r="U82" i="26" s="1"/>
  <c r="Y82" i="26"/>
  <c r="AA82" i="26" s="1"/>
  <c r="BU83" i="26"/>
  <c r="BW83" i="26" s="1"/>
  <c r="BU84" i="26"/>
  <c r="BW84" i="26" s="1"/>
  <c r="AW85" i="26"/>
  <c r="AY85" i="26" s="1"/>
  <c r="BU86" i="26"/>
  <c r="BW86" i="26" s="1"/>
  <c r="AK87" i="26"/>
  <c r="AM87" i="26" s="1"/>
  <c r="BC88" i="26"/>
  <c r="BE88" i="26" s="1"/>
  <c r="BI88" i="26"/>
  <c r="BK88" i="26" s="1"/>
  <c r="AQ90" i="26"/>
  <c r="AS90" i="26" s="1"/>
  <c r="BC91" i="26"/>
  <c r="BE91" i="26" s="1"/>
  <c r="AK91" i="26"/>
  <c r="AM91" i="26" s="1"/>
  <c r="BU92" i="26"/>
  <c r="BW92" i="26" s="1"/>
  <c r="Y92" i="26"/>
  <c r="AA92" i="26" s="1"/>
  <c r="AQ68" i="26"/>
  <c r="AS68" i="26" s="1"/>
  <c r="Y66" i="26"/>
  <c r="AA66" i="26" s="1"/>
  <c r="BU64" i="26"/>
  <c r="BW64" i="26" s="1"/>
  <c r="BI61" i="26"/>
  <c r="BK61" i="26" s="1"/>
  <c r="Y60" i="26"/>
  <c r="AA60" i="26" s="1"/>
  <c r="AW86" i="26"/>
  <c r="AY86" i="26" s="1"/>
  <c r="AE85" i="26"/>
  <c r="AG85" i="26" s="1"/>
  <c r="BO84" i="26"/>
  <c r="BQ84" i="26" s="1"/>
  <c r="BI83" i="26"/>
  <c r="BK83" i="26" s="1"/>
  <c r="AW81" i="26"/>
  <c r="AY81" i="26" s="1"/>
  <c r="BO80" i="26"/>
  <c r="BQ80" i="26" s="1"/>
  <c r="BO79" i="26"/>
  <c r="BQ79" i="26" s="1"/>
  <c r="AK76" i="26"/>
  <c r="AM76" i="26" s="1"/>
  <c r="BO76" i="26"/>
  <c r="BQ76" i="26" s="1"/>
  <c r="AQ75" i="26"/>
  <c r="AS75" i="26" s="1"/>
  <c r="M24" i="26"/>
  <c r="M50" i="26"/>
  <c r="AW72" i="26"/>
  <c r="AY72" i="26" s="1"/>
  <c r="BO75" i="26"/>
  <c r="BQ75" i="26" s="1"/>
  <c r="AW75" i="26"/>
  <c r="AY75" i="26" s="1"/>
  <c r="S76" i="26"/>
  <c r="U76" i="26" s="1"/>
  <c r="AW77" i="26"/>
  <c r="AY77" i="26" s="1"/>
  <c r="AQ76" i="26"/>
  <c r="AS76" i="26" s="1"/>
  <c r="BU77" i="26"/>
  <c r="BW77" i="26" s="1"/>
  <c r="Y77" i="26"/>
  <c r="AA77" i="26" s="1"/>
  <c r="BC78" i="26"/>
  <c r="BE78" i="26" s="1"/>
  <c r="AE78" i="26"/>
  <c r="AG78" i="26" s="1"/>
  <c r="AK78" i="26"/>
  <c r="AM78" i="26" s="1"/>
  <c r="AW79" i="26"/>
  <c r="AY79" i="26" s="1"/>
  <c r="BU80" i="26"/>
  <c r="BW80" i="26" s="1"/>
  <c r="AW80" i="26"/>
  <c r="AY80" i="26" s="1"/>
  <c r="BC81" i="26"/>
  <c r="BE81" i="26" s="1"/>
  <c r="AQ81" i="26"/>
  <c r="AS81" i="26" s="1"/>
  <c r="AK81" i="26"/>
  <c r="AM81" i="26" s="1"/>
  <c r="AE82" i="26"/>
  <c r="AG82" i="26" s="1"/>
  <c r="AW82" i="26"/>
  <c r="AY82" i="26" s="1"/>
  <c r="AK83" i="26"/>
  <c r="AM83" i="26" s="1"/>
  <c r="AE83" i="26"/>
  <c r="AG83" i="26" s="1"/>
  <c r="S84" i="26"/>
  <c r="U84" i="26" s="1"/>
  <c r="BI84" i="26"/>
  <c r="BK84" i="26" s="1"/>
  <c r="AK85" i="26"/>
  <c r="AM85" i="26" s="1"/>
  <c r="BC85" i="26"/>
  <c r="BE85" i="26" s="1"/>
  <c r="Y85" i="26"/>
  <c r="AA85" i="26" s="1"/>
  <c r="S86" i="26"/>
  <c r="U86" i="26" s="1"/>
  <c r="Y86" i="26"/>
  <c r="AA86" i="26" s="1"/>
  <c r="BO86" i="26"/>
  <c r="BQ86" i="26" s="1"/>
  <c r="AQ87" i="26"/>
  <c r="AS87" i="26" s="1"/>
  <c r="Y87" i="26"/>
  <c r="AA87" i="26" s="1"/>
  <c r="AK88" i="26"/>
  <c r="AM88" i="26" s="1"/>
  <c r="BO88" i="26"/>
  <c r="BQ88" i="26" s="1"/>
  <c r="AQ88" i="26"/>
  <c r="AS88" i="26" s="1"/>
  <c r="BC89" i="26"/>
  <c r="BE89" i="26" s="1"/>
  <c r="Y89" i="26"/>
  <c r="AA89" i="26" s="1"/>
  <c r="AW89" i="26"/>
  <c r="AY89" i="26" s="1"/>
  <c r="AK90" i="26"/>
  <c r="AM90" i="26" s="1"/>
  <c r="AE90" i="26"/>
  <c r="AG90" i="26" s="1"/>
  <c r="BO90" i="26"/>
  <c r="BQ90" i="26" s="1"/>
  <c r="BI91" i="26"/>
  <c r="BK91" i="26" s="1"/>
  <c r="AW91" i="26"/>
  <c r="AY91" i="26" s="1"/>
  <c r="BC92" i="26"/>
  <c r="BE92" i="26" s="1"/>
  <c r="BI92" i="26"/>
  <c r="BK92" i="26" s="1"/>
  <c r="AE92" i="26"/>
  <c r="AG92" i="26" s="1"/>
  <c r="BO85" i="26"/>
  <c r="BQ85" i="26" s="1"/>
  <c r="AQ86" i="26"/>
  <c r="AS86" i="26" s="1"/>
  <c r="AE86" i="26"/>
  <c r="AG86" i="26" s="1"/>
  <c r="BU87" i="26"/>
  <c r="BW87" i="26" s="1"/>
  <c r="BI87" i="26"/>
  <c r="BK87" i="26" s="1"/>
  <c r="BC87" i="26"/>
  <c r="BE87" i="26" s="1"/>
  <c r="BU88" i="26"/>
  <c r="BW88" i="26" s="1"/>
  <c r="S88" i="26"/>
  <c r="U88" i="26" s="1"/>
  <c r="AE89" i="26"/>
  <c r="AG89" i="26" s="1"/>
  <c r="S89" i="26"/>
  <c r="U89" i="26" s="1"/>
  <c r="BC90" i="26"/>
  <c r="BE90" i="26" s="1"/>
  <c r="S90" i="26"/>
  <c r="U90" i="26" s="1"/>
  <c r="BO91" i="26"/>
  <c r="BQ91" i="26" s="1"/>
  <c r="AE91" i="26"/>
  <c r="AG91" i="26" s="1"/>
  <c r="Y91" i="26"/>
  <c r="AA91" i="26" s="1"/>
  <c r="S92" i="26"/>
  <c r="U92" i="26" s="1"/>
  <c r="L44" i="26"/>
  <c r="L36" i="26"/>
  <c r="L86" i="26"/>
  <c r="L22" i="26"/>
  <c r="L7" i="26"/>
  <c r="L60" i="26"/>
  <c r="S85" i="26"/>
  <c r="U85" i="26" s="1"/>
  <c r="BC84" i="26"/>
  <c r="BE84" i="26" s="1"/>
  <c r="AK84" i="26"/>
  <c r="AM84" i="26" s="1"/>
  <c r="AQ84" i="26"/>
  <c r="AS84" i="26" s="1"/>
  <c r="S83" i="26"/>
  <c r="U83" i="26" s="1"/>
  <c r="BO83" i="26"/>
  <c r="BQ83" i="26" s="1"/>
  <c r="Y83" i="26"/>
  <c r="AA83" i="26" s="1"/>
  <c r="BU82" i="26"/>
  <c r="BW82" i="26" s="1"/>
  <c r="BC82" i="26"/>
  <c r="BE82" i="26" s="1"/>
  <c r="BI82" i="26"/>
  <c r="BK82" i="26" s="1"/>
  <c r="BO81" i="26"/>
  <c r="BQ81" i="26" s="1"/>
  <c r="AE81" i="26"/>
  <c r="AG81" i="26" s="1"/>
  <c r="BC80" i="26"/>
  <c r="BE80" i="26" s="1"/>
  <c r="AQ80" i="26"/>
  <c r="AS80" i="26" s="1"/>
  <c r="S80" i="26"/>
  <c r="U80" i="26" s="1"/>
  <c r="S79" i="26"/>
  <c r="U79" i="26" s="1"/>
  <c r="BC79" i="26"/>
  <c r="BE79" i="26" s="1"/>
  <c r="AK79" i="26"/>
  <c r="AM79" i="26" s="1"/>
  <c r="BU78" i="26"/>
  <c r="BW78" i="26" s="1"/>
  <c r="S78" i="26"/>
  <c r="U78" i="26" s="1"/>
  <c r="AW78" i="26"/>
  <c r="AY78" i="26" s="1"/>
  <c r="BU76" i="26"/>
  <c r="BW76" i="26" s="1"/>
  <c r="AE77" i="26"/>
  <c r="AG77" i="26" s="1"/>
  <c r="AW76" i="26"/>
  <c r="AY76" i="26" s="1"/>
  <c r="BC76" i="26"/>
  <c r="BE76" i="26" s="1"/>
  <c r="AQ77" i="26"/>
  <c r="AS77" i="26" s="1"/>
  <c r="AK75" i="26"/>
  <c r="AM75" i="26" s="1"/>
  <c r="BC75" i="26"/>
  <c r="BE75" i="26" s="1"/>
  <c r="S75" i="26"/>
  <c r="U75" i="26" s="1"/>
  <c r="BI74" i="26"/>
  <c r="BK74" i="26" s="1"/>
  <c r="AQ73" i="26"/>
  <c r="AS73" i="26" s="1"/>
  <c r="BU70" i="26"/>
  <c r="BW70" i="26" s="1"/>
  <c r="L67" i="26"/>
  <c r="L6" i="26"/>
  <c r="L90" i="26"/>
  <c r="M5" i="26"/>
  <c r="L15" i="26"/>
  <c r="L48" i="26"/>
  <c r="M79" i="26"/>
  <c r="L40" i="26"/>
  <c r="M46" i="26"/>
  <c r="M64" i="26"/>
  <c r="L71" i="26"/>
  <c r="M93" i="26"/>
  <c r="M29" i="26"/>
  <c r="L33" i="26"/>
  <c r="M16" i="26"/>
  <c r="M69" i="26"/>
  <c r="M31" i="26"/>
  <c r="L56" i="26"/>
  <c r="L27" i="26"/>
  <c r="M86" i="26"/>
  <c r="M54" i="26"/>
  <c r="L88" i="26"/>
  <c r="L82" i="26"/>
  <c r="L26" i="26"/>
  <c r="M73" i="26"/>
  <c r="L10" i="26"/>
  <c r="L34" i="26"/>
  <c r="M65" i="26"/>
  <c r="M7" i="26"/>
  <c r="M21" i="26"/>
  <c r="M34" i="26"/>
  <c r="M71" i="26"/>
  <c r="L12" i="26"/>
  <c r="L8" i="26"/>
  <c r="L21" i="26"/>
  <c r="L77" i="26"/>
  <c r="L17" i="26"/>
  <c r="M32" i="26"/>
  <c r="M91" i="26"/>
  <c r="M10" i="26"/>
  <c r="M18" i="26"/>
  <c r="M26" i="26"/>
  <c r="M33" i="26"/>
  <c r="L45" i="26"/>
  <c r="L49" i="26"/>
  <c r="L53" i="26"/>
  <c r="L57" i="26"/>
  <c r="M61" i="26"/>
  <c r="M90" i="26"/>
  <c r="L20" i="26"/>
  <c r="L29" i="26"/>
  <c r="L37" i="26"/>
  <c r="L65" i="26"/>
  <c r="M72" i="26"/>
  <c r="L91" i="26"/>
  <c r="M43" i="26"/>
  <c r="M47" i="26"/>
  <c r="M51" i="26"/>
  <c r="M55" i="26"/>
  <c r="M59" i="26"/>
  <c r="L74" i="26"/>
  <c r="L78" i="26"/>
  <c r="L89" i="26"/>
  <c r="L66" i="26"/>
  <c r="L72" i="26"/>
  <c r="M78" i="26"/>
  <c r="N78" i="26" s="1"/>
  <c r="P78" i="26" s="1"/>
  <c r="L83" i="26"/>
  <c r="L87" i="26"/>
  <c r="O77" i="26"/>
  <c r="O76" i="26"/>
  <c r="O64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91" i="26"/>
  <c r="O90" i="26"/>
  <c r="O79" i="26"/>
  <c r="O69" i="26"/>
  <c r="O67" i="26"/>
  <c r="O65" i="26"/>
  <c r="O61" i="26"/>
  <c r="O89" i="26"/>
  <c r="O84" i="26"/>
  <c r="O78" i="26"/>
  <c r="O75" i="26"/>
  <c r="O41" i="26"/>
  <c r="O33" i="26"/>
  <c r="O31" i="26"/>
  <c r="O28" i="26"/>
  <c r="O26" i="26"/>
  <c r="O24" i="26"/>
  <c r="O22" i="26"/>
  <c r="O18" i="26"/>
  <c r="O14" i="26"/>
  <c r="O87" i="26"/>
  <c r="O82" i="26"/>
  <c r="O80" i="26"/>
  <c r="O73" i="26"/>
  <c r="O71" i="26"/>
  <c r="O68" i="26"/>
  <c r="O62" i="26"/>
  <c r="O35" i="26"/>
  <c r="O34" i="26"/>
  <c r="O21" i="26"/>
  <c r="O17" i="26"/>
  <c r="O13" i="26"/>
  <c r="O9" i="26"/>
  <c r="O5" i="26"/>
  <c r="O81" i="26"/>
  <c r="O72" i="26"/>
  <c r="O66" i="26"/>
  <c r="O15" i="26"/>
  <c r="O8" i="26"/>
  <c r="O7" i="26"/>
  <c r="O6" i="26"/>
  <c r="O19" i="26"/>
  <c r="O88" i="26"/>
  <c r="O42" i="26"/>
  <c r="O4" i="26"/>
  <c r="O93" i="26"/>
  <c r="O74" i="26"/>
  <c r="O63" i="26"/>
  <c r="O40" i="26"/>
  <c r="O39" i="26"/>
  <c r="O38" i="26"/>
  <c r="O37" i="26"/>
  <c r="O36" i="26"/>
  <c r="O29" i="26"/>
  <c r="O25" i="26"/>
  <c r="O16" i="26"/>
  <c r="O12" i="26"/>
  <c r="O11" i="26"/>
  <c r="O10" i="26"/>
  <c r="O92" i="26"/>
  <c r="O86" i="26"/>
  <c r="O83" i="26"/>
  <c r="O70" i="26"/>
  <c r="O30" i="26"/>
  <c r="O85" i="26"/>
  <c r="O32" i="26"/>
  <c r="O27" i="26"/>
  <c r="O23" i="26"/>
  <c r="O20" i="26"/>
  <c r="O3" i="26"/>
  <c r="BT92" i="26"/>
  <c r="BV92" i="26" s="1"/>
  <c r="L31" i="26"/>
  <c r="L79" i="26"/>
  <c r="M12" i="26"/>
  <c r="M36" i="26"/>
  <c r="M8" i="26"/>
  <c r="L24" i="26"/>
  <c r="M35" i="26"/>
  <c r="M80" i="26"/>
  <c r="L13" i="26"/>
  <c r="M11" i="26"/>
  <c r="L35" i="26"/>
  <c r="M3" i="26"/>
  <c r="M20" i="26"/>
  <c r="L42" i="26"/>
  <c r="L3" i="26"/>
  <c r="L11" i="26"/>
  <c r="L19" i="26"/>
  <c r="M28" i="26"/>
  <c r="L41" i="26"/>
  <c r="L46" i="26"/>
  <c r="L50" i="26"/>
  <c r="L54" i="26"/>
  <c r="L58" i="26"/>
  <c r="M67" i="26"/>
  <c r="M15" i="26"/>
  <c r="L23" i="26"/>
  <c r="M30" i="26"/>
  <c r="L38" i="26"/>
  <c r="M66" i="26"/>
  <c r="M81" i="26"/>
  <c r="M92" i="26"/>
  <c r="M44" i="26"/>
  <c r="M48" i="26"/>
  <c r="M52" i="26"/>
  <c r="M56" i="26"/>
  <c r="M60" i="26"/>
  <c r="L75" i="26"/>
  <c r="L84" i="26"/>
  <c r="L93" i="26"/>
  <c r="L68" i="26"/>
  <c r="L73" i="26"/>
  <c r="L80" i="26"/>
  <c r="M84" i="26"/>
  <c r="M88" i="26"/>
  <c r="BT93" i="26"/>
  <c r="BV93" i="26" s="1"/>
  <c r="AW70" i="26"/>
  <c r="AY70" i="26" s="1"/>
  <c r="M62" i="26"/>
  <c r="M82" i="26"/>
  <c r="M25" i="26"/>
  <c r="M37" i="26"/>
  <c r="L5" i="26"/>
  <c r="M9" i="26"/>
  <c r="L28" i="26"/>
  <c r="L61" i="26"/>
  <c r="M87" i="26"/>
  <c r="L14" i="26"/>
  <c r="M13" i="26"/>
  <c r="M38" i="26"/>
  <c r="M4" i="26"/>
  <c r="M23" i="26"/>
  <c r="L64" i="26"/>
  <c r="M6" i="26"/>
  <c r="M14" i="26"/>
  <c r="M22" i="26"/>
  <c r="L30" i="26"/>
  <c r="L43" i="26"/>
  <c r="L47" i="26"/>
  <c r="L51" i="26"/>
  <c r="L55" i="26"/>
  <c r="L59" i="26"/>
  <c r="L76" i="26"/>
  <c r="L16" i="26"/>
  <c r="L25" i="26"/>
  <c r="L32" i="26"/>
  <c r="L39" i="26"/>
  <c r="L69" i="26"/>
  <c r="M83" i="26"/>
  <c r="M41" i="26"/>
  <c r="M45" i="26"/>
  <c r="M49" i="26"/>
  <c r="M53" i="26"/>
  <c r="M57" i="26"/>
  <c r="L63" i="26"/>
  <c r="M76" i="26"/>
  <c r="L85" i="26"/>
  <c r="L62" i="26"/>
  <c r="L70" i="26"/>
  <c r="M74" i="26"/>
  <c r="L81" i="26"/>
  <c r="M85" i="26"/>
  <c r="M89" i="26"/>
  <c r="BT93" i="25" l="1"/>
  <c r="BV93" i="25" s="1"/>
  <c r="M4" i="22"/>
  <c r="N4" i="22" s="1"/>
  <c r="B27" i="3" s="1"/>
  <c r="E91" i="25" s="1"/>
  <c r="BC38" i="27"/>
  <c r="BE38" i="27" s="1"/>
  <c r="BC35" i="27"/>
  <c r="BE35" i="27" s="1"/>
  <c r="BT84" i="26"/>
  <c r="BV84" i="26" s="1"/>
  <c r="BC33" i="27"/>
  <c r="BE33" i="27" s="1"/>
  <c r="BC25" i="27"/>
  <c r="BE25" i="27" s="1"/>
  <c r="BC29" i="27"/>
  <c r="BE29" i="27" s="1"/>
  <c r="N86" i="27"/>
  <c r="P86" i="27" s="1"/>
  <c r="BC28" i="27"/>
  <c r="BE28" i="27" s="1"/>
  <c r="BC34" i="27"/>
  <c r="BE34" i="27" s="1"/>
  <c r="BC30" i="27"/>
  <c r="BE30" i="27" s="1"/>
  <c r="BC21" i="27"/>
  <c r="BE21" i="27" s="1"/>
  <c r="BC32" i="27"/>
  <c r="BE32" i="27" s="1"/>
  <c r="BC31" i="27"/>
  <c r="BE31" i="27" s="1"/>
  <c r="BC27" i="27"/>
  <c r="BE27" i="27" s="1"/>
  <c r="BC23" i="27"/>
  <c r="BE23" i="27" s="1"/>
  <c r="BC22" i="27"/>
  <c r="BE22" i="27" s="1"/>
  <c r="BC26" i="27"/>
  <c r="BE26" i="27" s="1"/>
  <c r="N56" i="26"/>
  <c r="P56" i="26" s="1"/>
  <c r="N44" i="26"/>
  <c r="P44" i="26" s="1"/>
  <c r="BT85" i="27"/>
  <c r="BV85" i="27" s="1"/>
  <c r="BX85" i="27" s="1"/>
  <c r="BT61" i="27"/>
  <c r="BV61" i="27" s="1"/>
  <c r="BX61" i="27" s="1"/>
  <c r="BT49" i="27"/>
  <c r="BV49" i="27" s="1"/>
  <c r="BX49" i="27" s="1"/>
  <c r="BT45" i="27"/>
  <c r="BV45" i="27" s="1"/>
  <c r="BX45" i="27" s="1"/>
  <c r="BT37" i="27"/>
  <c r="BV37" i="27" s="1"/>
  <c r="BT33" i="27"/>
  <c r="BV33" i="27" s="1"/>
  <c r="BT21" i="27"/>
  <c r="BV21" i="27" s="1"/>
  <c r="BT58" i="27"/>
  <c r="BV58" i="27" s="1"/>
  <c r="BX58" i="27" s="1"/>
  <c r="BT82" i="26"/>
  <c r="BV82" i="26" s="1"/>
  <c r="BX82" i="26" s="1"/>
  <c r="BT89" i="26"/>
  <c r="BV89" i="26" s="1"/>
  <c r="BX89" i="26" s="1"/>
  <c r="BT85" i="26"/>
  <c r="BV85" i="26" s="1"/>
  <c r="BX85" i="26" s="1"/>
  <c r="BT31" i="27"/>
  <c r="BV31" i="27" s="1"/>
  <c r="BT23" i="27"/>
  <c r="BV23" i="27" s="1"/>
  <c r="N72" i="27"/>
  <c r="N68" i="27"/>
  <c r="P68" i="27" s="1"/>
  <c r="N46" i="27"/>
  <c r="P46" i="27" s="1"/>
  <c r="N67" i="27"/>
  <c r="P67" i="27" s="1"/>
  <c r="N84" i="27"/>
  <c r="P84" i="27" s="1"/>
  <c r="BT92" i="27"/>
  <c r="BV92" i="27" s="1"/>
  <c r="BX92" i="27" s="1"/>
  <c r="BT84" i="27"/>
  <c r="BV84" i="27" s="1"/>
  <c r="BX84" i="27" s="1"/>
  <c r="BT76" i="27"/>
  <c r="BV76" i="27" s="1"/>
  <c r="BX76" i="27" s="1"/>
  <c r="BT72" i="27"/>
  <c r="BV72" i="27" s="1"/>
  <c r="BX72" i="27" s="1"/>
  <c r="BT60" i="27"/>
  <c r="BV60" i="27" s="1"/>
  <c r="BX60" i="27" s="1"/>
  <c r="BT48" i="27"/>
  <c r="BV48" i="27" s="1"/>
  <c r="BX48" i="27" s="1"/>
  <c r="BT44" i="27"/>
  <c r="BV44" i="27" s="1"/>
  <c r="BX44" i="27" s="1"/>
  <c r="BT40" i="27"/>
  <c r="BV40" i="27" s="1"/>
  <c r="BX40" i="27" s="1"/>
  <c r="BT32" i="27"/>
  <c r="BV32" i="27" s="1"/>
  <c r="BT24" i="27"/>
  <c r="BV24" i="27" s="1"/>
  <c r="BT78" i="27"/>
  <c r="BV78" i="27" s="1"/>
  <c r="BX78" i="27" s="1"/>
  <c r="BT70" i="27"/>
  <c r="BV70" i="27" s="1"/>
  <c r="BX70" i="27" s="1"/>
  <c r="BT66" i="27"/>
  <c r="BV66" i="27" s="1"/>
  <c r="BX66" i="27" s="1"/>
  <c r="BT62" i="27"/>
  <c r="BV62" i="27" s="1"/>
  <c r="BX62" i="27" s="1"/>
  <c r="BT54" i="27"/>
  <c r="BV54" i="27" s="1"/>
  <c r="BX54" i="27" s="1"/>
  <c r="BT46" i="27"/>
  <c r="BV46" i="27" s="1"/>
  <c r="BX46" i="27" s="1"/>
  <c r="BT38" i="27"/>
  <c r="BV38" i="27" s="1"/>
  <c r="BT34" i="27"/>
  <c r="BV34" i="27" s="1"/>
  <c r="BT30" i="27"/>
  <c r="BV30" i="27" s="1"/>
  <c r="BT22" i="27"/>
  <c r="BV22" i="27" s="1"/>
  <c r="N73" i="27"/>
  <c r="P73" i="27" s="1"/>
  <c r="N87" i="27"/>
  <c r="P87" i="27" s="1"/>
  <c r="BT67" i="27"/>
  <c r="BV67" i="27" s="1"/>
  <c r="BX67" i="27" s="1"/>
  <c r="N44" i="27"/>
  <c r="P44" i="27" s="1"/>
  <c r="N81" i="27"/>
  <c r="P81" i="27" s="1"/>
  <c r="N89" i="27"/>
  <c r="P89" i="27" s="1"/>
  <c r="N90" i="27"/>
  <c r="P90" i="27" s="1"/>
  <c r="N22" i="27"/>
  <c r="N54" i="27"/>
  <c r="P54" i="27" s="1"/>
  <c r="BT75" i="27"/>
  <c r="BV75" i="27" s="1"/>
  <c r="BX75" i="27" s="1"/>
  <c r="BT89" i="27"/>
  <c r="BV89" i="27" s="1"/>
  <c r="BX89" i="27" s="1"/>
  <c r="BT77" i="27"/>
  <c r="BV77" i="27" s="1"/>
  <c r="BX77" i="27" s="1"/>
  <c r="BT53" i="27"/>
  <c r="BV53" i="27" s="1"/>
  <c r="BX53" i="27" s="1"/>
  <c r="BT29" i="27"/>
  <c r="BV29" i="27" s="1"/>
  <c r="N41" i="27"/>
  <c r="P41" i="27" s="1"/>
  <c r="N70" i="27"/>
  <c r="P70" i="27" s="1"/>
  <c r="BT91" i="27"/>
  <c r="BV91" i="27" s="1"/>
  <c r="BX91" i="27" s="1"/>
  <c r="BT71" i="27"/>
  <c r="BV71" i="27" s="1"/>
  <c r="BX71" i="27" s="1"/>
  <c r="BT68" i="27"/>
  <c r="BV68" i="27" s="1"/>
  <c r="BX68" i="27" s="1"/>
  <c r="BT63" i="27"/>
  <c r="BV63" i="27" s="1"/>
  <c r="BX63" i="27" s="1"/>
  <c r="BT55" i="27"/>
  <c r="BV55" i="27" s="1"/>
  <c r="BX55" i="27" s="1"/>
  <c r="BT47" i="27"/>
  <c r="BV47" i="27" s="1"/>
  <c r="BX47" i="27" s="1"/>
  <c r="BT39" i="27"/>
  <c r="BV39" i="27" s="1"/>
  <c r="BX39" i="27" s="1"/>
  <c r="BT27" i="27"/>
  <c r="BV27" i="27" s="1"/>
  <c r="N6" i="27"/>
  <c r="P6" i="27" s="1"/>
  <c r="BC12" i="27"/>
  <c r="BE12" i="27" s="1"/>
  <c r="N74" i="27"/>
  <c r="P74" i="27" s="1"/>
  <c r="BC18" i="27"/>
  <c r="BE18" i="27" s="1"/>
  <c r="BT43" i="27"/>
  <c r="BV43" i="27" s="1"/>
  <c r="BX43" i="27" s="1"/>
  <c r="BT41" i="27"/>
  <c r="BV41" i="27" s="1"/>
  <c r="BX41" i="27" s="1"/>
  <c r="BT57" i="27"/>
  <c r="BV57" i="27" s="1"/>
  <c r="BX57" i="27" s="1"/>
  <c r="BT65" i="27"/>
  <c r="BV65" i="27" s="1"/>
  <c r="BX65" i="27" s="1"/>
  <c r="BT50" i="27"/>
  <c r="BV50" i="27" s="1"/>
  <c r="BX50" i="27" s="1"/>
  <c r="N76" i="27"/>
  <c r="P76" i="27" s="1"/>
  <c r="N3" i="27"/>
  <c r="P3" i="27" s="1"/>
  <c r="BT42" i="27"/>
  <c r="BV42" i="27" s="1"/>
  <c r="BX42" i="27" s="1"/>
  <c r="BT26" i="27"/>
  <c r="BV26" i="27" s="1"/>
  <c r="BT25" i="27"/>
  <c r="BV25" i="27" s="1"/>
  <c r="BT69" i="27"/>
  <c r="BV69" i="27" s="1"/>
  <c r="BX69" i="27" s="1"/>
  <c r="BT51" i="27"/>
  <c r="BV51" i="27" s="1"/>
  <c r="BX51" i="27" s="1"/>
  <c r="BT35" i="27"/>
  <c r="BV35" i="27" s="1"/>
  <c r="BC20" i="27"/>
  <c r="BE20" i="27" s="1"/>
  <c r="N38" i="27"/>
  <c r="P38" i="27" s="1"/>
  <c r="BC19" i="27"/>
  <c r="BE19" i="27" s="1"/>
  <c r="N11" i="27"/>
  <c r="P11" i="27" s="1"/>
  <c r="N83" i="27"/>
  <c r="P83" i="27" s="1"/>
  <c r="BC15" i="27"/>
  <c r="BE15" i="27" s="1"/>
  <c r="N66" i="27"/>
  <c r="P66" i="27" s="1"/>
  <c r="N39" i="27"/>
  <c r="P39" i="27" s="1"/>
  <c r="N9" i="27"/>
  <c r="P9" i="27" s="1"/>
  <c r="N21" i="27"/>
  <c r="P21" i="27" s="1"/>
  <c r="N65" i="27"/>
  <c r="P65" i="27" s="1"/>
  <c r="N58" i="27"/>
  <c r="P58" i="27" s="1"/>
  <c r="N27" i="27"/>
  <c r="P27" i="27" s="1"/>
  <c r="BT83" i="27"/>
  <c r="BV83" i="27" s="1"/>
  <c r="BX83" i="27" s="1"/>
  <c r="BT28" i="27"/>
  <c r="BV28" i="27" s="1"/>
  <c r="BT80" i="27"/>
  <c r="BV80" i="27" s="1"/>
  <c r="BX80" i="27" s="1"/>
  <c r="BT56" i="27"/>
  <c r="BV56" i="27" s="1"/>
  <c r="BX56" i="27" s="1"/>
  <c r="BT64" i="27"/>
  <c r="BV64" i="27" s="1"/>
  <c r="BX64" i="27" s="1"/>
  <c r="BC17" i="27"/>
  <c r="BE17" i="27" s="1"/>
  <c r="BT87" i="27"/>
  <c r="BV87" i="27" s="1"/>
  <c r="BX87" i="27" s="1"/>
  <c r="BC13" i="27"/>
  <c r="BE13" i="27" s="1"/>
  <c r="BC16" i="27"/>
  <c r="BE16" i="27" s="1"/>
  <c r="N49" i="27"/>
  <c r="P49" i="27" s="1"/>
  <c r="N57" i="27"/>
  <c r="P57" i="27" s="1"/>
  <c r="N78" i="27"/>
  <c r="P78" i="27" s="1"/>
  <c r="N23" i="27"/>
  <c r="P23" i="27" s="1"/>
  <c r="N63" i="27"/>
  <c r="P63" i="27" s="1"/>
  <c r="BT15" i="27"/>
  <c r="BV15" i="27" s="1"/>
  <c r="N34" i="27"/>
  <c r="P34" i="27" s="1"/>
  <c r="BT82" i="27"/>
  <c r="BV82" i="27" s="1"/>
  <c r="BX82" i="27" s="1"/>
  <c r="BT74" i="27"/>
  <c r="BV74" i="27" s="1"/>
  <c r="BX74" i="27" s="1"/>
  <c r="N47" i="27"/>
  <c r="P47" i="27" s="1"/>
  <c r="N29" i="27"/>
  <c r="P29" i="27" s="1"/>
  <c r="N24" i="27"/>
  <c r="P24" i="27" s="1"/>
  <c r="BT20" i="27"/>
  <c r="BV20" i="27" s="1"/>
  <c r="BT52" i="27"/>
  <c r="BV52" i="27" s="1"/>
  <c r="BX52" i="27" s="1"/>
  <c r="BT36" i="27"/>
  <c r="BV36" i="27" s="1"/>
  <c r="BT59" i="27"/>
  <c r="BV59" i="27" s="1"/>
  <c r="BX59" i="27" s="1"/>
  <c r="N4" i="27"/>
  <c r="P4" i="27" s="1"/>
  <c r="N30" i="27"/>
  <c r="P30" i="27" s="1"/>
  <c r="BT88" i="27"/>
  <c r="BV88" i="27" s="1"/>
  <c r="BX88" i="27" s="1"/>
  <c r="N8" i="27"/>
  <c r="P8" i="27" s="1"/>
  <c r="N31" i="27"/>
  <c r="P31" i="27" s="1"/>
  <c r="N5" i="27"/>
  <c r="N45" i="27"/>
  <c r="P45" i="27" s="1"/>
  <c r="N19" i="27"/>
  <c r="P19" i="27" s="1"/>
  <c r="N56" i="27"/>
  <c r="P56" i="27" s="1"/>
  <c r="N55" i="27"/>
  <c r="P55" i="27" s="1"/>
  <c r="BT79" i="27"/>
  <c r="BV79" i="27" s="1"/>
  <c r="BX79" i="27" s="1"/>
  <c r="BT19" i="27"/>
  <c r="BV19" i="27" s="1"/>
  <c r="N33" i="27"/>
  <c r="P33" i="27" s="1"/>
  <c r="N7" i="27"/>
  <c r="P7" i="27" s="1"/>
  <c r="N18" i="27"/>
  <c r="P18" i="27" s="1"/>
  <c r="N80" i="27"/>
  <c r="P80" i="27" s="1"/>
  <c r="N69" i="27"/>
  <c r="P69" i="27" s="1"/>
  <c r="N64" i="27"/>
  <c r="P64" i="27" s="1"/>
  <c r="N36" i="27"/>
  <c r="P36" i="27" s="1"/>
  <c r="N53" i="27"/>
  <c r="P53" i="27" s="1"/>
  <c r="N60" i="27"/>
  <c r="P60" i="27" s="1"/>
  <c r="N59" i="27"/>
  <c r="P59" i="27" s="1"/>
  <c r="N93" i="27"/>
  <c r="P93" i="27" s="1"/>
  <c r="N16" i="27"/>
  <c r="P16" i="27" s="1"/>
  <c r="N13" i="27"/>
  <c r="P13" i="27" s="1"/>
  <c r="N82" i="27"/>
  <c r="N42" i="27"/>
  <c r="N77" i="27"/>
  <c r="P77" i="27" s="1"/>
  <c r="N35" i="27"/>
  <c r="P35" i="27" s="1"/>
  <c r="N32" i="27"/>
  <c r="BT73" i="27"/>
  <c r="BV73" i="27" s="1"/>
  <c r="BX73" i="27" s="1"/>
  <c r="BT90" i="27"/>
  <c r="BV90" i="27" s="1"/>
  <c r="BX90" i="27" s="1"/>
  <c r="BT16" i="27"/>
  <c r="BV16" i="27" s="1"/>
  <c r="N14" i="27"/>
  <c r="P14" i="27" s="1"/>
  <c r="N25" i="27"/>
  <c r="P25" i="27" s="1"/>
  <c r="N79" i="27"/>
  <c r="P79" i="27" s="1"/>
  <c r="N88" i="27"/>
  <c r="P88" i="27" s="1"/>
  <c r="P62" i="27"/>
  <c r="BB20" i="27"/>
  <c r="BD20" i="27" s="1"/>
  <c r="BB36" i="27"/>
  <c r="BD36" i="27" s="1"/>
  <c r="BF36" i="27" s="1"/>
  <c r="BB52" i="27"/>
  <c r="BD52" i="27" s="1"/>
  <c r="BF52" i="27" s="1"/>
  <c r="BB33" i="27"/>
  <c r="BD33" i="27" s="1"/>
  <c r="BB49" i="27"/>
  <c r="BD49" i="27" s="1"/>
  <c r="BF49" i="27" s="1"/>
  <c r="BB38" i="27"/>
  <c r="BD38" i="27" s="1"/>
  <c r="BB30" i="27"/>
  <c r="BD30" i="27" s="1"/>
  <c r="BB50" i="27"/>
  <c r="BD50" i="27" s="1"/>
  <c r="BF50" i="27" s="1"/>
  <c r="BB27" i="27"/>
  <c r="BD27" i="27" s="1"/>
  <c r="BB43" i="27"/>
  <c r="BD43" i="27" s="1"/>
  <c r="BF43" i="27" s="1"/>
  <c r="BB57" i="27"/>
  <c r="BD57" i="27" s="1"/>
  <c r="BF57" i="27" s="1"/>
  <c r="BB58" i="27"/>
  <c r="BD58" i="27" s="1"/>
  <c r="BF58" i="27" s="1"/>
  <c r="BB59" i="27"/>
  <c r="BD59" i="27" s="1"/>
  <c r="BF59" i="27" s="1"/>
  <c r="BB63" i="27"/>
  <c r="BD63" i="27" s="1"/>
  <c r="BF63" i="27" s="1"/>
  <c r="BB24" i="27"/>
  <c r="BD24" i="27" s="1"/>
  <c r="BF24" i="27" s="1"/>
  <c r="BB40" i="27"/>
  <c r="BD40" i="27" s="1"/>
  <c r="BF40" i="27" s="1"/>
  <c r="BB21" i="27"/>
  <c r="BD21" i="27" s="1"/>
  <c r="BB37" i="27"/>
  <c r="BD37" i="27" s="1"/>
  <c r="BF37" i="27" s="1"/>
  <c r="BB53" i="27"/>
  <c r="BD53" i="27" s="1"/>
  <c r="BF53" i="27" s="1"/>
  <c r="BB18" i="27"/>
  <c r="BD18" i="27" s="1"/>
  <c r="BB34" i="27"/>
  <c r="BD34" i="27" s="1"/>
  <c r="BB16" i="27"/>
  <c r="BD16" i="27" s="1"/>
  <c r="BB31" i="27"/>
  <c r="BD31" i="27" s="1"/>
  <c r="BB47" i="27"/>
  <c r="BD47" i="27" s="1"/>
  <c r="BF47" i="27" s="1"/>
  <c r="BB56" i="27"/>
  <c r="BD56" i="27" s="1"/>
  <c r="BF56" i="27" s="1"/>
  <c r="BB65" i="27"/>
  <c r="BD65" i="27" s="1"/>
  <c r="BF65" i="27" s="1"/>
  <c r="BB66" i="27"/>
  <c r="BD66" i="27" s="1"/>
  <c r="BF66" i="27" s="1"/>
  <c r="BB15" i="27"/>
  <c r="BD15" i="27" s="1"/>
  <c r="BB28" i="27"/>
  <c r="BD28" i="27" s="1"/>
  <c r="BF28" i="27" s="1"/>
  <c r="BB44" i="27"/>
  <c r="BD44" i="27" s="1"/>
  <c r="BF44" i="27" s="1"/>
  <c r="BB25" i="27"/>
  <c r="BD25" i="27" s="1"/>
  <c r="BB41" i="27"/>
  <c r="BD41" i="27" s="1"/>
  <c r="BF41" i="27" s="1"/>
  <c r="BB22" i="27"/>
  <c r="BD22" i="27" s="1"/>
  <c r="BF22" i="27" s="1"/>
  <c r="BB42" i="27"/>
  <c r="BD42" i="27" s="1"/>
  <c r="BF42" i="27" s="1"/>
  <c r="BB93" i="27"/>
  <c r="BD93" i="27" s="1"/>
  <c r="BB19" i="27"/>
  <c r="BD19" i="27" s="1"/>
  <c r="BB35" i="27"/>
  <c r="BD35" i="27" s="1"/>
  <c r="BB51" i="27"/>
  <c r="BD51" i="27" s="1"/>
  <c r="BF51" i="27" s="1"/>
  <c r="BB55" i="27"/>
  <c r="BD55" i="27" s="1"/>
  <c r="BF55" i="27" s="1"/>
  <c r="BB64" i="27"/>
  <c r="BD64" i="27" s="1"/>
  <c r="BF64" i="27" s="1"/>
  <c r="BB17" i="27"/>
  <c r="BD17" i="27" s="1"/>
  <c r="BB29" i="27"/>
  <c r="BD29" i="27" s="1"/>
  <c r="BB26" i="27"/>
  <c r="BD26" i="27" s="1"/>
  <c r="BB39" i="27"/>
  <c r="BD39" i="27" s="1"/>
  <c r="BF39" i="27" s="1"/>
  <c r="BB60" i="27"/>
  <c r="BD60" i="27" s="1"/>
  <c r="BF60" i="27" s="1"/>
  <c r="BB62" i="27"/>
  <c r="BD62" i="27" s="1"/>
  <c r="BF62" i="27" s="1"/>
  <c r="BB69" i="27"/>
  <c r="BD69" i="27" s="1"/>
  <c r="BF69" i="27" s="1"/>
  <c r="BB71" i="27"/>
  <c r="BD71" i="27" s="1"/>
  <c r="BF71" i="27" s="1"/>
  <c r="BB73" i="27"/>
  <c r="BD73" i="27" s="1"/>
  <c r="BF73" i="27" s="1"/>
  <c r="BB75" i="27"/>
  <c r="BD75" i="27" s="1"/>
  <c r="BF75" i="27" s="1"/>
  <c r="BB78" i="27"/>
  <c r="BD78" i="27" s="1"/>
  <c r="BF78" i="27" s="1"/>
  <c r="BB81" i="27"/>
  <c r="BD81" i="27" s="1"/>
  <c r="BF81" i="27" s="1"/>
  <c r="BB88" i="27"/>
  <c r="BD88" i="27" s="1"/>
  <c r="BF88" i="27" s="1"/>
  <c r="BB32" i="27"/>
  <c r="BD32" i="27" s="1"/>
  <c r="BB45" i="27"/>
  <c r="BD45" i="27" s="1"/>
  <c r="BF45" i="27" s="1"/>
  <c r="BB46" i="27"/>
  <c r="BD46" i="27" s="1"/>
  <c r="BF46" i="27" s="1"/>
  <c r="BB54" i="27"/>
  <c r="BD54" i="27" s="1"/>
  <c r="BF54" i="27" s="1"/>
  <c r="BB67" i="27"/>
  <c r="BD67" i="27" s="1"/>
  <c r="BF67" i="27" s="1"/>
  <c r="BB68" i="27"/>
  <c r="BD68" i="27" s="1"/>
  <c r="BF68" i="27" s="1"/>
  <c r="BB72" i="27"/>
  <c r="BD72" i="27" s="1"/>
  <c r="BF72" i="27" s="1"/>
  <c r="BB74" i="27"/>
  <c r="BD74" i="27" s="1"/>
  <c r="BF74" i="27" s="1"/>
  <c r="BB79" i="27"/>
  <c r="BD79" i="27" s="1"/>
  <c r="BF79" i="27" s="1"/>
  <c r="BB85" i="27"/>
  <c r="BD85" i="27" s="1"/>
  <c r="BF85" i="27" s="1"/>
  <c r="BB92" i="27"/>
  <c r="BD92" i="27" s="1"/>
  <c r="BF92" i="27" s="1"/>
  <c r="BB48" i="27"/>
  <c r="BD48" i="27" s="1"/>
  <c r="BF48" i="27" s="1"/>
  <c r="BB76" i="27"/>
  <c r="BD76" i="27" s="1"/>
  <c r="BF76" i="27" s="1"/>
  <c r="BB77" i="27"/>
  <c r="BD77" i="27" s="1"/>
  <c r="BF77" i="27" s="1"/>
  <c r="BB83" i="27"/>
  <c r="BD83" i="27" s="1"/>
  <c r="BF83" i="27" s="1"/>
  <c r="BB87" i="27"/>
  <c r="BD87" i="27" s="1"/>
  <c r="BF87" i="27" s="1"/>
  <c r="BB89" i="27"/>
  <c r="BD89" i="27" s="1"/>
  <c r="BF89" i="27" s="1"/>
  <c r="BB82" i="27"/>
  <c r="BD82" i="27" s="1"/>
  <c r="BF82" i="27" s="1"/>
  <c r="BC6" i="27"/>
  <c r="BE6" i="27" s="1"/>
  <c r="BB70" i="27"/>
  <c r="BD70" i="27" s="1"/>
  <c r="BF70" i="27" s="1"/>
  <c r="BB84" i="27"/>
  <c r="BD84" i="27" s="1"/>
  <c r="BF84" i="27" s="1"/>
  <c r="BB90" i="27"/>
  <c r="BD90" i="27" s="1"/>
  <c r="BF90" i="27" s="1"/>
  <c r="BC93" i="27"/>
  <c r="BE93" i="27" s="1"/>
  <c r="BC8" i="27"/>
  <c r="BE8" i="27" s="1"/>
  <c r="BC5" i="27"/>
  <c r="BE5" i="27" s="1"/>
  <c r="BB91" i="27"/>
  <c r="BD91" i="27" s="1"/>
  <c r="BF91" i="27" s="1"/>
  <c r="BB80" i="27"/>
  <c r="BD80" i="27" s="1"/>
  <c r="BF80" i="27" s="1"/>
  <c r="BB86" i="27"/>
  <c r="BD86" i="27" s="1"/>
  <c r="BF86" i="27" s="1"/>
  <c r="BB23" i="27"/>
  <c r="BD23" i="27" s="1"/>
  <c r="BC3" i="27"/>
  <c r="BC10" i="27"/>
  <c r="BE10" i="27" s="1"/>
  <c r="BC9" i="27"/>
  <c r="BE9" i="27" s="1"/>
  <c r="BC7" i="27"/>
  <c r="BE7" i="27" s="1"/>
  <c r="BB61" i="27"/>
  <c r="BD61" i="27" s="1"/>
  <c r="BF61" i="27" s="1"/>
  <c r="BC4" i="27"/>
  <c r="BE4" i="27" s="1"/>
  <c r="BC11" i="27"/>
  <c r="BE11" i="27" s="1"/>
  <c r="N75" i="27"/>
  <c r="P75" i="27" s="1"/>
  <c r="N50" i="27"/>
  <c r="P50" i="27" s="1"/>
  <c r="N43" i="27"/>
  <c r="P43" i="27" s="1"/>
  <c r="N40" i="27"/>
  <c r="P40" i="27" s="1"/>
  <c r="BT81" i="27"/>
  <c r="BV81" i="27" s="1"/>
  <c r="BX81" i="27" s="1"/>
  <c r="N28" i="27"/>
  <c r="P28" i="27" s="1"/>
  <c r="BT17" i="27"/>
  <c r="BV17" i="27" s="1"/>
  <c r="BT10" i="27"/>
  <c r="BV10" i="27" s="1"/>
  <c r="BT18" i="27"/>
  <c r="BV18" i="27" s="1"/>
  <c r="N92" i="27"/>
  <c r="N15" i="27"/>
  <c r="P15" i="27" s="1"/>
  <c r="N91" i="27"/>
  <c r="P91" i="27" s="1"/>
  <c r="N52" i="27"/>
  <c r="N12" i="27"/>
  <c r="N37" i="27"/>
  <c r="P37" i="27" s="1"/>
  <c r="N85" i="27"/>
  <c r="P85" i="27" s="1"/>
  <c r="N10" i="27"/>
  <c r="P10" i="27" s="1"/>
  <c r="N71" i="27"/>
  <c r="P71" i="27" s="1"/>
  <c r="N26" i="27"/>
  <c r="P26" i="27" s="1"/>
  <c r="N61" i="27"/>
  <c r="P61" i="27" s="1"/>
  <c r="N51" i="27"/>
  <c r="P51" i="27" s="1"/>
  <c r="N48" i="27"/>
  <c r="P48" i="27" s="1"/>
  <c r="BT86" i="27"/>
  <c r="BV86" i="27" s="1"/>
  <c r="BX86" i="27" s="1"/>
  <c r="BT91" i="26"/>
  <c r="BV91" i="26" s="1"/>
  <c r="BX91" i="26" s="1"/>
  <c r="BT87" i="26"/>
  <c r="BV87" i="26" s="1"/>
  <c r="BX87" i="26" s="1"/>
  <c r="BT83" i="26"/>
  <c r="BV83" i="26" s="1"/>
  <c r="BX83" i="26" s="1"/>
  <c r="N54" i="26"/>
  <c r="P54" i="26" s="1"/>
  <c r="N29" i="26"/>
  <c r="P29" i="26" s="1"/>
  <c r="BT81" i="26"/>
  <c r="BV81" i="26" s="1"/>
  <c r="BX81" i="26" s="1"/>
  <c r="BX84" i="26"/>
  <c r="N75" i="26"/>
  <c r="P75" i="26" s="1"/>
  <c r="N69" i="26"/>
  <c r="P69" i="26" s="1"/>
  <c r="N9" i="26"/>
  <c r="P9" i="26" s="1"/>
  <c r="N34" i="26"/>
  <c r="P34" i="26" s="1"/>
  <c r="N84" i="26"/>
  <c r="P84" i="26" s="1"/>
  <c r="N92" i="26"/>
  <c r="BU61" i="26" s="1"/>
  <c r="BW61" i="26" s="1"/>
  <c r="N58" i="26"/>
  <c r="P58" i="26" s="1"/>
  <c r="N36" i="26"/>
  <c r="P36" i="26" s="1"/>
  <c r="N53" i="26"/>
  <c r="P53" i="26" s="1"/>
  <c r="N13" i="26"/>
  <c r="P13" i="26" s="1"/>
  <c r="N64" i="26"/>
  <c r="P64" i="26" s="1"/>
  <c r="N23" i="26"/>
  <c r="P23" i="26" s="1"/>
  <c r="N88" i="26"/>
  <c r="P88" i="26" s="1"/>
  <c r="N68" i="26"/>
  <c r="P68" i="26" s="1"/>
  <c r="N60" i="26"/>
  <c r="P60" i="26" s="1"/>
  <c r="N67" i="26"/>
  <c r="P67" i="26" s="1"/>
  <c r="N46" i="26"/>
  <c r="P46" i="26" s="1"/>
  <c r="N31" i="26"/>
  <c r="P31" i="26" s="1"/>
  <c r="N18" i="26"/>
  <c r="P18" i="26" s="1"/>
  <c r="N27" i="26"/>
  <c r="P27" i="26" s="1"/>
  <c r="BT90" i="26"/>
  <c r="BV90" i="26" s="1"/>
  <c r="BX90" i="26" s="1"/>
  <c r="N74" i="26"/>
  <c r="P74" i="26" s="1"/>
  <c r="N49" i="26"/>
  <c r="P49" i="26" s="1"/>
  <c r="N16" i="26"/>
  <c r="P16" i="26" s="1"/>
  <c r="N22" i="26"/>
  <c r="AE20" i="26" s="1"/>
  <c r="AG20" i="26" s="1"/>
  <c r="N82" i="26"/>
  <c r="BO56" i="26" s="1"/>
  <c r="BQ56" i="26" s="1"/>
  <c r="N52" i="26"/>
  <c r="AW39" i="26" s="1"/>
  <c r="AY39" i="26" s="1"/>
  <c r="N42" i="26"/>
  <c r="AQ28" i="26" s="1"/>
  <c r="AS28" i="26" s="1"/>
  <c r="N12" i="26"/>
  <c r="Y31" i="26" s="1"/>
  <c r="AA31" i="26" s="1"/>
  <c r="N33" i="26"/>
  <c r="P33" i="26" s="1"/>
  <c r="N70" i="26"/>
  <c r="P70" i="26" s="1"/>
  <c r="N63" i="26"/>
  <c r="P63" i="26" s="1"/>
  <c r="N45" i="26"/>
  <c r="P45" i="26" s="1"/>
  <c r="N39" i="26"/>
  <c r="P39" i="26" s="1"/>
  <c r="N87" i="26"/>
  <c r="P87" i="26" s="1"/>
  <c r="N62" i="26"/>
  <c r="BC29" i="26" s="1"/>
  <c r="BE29" i="26" s="1"/>
  <c r="N15" i="26"/>
  <c r="P15" i="26" s="1"/>
  <c r="N19" i="26"/>
  <c r="P19" i="26" s="1"/>
  <c r="N72" i="26"/>
  <c r="BI57" i="26" s="1"/>
  <c r="BK57" i="26" s="1"/>
  <c r="N86" i="26"/>
  <c r="P86" i="26" s="1"/>
  <c r="AE66" i="26"/>
  <c r="AG66" i="26" s="1"/>
  <c r="AE68" i="26"/>
  <c r="AG68" i="26" s="1"/>
  <c r="AE69" i="26"/>
  <c r="AG69" i="26" s="1"/>
  <c r="AE60" i="26"/>
  <c r="AG60" i="26" s="1"/>
  <c r="AE53" i="26"/>
  <c r="AG53" i="26" s="1"/>
  <c r="AE63" i="26"/>
  <c r="AG63" i="26" s="1"/>
  <c r="AE74" i="26"/>
  <c r="AG74" i="26" s="1"/>
  <c r="AE71" i="26"/>
  <c r="AG71" i="26" s="1"/>
  <c r="AE57" i="26"/>
  <c r="AG57" i="26" s="1"/>
  <c r="AE72" i="26"/>
  <c r="AG72" i="26" s="1"/>
  <c r="AE67" i="26"/>
  <c r="AG67" i="26" s="1"/>
  <c r="AE62" i="26"/>
  <c r="AG62" i="26" s="1"/>
  <c r="AE64" i="26"/>
  <c r="AG64" i="26" s="1"/>
  <c r="AE47" i="26"/>
  <c r="AG47" i="26" s="1"/>
  <c r="AE55" i="26"/>
  <c r="AG55" i="26" s="1"/>
  <c r="BO51" i="26"/>
  <c r="BQ51" i="26" s="1"/>
  <c r="AE65" i="26"/>
  <c r="AG65" i="26" s="1"/>
  <c r="BO69" i="26"/>
  <c r="BQ69" i="26" s="1"/>
  <c r="N4" i="26"/>
  <c r="P4" i="26" s="1"/>
  <c r="BC59" i="26"/>
  <c r="BE59" i="26" s="1"/>
  <c r="BC69" i="26"/>
  <c r="BE69" i="26" s="1"/>
  <c r="BC66" i="26"/>
  <c r="BE66" i="26" s="1"/>
  <c r="BC51" i="26"/>
  <c r="BE51" i="26" s="1"/>
  <c r="BC73" i="26"/>
  <c r="BE73" i="26" s="1"/>
  <c r="BC62" i="26"/>
  <c r="BE62" i="26" s="1"/>
  <c r="BC71" i="26"/>
  <c r="BE71" i="26" s="1"/>
  <c r="BC56" i="26"/>
  <c r="BE56" i="26" s="1"/>
  <c r="BC50" i="26"/>
  <c r="BE50" i="26" s="1"/>
  <c r="BC72" i="26"/>
  <c r="BE72" i="26" s="1"/>
  <c r="BC49" i="26"/>
  <c r="BE49" i="26" s="1"/>
  <c r="BC55" i="26"/>
  <c r="BE55" i="26" s="1"/>
  <c r="BC58" i="26"/>
  <c r="BE58" i="26" s="1"/>
  <c r="BC46" i="26"/>
  <c r="BE46" i="26" s="1"/>
  <c r="AE70" i="26"/>
  <c r="AG70" i="26" s="1"/>
  <c r="BU45" i="26"/>
  <c r="BW45" i="26" s="1"/>
  <c r="BO53" i="26"/>
  <c r="BQ53" i="26" s="1"/>
  <c r="AE61" i="26"/>
  <c r="AG61" i="26" s="1"/>
  <c r="BO47" i="26"/>
  <c r="BQ47" i="26" s="1"/>
  <c r="BU69" i="26"/>
  <c r="BW69" i="26" s="1"/>
  <c r="AE46" i="26"/>
  <c r="AG46" i="26" s="1"/>
  <c r="BU60" i="26"/>
  <c r="BW60" i="26" s="1"/>
  <c r="BC70" i="26"/>
  <c r="BE70" i="26" s="1"/>
  <c r="BU71" i="26"/>
  <c r="BW71" i="26" s="1"/>
  <c r="AW60" i="26"/>
  <c r="AY60" i="26" s="1"/>
  <c r="AW67" i="26"/>
  <c r="AY67" i="26" s="1"/>
  <c r="AW59" i="26"/>
  <c r="AY59" i="26" s="1"/>
  <c r="AW62" i="26"/>
  <c r="AY62" i="26" s="1"/>
  <c r="AW68" i="26"/>
  <c r="AY68" i="26" s="1"/>
  <c r="AW74" i="26"/>
  <c r="AY74" i="26" s="1"/>
  <c r="AW73" i="26"/>
  <c r="AY73" i="26" s="1"/>
  <c r="AW65" i="26"/>
  <c r="AY65" i="26" s="1"/>
  <c r="AQ62" i="26"/>
  <c r="AS62" i="26" s="1"/>
  <c r="AQ61" i="26"/>
  <c r="AS61" i="26" s="1"/>
  <c r="AQ64" i="26"/>
  <c r="AS64" i="26" s="1"/>
  <c r="AQ69" i="26"/>
  <c r="AS69" i="26" s="1"/>
  <c r="AQ65" i="26"/>
  <c r="AS65" i="26" s="1"/>
  <c r="AQ70" i="26"/>
  <c r="AS70" i="26" s="1"/>
  <c r="AQ46" i="26"/>
  <c r="AS46" i="26" s="1"/>
  <c r="AQ63" i="26"/>
  <c r="AS63" i="26" s="1"/>
  <c r="AQ74" i="26"/>
  <c r="AS74" i="26" s="1"/>
  <c r="AQ45" i="26"/>
  <c r="AS45" i="26" s="1"/>
  <c r="AQ60" i="26"/>
  <c r="AS60" i="26" s="1"/>
  <c r="AQ50" i="26"/>
  <c r="AS50" i="26" s="1"/>
  <c r="AQ53" i="26"/>
  <c r="AS53" i="26" s="1"/>
  <c r="AQ54" i="26"/>
  <c r="AS54" i="26" s="1"/>
  <c r="AQ52" i="26"/>
  <c r="AS52" i="26" s="1"/>
  <c r="AQ71" i="26"/>
  <c r="AS71" i="26" s="1"/>
  <c r="N24" i="26"/>
  <c r="P24" i="26" s="1"/>
  <c r="Y57" i="26"/>
  <c r="AA57" i="26" s="1"/>
  <c r="Y70" i="26"/>
  <c r="AA70" i="26" s="1"/>
  <c r="Y67" i="26"/>
  <c r="AA67" i="26" s="1"/>
  <c r="Y63" i="26"/>
  <c r="AA63" i="26" s="1"/>
  <c r="Y61" i="26"/>
  <c r="AA61" i="26" s="1"/>
  <c r="Y46" i="26"/>
  <c r="AA46" i="26" s="1"/>
  <c r="Y64" i="26"/>
  <c r="AA64" i="26" s="1"/>
  <c r="Y74" i="26"/>
  <c r="AA74" i="26" s="1"/>
  <c r="Y71" i="26"/>
  <c r="AA71" i="26" s="1"/>
  <c r="AQ72" i="26"/>
  <c r="AS72" i="26" s="1"/>
  <c r="BI71" i="26"/>
  <c r="BK71" i="26" s="1"/>
  <c r="AE49" i="26"/>
  <c r="AG49" i="26" s="1"/>
  <c r="BC45" i="26"/>
  <c r="BE45" i="26" s="1"/>
  <c r="AE45" i="26"/>
  <c r="AG45" i="26" s="1"/>
  <c r="Y72" i="26"/>
  <c r="AA72" i="26" s="1"/>
  <c r="AE52" i="26"/>
  <c r="AG52" i="26" s="1"/>
  <c r="AE58" i="26"/>
  <c r="AG58" i="26" s="1"/>
  <c r="Y62" i="26"/>
  <c r="AA62" i="26" s="1"/>
  <c r="BC53" i="26"/>
  <c r="BE53" i="26" s="1"/>
  <c r="BI70" i="26"/>
  <c r="BK70" i="26" s="1"/>
  <c r="AQ66" i="26"/>
  <c r="AS66" i="26" s="1"/>
  <c r="BC63" i="26"/>
  <c r="BE63" i="26" s="1"/>
  <c r="BC60" i="26"/>
  <c r="BE60" i="26" s="1"/>
  <c r="AQ51" i="26"/>
  <c r="AS51" i="26" s="1"/>
  <c r="AW71" i="26"/>
  <c r="AY71" i="26" s="1"/>
  <c r="AE54" i="26"/>
  <c r="AG54" i="26" s="1"/>
  <c r="BC61" i="26"/>
  <c r="BE61" i="26" s="1"/>
  <c r="AQ67" i="26"/>
  <c r="AS67" i="26" s="1"/>
  <c r="AE56" i="26"/>
  <c r="AG56" i="26" s="1"/>
  <c r="BU62" i="26"/>
  <c r="BW62" i="26" s="1"/>
  <c r="BC68" i="26"/>
  <c r="BE68" i="26" s="1"/>
  <c r="BO65" i="26"/>
  <c r="BQ65" i="26" s="1"/>
  <c r="BO68" i="26"/>
  <c r="BQ68" i="26" s="1"/>
  <c r="BO58" i="26"/>
  <c r="BQ58" i="26" s="1"/>
  <c r="BO59" i="26"/>
  <c r="BQ59" i="26" s="1"/>
  <c r="BO54" i="26"/>
  <c r="BQ54" i="26" s="1"/>
  <c r="BO74" i="26"/>
  <c r="BQ74" i="26" s="1"/>
  <c r="BO46" i="26"/>
  <c r="BQ46" i="26" s="1"/>
  <c r="BO67" i="26"/>
  <c r="BQ67" i="26" s="1"/>
  <c r="BO64" i="26"/>
  <c r="BQ64" i="26" s="1"/>
  <c r="BO61" i="26"/>
  <c r="BQ61" i="26" s="1"/>
  <c r="BO57" i="26"/>
  <c r="BQ57" i="26" s="1"/>
  <c r="BO73" i="26"/>
  <c r="BQ73" i="26" s="1"/>
  <c r="BO71" i="26"/>
  <c r="BQ71" i="26" s="1"/>
  <c r="AE73" i="26"/>
  <c r="AG73" i="26" s="1"/>
  <c r="N5" i="26"/>
  <c r="G101" i="24" s="1"/>
  <c r="N93" i="26"/>
  <c r="P93" i="26" s="1"/>
  <c r="BU49" i="26"/>
  <c r="BW49" i="26" s="1"/>
  <c r="BU66" i="26"/>
  <c r="BW66" i="26" s="1"/>
  <c r="BU58" i="26"/>
  <c r="BW58" i="26" s="1"/>
  <c r="BU59" i="26"/>
  <c r="BW59" i="26" s="1"/>
  <c r="BU67" i="26"/>
  <c r="BW67" i="26" s="1"/>
  <c r="BU74" i="26"/>
  <c r="BW74" i="26" s="1"/>
  <c r="BU63" i="26"/>
  <c r="BW63" i="26" s="1"/>
  <c r="BU50" i="26"/>
  <c r="BW50" i="26" s="1"/>
  <c r="BU57" i="26"/>
  <c r="BW57" i="26" s="1"/>
  <c r="BU65" i="26"/>
  <c r="BW65" i="26" s="1"/>
  <c r="BU72" i="26"/>
  <c r="BW72" i="26" s="1"/>
  <c r="BU47" i="26"/>
  <c r="BW47" i="26" s="1"/>
  <c r="BU46" i="26"/>
  <c r="BW46" i="26" s="1"/>
  <c r="BC52" i="26"/>
  <c r="BE52" i="26" s="1"/>
  <c r="AE51" i="26"/>
  <c r="AG51" i="26" s="1"/>
  <c r="BC65" i="26"/>
  <c r="BE65" i="26" s="1"/>
  <c r="BO70" i="26"/>
  <c r="BQ70" i="26" s="1"/>
  <c r="BI54" i="26"/>
  <c r="BK54" i="26" s="1"/>
  <c r="BI58" i="26"/>
  <c r="BK58" i="26" s="1"/>
  <c r="BI67" i="26"/>
  <c r="BK67" i="26" s="1"/>
  <c r="BI68" i="26"/>
  <c r="BK68" i="26" s="1"/>
  <c r="BI64" i="26"/>
  <c r="BK64" i="26" s="1"/>
  <c r="BI56" i="26"/>
  <c r="BK56" i="26" s="1"/>
  <c r="BI59" i="26"/>
  <c r="BK59" i="26" s="1"/>
  <c r="BI52" i="26"/>
  <c r="BK52" i="26" s="1"/>
  <c r="BI47" i="26"/>
  <c r="BK47" i="26" s="1"/>
  <c r="BI49" i="26"/>
  <c r="BK49" i="26" s="1"/>
  <c r="BI50" i="26"/>
  <c r="BK50" i="26" s="1"/>
  <c r="BI55" i="26"/>
  <c r="BK55" i="26" s="1"/>
  <c r="BI65" i="26"/>
  <c r="BK65" i="26" s="1"/>
  <c r="BI69" i="26"/>
  <c r="BK69" i="26" s="1"/>
  <c r="BI63" i="26"/>
  <c r="BK63" i="26" s="1"/>
  <c r="BI60" i="26"/>
  <c r="BK60" i="26" s="1"/>
  <c r="BI72" i="26"/>
  <c r="BK72" i="26" s="1"/>
  <c r="BO72" i="26"/>
  <c r="BQ72" i="26" s="1"/>
  <c r="BU73" i="26"/>
  <c r="BW73" i="26" s="1"/>
  <c r="BC47" i="26"/>
  <c r="BE47" i="26" s="1"/>
  <c r="BI46" i="26"/>
  <c r="BK46" i="26" s="1"/>
  <c r="AE48" i="26"/>
  <c r="AG48" i="26" s="1"/>
  <c r="Y73" i="26"/>
  <c r="AA73" i="26" s="1"/>
  <c r="Y55" i="26"/>
  <c r="AA55" i="26" s="1"/>
  <c r="AE59" i="26"/>
  <c r="AG59" i="26" s="1"/>
  <c r="AW63" i="26"/>
  <c r="AY63" i="26" s="1"/>
  <c r="Y68" i="26"/>
  <c r="AA68" i="26" s="1"/>
  <c r="BU52" i="26"/>
  <c r="BW52" i="26" s="1"/>
  <c r="BO66" i="26"/>
  <c r="BQ66" i="26" s="1"/>
  <c r="BI62" i="26"/>
  <c r="BK62" i="26" s="1"/>
  <c r="BO60" i="26"/>
  <c r="BQ60" i="26" s="1"/>
  <c r="BC57" i="26"/>
  <c r="BE57" i="26" s="1"/>
  <c r="AE50" i="26"/>
  <c r="AG50" i="26" s="1"/>
  <c r="BI48" i="26"/>
  <c r="BK48" i="26" s="1"/>
  <c r="AQ55" i="26"/>
  <c r="AS55" i="26" s="1"/>
  <c r="BO62" i="26"/>
  <c r="BQ62" i="26" s="1"/>
  <c r="BC67" i="26"/>
  <c r="BE67" i="26" s="1"/>
  <c r="AQ57" i="26"/>
  <c r="AS57" i="26" s="1"/>
  <c r="BO63" i="26"/>
  <c r="BQ63" i="26" s="1"/>
  <c r="BU68" i="26"/>
  <c r="BW68" i="26" s="1"/>
  <c r="BC54" i="26"/>
  <c r="BE54" i="26" s="1"/>
  <c r="N17" i="26"/>
  <c r="P17" i="26" s="1"/>
  <c r="N40" i="26"/>
  <c r="P40" i="26" s="1"/>
  <c r="N77" i="26"/>
  <c r="P77" i="26" s="1"/>
  <c r="N65" i="26"/>
  <c r="P65" i="26" s="1"/>
  <c r="BX92" i="26"/>
  <c r="N83" i="26"/>
  <c r="P83" i="26" s="1"/>
  <c r="BT86" i="26"/>
  <c r="BV86" i="26" s="1"/>
  <c r="BX86" i="26" s="1"/>
  <c r="N3" i="26"/>
  <c r="P3" i="26" s="1"/>
  <c r="N80" i="26"/>
  <c r="P80" i="26" s="1"/>
  <c r="N10" i="26"/>
  <c r="P10" i="26" s="1"/>
  <c r="N71" i="26"/>
  <c r="P71" i="26" s="1"/>
  <c r="N89" i="26"/>
  <c r="P89" i="26" s="1"/>
  <c r="N14" i="26"/>
  <c r="P14" i="26" s="1"/>
  <c r="N57" i="26"/>
  <c r="P57" i="26" s="1"/>
  <c r="N41" i="26"/>
  <c r="P41" i="26" s="1"/>
  <c r="N6" i="26"/>
  <c r="P6" i="26" s="1"/>
  <c r="N38" i="26"/>
  <c r="P38" i="26" s="1"/>
  <c r="N37" i="26"/>
  <c r="P37" i="26" s="1"/>
  <c r="N48" i="26"/>
  <c r="P48" i="26" s="1"/>
  <c r="N50" i="26"/>
  <c r="P50" i="26" s="1"/>
  <c r="N20" i="26"/>
  <c r="P20" i="26" s="1"/>
  <c r="N8" i="26"/>
  <c r="P8" i="26" s="1"/>
  <c r="N79" i="26"/>
  <c r="P79" i="26" s="1"/>
  <c r="N90" i="26"/>
  <c r="P90" i="26" s="1"/>
  <c r="N7" i="26"/>
  <c r="P7" i="26" s="1"/>
  <c r="S43" i="26"/>
  <c r="U43" i="26" s="1"/>
  <c r="N76" i="26"/>
  <c r="P76" i="26" s="1"/>
  <c r="AE32" i="26"/>
  <c r="AG32" i="26" s="1"/>
  <c r="AE40" i="26"/>
  <c r="AG40" i="26" s="1"/>
  <c r="AE42" i="26"/>
  <c r="AG42" i="26" s="1"/>
  <c r="AE44" i="26"/>
  <c r="AG44" i="26" s="1"/>
  <c r="AE43" i="26"/>
  <c r="AG43" i="26" s="1"/>
  <c r="AE41" i="26"/>
  <c r="AG41" i="26" s="1"/>
  <c r="BO31" i="26"/>
  <c r="BQ31" i="26" s="1"/>
  <c r="BO38" i="26"/>
  <c r="BQ38" i="26" s="1"/>
  <c r="BO44" i="26"/>
  <c r="BQ44" i="26" s="1"/>
  <c r="BO35" i="26"/>
  <c r="BQ35" i="26" s="1"/>
  <c r="AQ40" i="26"/>
  <c r="AS40" i="26" s="1"/>
  <c r="AQ41" i="26"/>
  <c r="AS41" i="26" s="1"/>
  <c r="AQ43" i="26"/>
  <c r="AS43" i="26" s="1"/>
  <c r="AQ44" i="26"/>
  <c r="AS44" i="26" s="1"/>
  <c r="AQ42" i="26"/>
  <c r="AS42" i="26" s="1"/>
  <c r="AQ38" i="26"/>
  <c r="AS38" i="26" s="1"/>
  <c r="AQ39" i="26"/>
  <c r="AS39" i="26" s="1"/>
  <c r="BC41" i="26"/>
  <c r="BE41" i="26" s="1"/>
  <c r="BC40" i="26"/>
  <c r="BE40" i="26" s="1"/>
  <c r="BC43" i="26"/>
  <c r="BE43" i="26" s="1"/>
  <c r="BC44" i="26"/>
  <c r="BE44" i="26" s="1"/>
  <c r="BC42" i="26"/>
  <c r="BE42" i="26" s="1"/>
  <c r="N66" i="26"/>
  <c r="P66" i="26" s="1"/>
  <c r="N25" i="26"/>
  <c r="P25" i="26" s="1"/>
  <c r="BT88" i="26"/>
  <c r="BV88" i="26" s="1"/>
  <c r="BX88" i="26" s="1"/>
  <c r="N85" i="26"/>
  <c r="P85" i="26" s="1"/>
  <c r="N59" i="26"/>
  <c r="P59" i="26" s="1"/>
  <c r="N43" i="26"/>
  <c r="P43" i="26" s="1"/>
  <c r="N61" i="26"/>
  <c r="P61" i="26" s="1"/>
  <c r="N55" i="26"/>
  <c r="P55" i="26" s="1"/>
  <c r="N91" i="26"/>
  <c r="P91" i="26" s="1"/>
  <c r="BU36" i="26"/>
  <c r="BW36" i="26" s="1"/>
  <c r="BU43" i="26"/>
  <c r="BW43" i="26" s="1"/>
  <c r="BU39" i="26"/>
  <c r="BW39" i="26" s="1"/>
  <c r="N30" i="26"/>
  <c r="P30" i="26" s="1"/>
  <c r="N35" i="26"/>
  <c r="P35" i="26" s="1"/>
  <c r="N51" i="26"/>
  <c r="P51" i="26" s="1"/>
  <c r="BI44" i="26"/>
  <c r="BK44" i="26" s="1"/>
  <c r="BI40" i="26"/>
  <c r="BK40" i="26" s="1"/>
  <c r="BI39" i="26"/>
  <c r="BK39" i="26" s="1"/>
  <c r="BI43" i="26"/>
  <c r="BK43" i="26" s="1"/>
  <c r="BI41" i="26"/>
  <c r="BK41" i="26" s="1"/>
  <c r="BI38" i="26"/>
  <c r="BK38" i="26" s="1"/>
  <c r="BI42" i="26"/>
  <c r="BK42" i="26" s="1"/>
  <c r="N26" i="26"/>
  <c r="P26" i="26" s="1"/>
  <c r="N32" i="26"/>
  <c r="N21" i="26"/>
  <c r="P21" i="26" s="1"/>
  <c r="N81" i="26"/>
  <c r="P81" i="26" s="1"/>
  <c r="N28" i="26"/>
  <c r="P28" i="26" s="1"/>
  <c r="N11" i="26"/>
  <c r="P11" i="26" s="1"/>
  <c r="Y41" i="26"/>
  <c r="AA41" i="26" s="1"/>
  <c r="Y43" i="26"/>
  <c r="AA43" i="26" s="1"/>
  <c r="Y40" i="26"/>
  <c r="AA40" i="26" s="1"/>
  <c r="N47" i="26"/>
  <c r="P47" i="26" s="1"/>
  <c r="N73" i="26"/>
  <c r="P73" i="26" s="1"/>
  <c r="BF30" i="27" l="1"/>
  <c r="BF35" i="27"/>
  <c r="BF38" i="27"/>
  <c r="E45" i="25"/>
  <c r="E60" i="25"/>
  <c r="E75" i="25"/>
  <c r="E46" i="25"/>
  <c r="E50" i="25"/>
  <c r="E76" i="25"/>
  <c r="E59" i="25"/>
  <c r="E73" i="25"/>
  <c r="E74" i="25"/>
  <c r="E63" i="25"/>
  <c r="E56" i="25"/>
  <c r="E84" i="25"/>
  <c r="E82" i="25"/>
  <c r="E48" i="25"/>
  <c r="E55" i="25"/>
  <c r="E49" i="25"/>
  <c r="E62" i="25"/>
  <c r="E61" i="25"/>
  <c r="E41" i="25"/>
  <c r="E40" i="25" s="1"/>
  <c r="E39" i="25" s="1"/>
  <c r="E38" i="25" s="1"/>
  <c r="E37" i="25" s="1"/>
  <c r="E36" i="25" s="1"/>
  <c r="E35" i="25" s="1"/>
  <c r="E34" i="25" s="1"/>
  <c r="E33" i="25" s="1"/>
  <c r="E32" i="25" s="1"/>
  <c r="E31" i="25" s="1"/>
  <c r="E30" i="25" s="1"/>
  <c r="E29" i="25" s="1"/>
  <c r="E28" i="25" s="1"/>
  <c r="E27" i="25" s="1"/>
  <c r="E26" i="25" s="1"/>
  <c r="E25" i="25" s="1"/>
  <c r="E24" i="25" s="1"/>
  <c r="E23" i="25" s="1"/>
  <c r="E22" i="25" s="1"/>
  <c r="E21" i="25" s="1"/>
  <c r="E20" i="25" s="1"/>
  <c r="E19" i="25" s="1"/>
  <c r="E18" i="25" s="1"/>
  <c r="E17" i="25" s="1"/>
  <c r="E16" i="25" s="1"/>
  <c r="E15" i="25" s="1"/>
  <c r="E14" i="25" s="1"/>
  <c r="E13" i="25" s="1"/>
  <c r="E12" i="25" s="1"/>
  <c r="E11" i="25" s="1"/>
  <c r="E10" i="25" s="1"/>
  <c r="E9" i="25" s="1"/>
  <c r="E8" i="25" s="1"/>
  <c r="E7" i="25" s="1"/>
  <c r="E6" i="25" s="1"/>
  <c r="E5" i="25" s="1"/>
  <c r="E4" i="25" s="1"/>
  <c r="E3" i="25" s="1"/>
  <c r="E87" i="25"/>
  <c r="E86" i="25"/>
  <c r="E83" i="25"/>
  <c r="E51" i="25"/>
  <c r="E67" i="25"/>
  <c r="E58" i="25"/>
  <c r="E72" i="25"/>
  <c r="E85" i="25"/>
  <c r="E92" i="25"/>
  <c r="E47" i="25"/>
  <c r="E65" i="25"/>
  <c r="E53" i="25"/>
  <c r="E77" i="25"/>
  <c r="E42" i="25"/>
  <c r="E64" i="25"/>
  <c r="E89" i="25"/>
  <c r="E80" i="25"/>
  <c r="E78" i="25"/>
  <c r="E90" i="25"/>
  <c r="E44" i="25"/>
  <c r="E71" i="25"/>
  <c r="E54" i="25"/>
  <c r="E52" i="25"/>
  <c r="E69" i="25"/>
  <c r="E66" i="25"/>
  <c r="E70" i="25"/>
  <c r="E81" i="25"/>
  <c r="E57" i="25"/>
  <c r="E88" i="25"/>
  <c r="E68" i="25"/>
  <c r="E79" i="25"/>
  <c r="E43" i="25"/>
  <c r="AE76" i="25"/>
  <c r="AG76" i="25" s="1"/>
  <c r="AE62" i="25"/>
  <c r="AG62" i="25" s="1"/>
  <c r="F74" i="25"/>
  <c r="AW36" i="27"/>
  <c r="AY36" i="27" s="1"/>
  <c r="AW35" i="27"/>
  <c r="AY35" i="27" s="1"/>
  <c r="AW38" i="27"/>
  <c r="AY38" i="27" s="1"/>
  <c r="AW37" i="27"/>
  <c r="AY37" i="27" s="1"/>
  <c r="AK35" i="27"/>
  <c r="AM35" i="27" s="1"/>
  <c r="AK36" i="27"/>
  <c r="AM36" i="27" s="1"/>
  <c r="AK37" i="27"/>
  <c r="AM37" i="27" s="1"/>
  <c r="AK38" i="27"/>
  <c r="AM38" i="27" s="1"/>
  <c r="BO38" i="27"/>
  <c r="BQ38" i="27" s="1"/>
  <c r="BO36" i="27"/>
  <c r="BQ36" i="27" s="1"/>
  <c r="BO35" i="27"/>
  <c r="BQ35" i="27" s="1"/>
  <c r="BO37" i="27"/>
  <c r="BQ37" i="27" s="1"/>
  <c r="S38" i="27"/>
  <c r="U38" i="27" s="1"/>
  <c r="S36" i="27"/>
  <c r="U36" i="27" s="1"/>
  <c r="S37" i="27"/>
  <c r="U37" i="27" s="1"/>
  <c r="S35" i="27"/>
  <c r="U35" i="27" s="1"/>
  <c r="AQ35" i="27"/>
  <c r="AS35" i="27" s="1"/>
  <c r="AQ37" i="27"/>
  <c r="AS37" i="27" s="1"/>
  <c r="AQ38" i="27"/>
  <c r="AS38" i="27" s="1"/>
  <c r="AQ36" i="27"/>
  <c r="AS36" i="27" s="1"/>
  <c r="AE36" i="27"/>
  <c r="AG36" i="27" s="1"/>
  <c r="AE37" i="27"/>
  <c r="AG37" i="27" s="1"/>
  <c r="AE35" i="27"/>
  <c r="AG35" i="27" s="1"/>
  <c r="AE38" i="27"/>
  <c r="AG38" i="27" s="1"/>
  <c r="BI35" i="27"/>
  <c r="BK35" i="27" s="1"/>
  <c r="BI37" i="27"/>
  <c r="BK37" i="27" s="1"/>
  <c r="BI38" i="27"/>
  <c r="BK38" i="27" s="1"/>
  <c r="BI36" i="27"/>
  <c r="BK36" i="27" s="1"/>
  <c r="Y36" i="27"/>
  <c r="AA36" i="27" s="1"/>
  <c r="Y35" i="27"/>
  <c r="AA35" i="27" s="1"/>
  <c r="Y38" i="27"/>
  <c r="AA38" i="27" s="1"/>
  <c r="Y37" i="27"/>
  <c r="AA37" i="27" s="1"/>
  <c r="BU38" i="27"/>
  <c r="BW38" i="27" s="1"/>
  <c r="BX38" i="27" s="1"/>
  <c r="BU36" i="27"/>
  <c r="BW36" i="27" s="1"/>
  <c r="BX36" i="27" s="1"/>
  <c r="BU37" i="27"/>
  <c r="BW37" i="27" s="1"/>
  <c r="BX37" i="27" s="1"/>
  <c r="BU35" i="27"/>
  <c r="BW35" i="27" s="1"/>
  <c r="BX35" i="27" s="1"/>
  <c r="G92" i="25"/>
  <c r="BF25" i="27"/>
  <c r="BC31" i="26"/>
  <c r="BE31" i="26" s="1"/>
  <c r="BC35" i="26"/>
  <c r="BE35" i="26" s="1"/>
  <c r="BF33" i="27"/>
  <c r="AE33" i="26"/>
  <c r="AG33" i="26" s="1"/>
  <c r="BF34" i="27"/>
  <c r="AE38" i="26"/>
  <c r="AG38" i="26" s="1"/>
  <c r="BC39" i="26"/>
  <c r="BE39" i="26" s="1"/>
  <c r="BC38" i="26"/>
  <c r="BE38" i="26" s="1"/>
  <c r="AQ35" i="26"/>
  <c r="AS35" i="26" s="1"/>
  <c r="AE39" i="26"/>
  <c r="AG39" i="26" s="1"/>
  <c r="BF29" i="27"/>
  <c r="Y34" i="27"/>
  <c r="AA34" i="27" s="1"/>
  <c r="Y33" i="27"/>
  <c r="AA33" i="27" s="1"/>
  <c r="AW33" i="27"/>
  <c r="AY33" i="27" s="1"/>
  <c r="AW34" i="27"/>
  <c r="AY34" i="27" s="1"/>
  <c r="BF23" i="27"/>
  <c r="AK33" i="27"/>
  <c r="AM33" i="27" s="1"/>
  <c r="AK34" i="27"/>
  <c r="AM34" i="27" s="1"/>
  <c r="BO33" i="27"/>
  <c r="BQ33" i="27" s="1"/>
  <c r="BO34" i="27"/>
  <c r="BQ34" i="27" s="1"/>
  <c r="S33" i="27"/>
  <c r="U33" i="27" s="1"/>
  <c r="S34" i="27"/>
  <c r="U34" i="27" s="1"/>
  <c r="BU34" i="27"/>
  <c r="BW34" i="27" s="1"/>
  <c r="BX34" i="27" s="1"/>
  <c r="BU33" i="27"/>
  <c r="BW33" i="27" s="1"/>
  <c r="BX33" i="27" s="1"/>
  <c r="BF21" i="27"/>
  <c r="BF27" i="27"/>
  <c r="AQ33" i="27"/>
  <c r="AS33" i="27" s="1"/>
  <c r="AQ34" i="27"/>
  <c r="AS34" i="27" s="1"/>
  <c r="AE33" i="27"/>
  <c r="AG33" i="27" s="1"/>
  <c r="AE34" i="27"/>
  <c r="AG34" i="27" s="1"/>
  <c r="BI33" i="27"/>
  <c r="BK33" i="27" s="1"/>
  <c r="BI34" i="27"/>
  <c r="BK34" i="27" s="1"/>
  <c r="AQ28" i="27"/>
  <c r="AS28" i="27" s="1"/>
  <c r="AQ21" i="27"/>
  <c r="AS21" i="27" s="1"/>
  <c r="AQ26" i="27"/>
  <c r="AS26" i="27" s="1"/>
  <c r="AQ24" i="27"/>
  <c r="AS24" i="27" s="1"/>
  <c r="AQ27" i="27"/>
  <c r="AS27" i="27" s="1"/>
  <c r="AQ30" i="27"/>
  <c r="AS30" i="27" s="1"/>
  <c r="AQ29" i="27"/>
  <c r="AS29" i="27" s="1"/>
  <c r="AQ22" i="27"/>
  <c r="AS22" i="27" s="1"/>
  <c r="AQ23" i="27"/>
  <c r="AS23" i="27" s="1"/>
  <c r="AQ32" i="27"/>
  <c r="AS32" i="27" s="1"/>
  <c r="AQ31" i="27"/>
  <c r="AS31" i="27" s="1"/>
  <c r="AQ25" i="27"/>
  <c r="AS25" i="27" s="1"/>
  <c r="AE19" i="27"/>
  <c r="AG19" i="27" s="1"/>
  <c r="AE24" i="27"/>
  <c r="AG24" i="27" s="1"/>
  <c r="AE23" i="27"/>
  <c r="AG23" i="27" s="1"/>
  <c r="AE31" i="27"/>
  <c r="AG31" i="27" s="1"/>
  <c r="AE29" i="27"/>
  <c r="AG29" i="27" s="1"/>
  <c r="AE27" i="27"/>
  <c r="AG27" i="27" s="1"/>
  <c r="AE30" i="27"/>
  <c r="AG30" i="27" s="1"/>
  <c r="AE26" i="27"/>
  <c r="AG26" i="27" s="1"/>
  <c r="AE32" i="27"/>
  <c r="AG32" i="27" s="1"/>
  <c r="AE28" i="27"/>
  <c r="AG28" i="27" s="1"/>
  <c r="AE25" i="27"/>
  <c r="AG25" i="27" s="1"/>
  <c r="AE21" i="27"/>
  <c r="AG21" i="27" s="1"/>
  <c r="AE22" i="27"/>
  <c r="AG22" i="27" s="1"/>
  <c r="AK22" i="27"/>
  <c r="AM22" i="27" s="1"/>
  <c r="AK26" i="27"/>
  <c r="AM26" i="27" s="1"/>
  <c r="AK32" i="27"/>
  <c r="AM32" i="27" s="1"/>
  <c r="AK27" i="27"/>
  <c r="AM27" i="27" s="1"/>
  <c r="AK30" i="27"/>
  <c r="AM30" i="27" s="1"/>
  <c r="AK24" i="27"/>
  <c r="AM24" i="27" s="1"/>
  <c r="AK28" i="27"/>
  <c r="AM28" i="27" s="1"/>
  <c r="AK21" i="27"/>
  <c r="AM21" i="27" s="1"/>
  <c r="AK23" i="27"/>
  <c r="AM23" i="27" s="1"/>
  <c r="AK31" i="27"/>
  <c r="AM31" i="27" s="1"/>
  <c r="AK25" i="27"/>
  <c r="AM25" i="27" s="1"/>
  <c r="AK29" i="27"/>
  <c r="AM29" i="27" s="1"/>
  <c r="Y30" i="27"/>
  <c r="AA30" i="27" s="1"/>
  <c r="Y29" i="27"/>
  <c r="AA29" i="27" s="1"/>
  <c r="Y27" i="27"/>
  <c r="AA27" i="27" s="1"/>
  <c r="Y23" i="27"/>
  <c r="AA23" i="27" s="1"/>
  <c r="Y24" i="27"/>
  <c r="AA24" i="27" s="1"/>
  <c r="Y32" i="27"/>
  <c r="AA32" i="27" s="1"/>
  <c r="Y25" i="27"/>
  <c r="AA25" i="27" s="1"/>
  <c r="Y21" i="27"/>
  <c r="AA21" i="27" s="1"/>
  <c r="Y26" i="27"/>
  <c r="AA26" i="27" s="1"/>
  <c r="Y22" i="27"/>
  <c r="AA22" i="27" s="1"/>
  <c r="Y28" i="27"/>
  <c r="AA28" i="27" s="1"/>
  <c r="Y31" i="27"/>
  <c r="AA31" i="27" s="1"/>
  <c r="BU31" i="27"/>
  <c r="BW31" i="27" s="1"/>
  <c r="BX31" i="27" s="1"/>
  <c r="BU24" i="27"/>
  <c r="BW24" i="27" s="1"/>
  <c r="BX24" i="27" s="1"/>
  <c r="BU27" i="27"/>
  <c r="BW27" i="27" s="1"/>
  <c r="BU30" i="27"/>
  <c r="BW30" i="27" s="1"/>
  <c r="BX30" i="27" s="1"/>
  <c r="BU23" i="27"/>
  <c r="BW23" i="27" s="1"/>
  <c r="BX23" i="27" s="1"/>
  <c r="BU21" i="27"/>
  <c r="BW21" i="27" s="1"/>
  <c r="BX21" i="27" s="1"/>
  <c r="BU32" i="27"/>
  <c r="BW32" i="27" s="1"/>
  <c r="BX32" i="27" s="1"/>
  <c r="BU22" i="27"/>
  <c r="BW22" i="27" s="1"/>
  <c r="BX22" i="27" s="1"/>
  <c r="BU29" i="27"/>
  <c r="BW29" i="27" s="1"/>
  <c r="BX29" i="27" s="1"/>
  <c r="BU26" i="27"/>
  <c r="BW26" i="27" s="1"/>
  <c r="BX26" i="27" s="1"/>
  <c r="BU25" i="27"/>
  <c r="BW25" i="27" s="1"/>
  <c r="BX25" i="27" s="1"/>
  <c r="BU28" i="27"/>
  <c r="BW28" i="27" s="1"/>
  <c r="BX28" i="27" s="1"/>
  <c r="BF26" i="27"/>
  <c r="BF31" i="27"/>
  <c r="BX27" i="27"/>
  <c r="BO28" i="27"/>
  <c r="BQ28" i="27" s="1"/>
  <c r="BO22" i="27"/>
  <c r="BQ22" i="27" s="1"/>
  <c r="BO30" i="27"/>
  <c r="BQ30" i="27" s="1"/>
  <c r="BO23" i="27"/>
  <c r="BQ23" i="27" s="1"/>
  <c r="BO25" i="27"/>
  <c r="BQ25" i="27" s="1"/>
  <c r="BO27" i="27"/>
  <c r="BQ27" i="27" s="1"/>
  <c r="BO31" i="27"/>
  <c r="BQ31" i="27" s="1"/>
  <c r="BO21" i="27"/>
  <c r="BQ21" i="27" s="1"/>
  <c r="BO32" i="27"/>
  <c r="BQ32" i="27" s="1"/>
  <c r="BO24" i="27"/>
  <c r="BQ24" i="27" s="1"/>
  <c r="BO26" i="27"/>
  <c r="BQ26" i="27" s="1"/>
  <c r="BO29" i="27"/>
  <c r="BQ29" i="27" s="1"/>
  <c r="S23" i="27"/>
  <c r="U23" i="27" s="1"/>
  <c r="S21" i="27"/>
  <c r="U21" i="27" s="1"/>
  <c r="S24" i="27"/>
  <c r="U24" i="27" s="1"/>
  <c r="S27" i="27"/>
  <c r="U27" i="27" s="1"/>
  <c r="S30" i="27"/>
  <c r="U30" i="27" s="1"/>
  <c r="S32" i="27"/>
  <c r="U32" i="27" s="1"/>
  <c r="S25" i="27"/>
  <c r="U25" i="27" s="1"/>
  <c r="S28" i="27"/>
  <c r="U28" i="27" s="1"/>
  <c r="S31" i="27"/>
  <c r="U31" i="27" s="1"/>
  <c r="S22" i="27"/>
  <c r="U22" i="27" s="1"/>
  <c r="S29" i="27"/>
  <c r="U29" i="27" s="1"/>
  <c r="S26" i="27"/>
  <c r="U26" i="27" s="1"/>
  <c r="BI20" i="27"/>
  <c r="BK20" i="27" s="1"/>
  <c r="BI22" i="27"/>
  <c r="BK22" i="27" s="1"/>
  <c r="BI25" i="27"/>
  <c r="BK25" i="27" s="1"/>
  <c r="BI27" i="27"/>
  <c r="BK27" i="27" s="1"/>
  <c r="BI31" i="27"/>
  <c r="BK31" i="27" s="1"/>
  <c r="BI21" i="27"/>
  <c r="BK21" i="27" s="1"/>
  <c r="BI29" i="27"/>
  <c r="BK29" i="27" s="1"/>
  <c r="BI26" i="27"/>
  <c r="BK26" i="27" s="1"/>
  <c r="BI24" i="27"/>
  <c r="BK24" i="27" s="1"/>
  <c r="BI32" i="27"/>
  <c r="BK32" i="27" s="1"/>
  <c r="BI23" i="27"/>
  <c r="BK23" i="27" s="1"/>
  <c r="BI28" i="27"/>
  <c r="BK28" i="27" s="1"/>
  <c r="BI30" i="27"/>
  <c r="BK30" i="27" s="1"/>
  <c r="AW32" i="27"/>
  <c r="AY32" i="27" s="1"/>
  <c r="AW21" i="27"/>
  <c r="AY21" i="27" s="1"/>
  <c r="AW30" i="27"/>
  <c r="AY30" i="27" s="1"/>
  <c r="AW28" i="27"/>
  <c r="AY28" i="27" s="1"/>
  <c r="AW23" i="27"/>
  <c r="AY23" i="27" s="1"/>
  <c r="AW27" i="27"/>
  <c r="AY27" i="27" s="1"/>
  <c r="AW29" i="27"/>
  <c r="AY29" i="27" s="1"/>
  <c r="AW26" i="27"/>
  <c r="AY26" i="27" s="1"/>
  <c r="AW24" i="27"/>
  <c r="AY24" i="27" s="1"/>
  <c r="AW25" i="27"/>
  <c r="AY25" i="27" s="1"/>
  <c r="AW22" i="27"/>
  <c r="AY22" i="27" s="1"/>
  <c r="AW31" i="27"/>
  <c r="AY31" i="27" s="1"/>
  <c r="BF32" i="27"/>
  <c r="S8" i="27"/>
  <c r="U8" i="27" s="1"/>
  <c r="E101" i="24"/>
  <c r="AQ34" i="26"/>
  <c r="AS34" i="26" s="1"/>
  <c r="F66" i="25"/>
  <c r="AQ33" i="26"/>
  <c r="AS33" i="26" s="1"/>
  <c r="AQ31" i="26"/>
  <c r="AS31" i="26" s="1"/>
  <c r="AE36" i="26"/>
  <c r="AG36" i="26" s="1"/>
  <c r="BI92" i="25"/>
  <c r="BK92" i="25" s="1"/>
  <c r="BI90" i="25"/>
  <c r="BK90" i="25" s="1"/>
  <c r="Y37" i="26"/>
  <c r="AA37" i="26" s="1"/>
  <c r="BC36" i="26"/>
  <c r="BE36" i="26" s="1"/>
  <c r="BC37" i="26"/>
  <c r="BE37" i="26" s="1"/>
  <c r="BC34" i="26"/>
  <c r="BE34" i="26" s="1"/>
  <c r="AQ37" i="26"/>
  <c r="AS37" i="26" s="1"/>
  <c r="AQ32" i="26"/>
  <c r="AS32" i="26" s="1"/>
  <c r="AE35" i="26"/>
  <c r="AG35" i="26" s="1"/>
  <c r="AE31" i="26"/>
  <c r="AG31" i="26" s="1"/>
  <c r="S84" i="25"/>
  <c r="U84" i="25" s="1"/>
  <c r="O53" i="25"/>
  <c r="F86" i="25"/>
  <c r="F78" i="25"/>
  <c r="AE34" i="26"/>
  <c r="AG34" i="26" s="1"/>
  <c r="F59" i="25"/>
  <c r="F58" i="25" s="1"/>
  <c r="F57" i="25" s="1"/>
  <c r="F56" i="25" s="1"/>
  <c r="F55" i="25" s="1"/>
  <c r="F54" i="25" s="1"/>
  <c r="F53" i="25" s="1"/>
  <c r="F52" i="25" s="1"/>
  <c r="F51" i="25" s="1"/>
  <c r="F50" i="25" s="1"/>
  <c r="F49" i="25" s="1"/>
  <c r="F48" i="25" s="1"/>
  <c r="F47" i="25" s="1"/>
  <c r="F46" i="25" s="1"/>
  <c r="F45" i="25" s="1"/>
  <c r="F44" i="25" s="1"/>
  <c r="F43" i="25" s="1"/>
  <c r="F42" i="25" s="1"/>
  <c r="F41" i="25" s="1"/>
  <c r="F40" i="25" s="1"/>
  <c r="F39" i="25" s="1"/>
  <c r="F38" i="25" s="1"/>
  <c r="F37" i="25" s="1"/>
  <c r="F36" i="25" s="1"/>
  <c r="F35" i="25" s="1"/>
  <c r="F34" i="25" s="1"/>
  <c r="F33" i="25" s="1"/>
  <c r="F32" i="25" s="1"/>
  <c r="F31" i="25" s="1"/>
  <c r="F30" i="25" s="1"/>
  <c r="F29" i="25" s="1"/>
  <c r="F28" i="25" s="1"/>
  <c r="F27" i="25" s="1"/>
  <c r="F26" i="25" s="1"/>
  <c r="F25" i="25" s="1"/>
  <c r="F24" i="25" s="1"/>
  <c r="F23" i="25" s="1"/>
  <c r="F22" i="25" s="1"/>
  <c r="F21" i="25" s="1"/>
  <c r="F20" i="25" s="1"/>
  <c r="F19" i="25" s="1"/>
  <c r="F18" i="25" s="1"/>
  <c r="F17" i="25" s="1"/>
  <c r="F16" i="25" s="1"/>
  <c r="F15" i="25" s="1"/>
  <c r="F14" i="25" s="1"/>
  <c r="F13" i="25" s="1"/>
  <c r="F12" i="25" s="1"/>
  <c r="F11" i="25" s="1"/>
  <c r="F10" i="25" s="1"/>
  <c r="F9" i="25" s="1"/>
  <c r="F8" i="25" s="1"/>
  <c r="F7" i="25" s="1"/>
  <c r="F6" i="25" s="1"/>
  <c r="F5" i="25" s="1"/>
  <c r="F4" i="25" s="1"/>
  <c r="F3" i="25" s="1"/>
  <c r="F63" i="25"/>
  <c r="F75" i="25"/>
  <c r="F79" i="25"/>
  <c r="F91" i="25"/>
  <c r="O50" i="25"/>
  <c r="M65" i="25"/>
  <c r="F60" i="25"/>
  <c r="F72" i="25"/>
  <c r="F76" i="25"/>
  <c r="F88" i="25"/>
  <c r="F92" i="25"/>
  <c r="O30" i="25"/>
  <c r="L35" i="25"/>
  <c r="BC33" i="26"/>
  <c r="BE33" i="26" s="1"/>
  <c r="BC32" i="26"/>
  <c r="BE32" i="26" s="1"/>
  <c r="AQ36" i="26"/>
  <c r="AS36" i="26" s="1"/>
  <c r="AE37" i="26"/>
  <c r="AG37" i="26" s="1"/>
  <c r="AW89" i="25"/>
  <c r="AY89" i="25" s="1"/>
  <c r="M59" i="25"/>
  <c r="CB1" i="25"/>
  <c r="AE91" i="25"/>
  <c r="AG91" i="25" s="1"/>
  <c r="F85" i="25"/>
  <c r="F61" i="25"/>
  <c r="AW36" i="26"/>
  <c r="AY36" i="26" s="1"/>
  <c r="BI37" i="26"/>
  <c r="BK37" i="26" s="1"/>
  <c r="BI32" i="26"/>
  <c r="BK32" i="26" s="1"/>
  <c r="BI33" i="26"/>
  <c r="BK33" i="26" s="1"/>
  <c r="BI35" i="26"/>
  <c r="BK35" i="26" s="1"/>
  <c r="BI36" i="26"/>
  <c r="BK36" i="26" s="1"/>
  <c r="BU31" i="26"/>
  <c r="BW31" i="26" s="1"/>
  <c r="BO32" i="26"/>
  <c r="BQ32" i="26" s="1"/>
  <c r="BI31" i="26"/>
  <c r="BK31" i="26" s="1"/>
  <c r="BI34" i="26"/>
  <c r="BK34" i="26" s="1"/>
  <c r="BU35" i="26"/>
  <c r="BW35" i="26" s="1"/>
  <c r="AE30" i="26"/>
  <c r="AG30" i="26" s="1"/>
  <c r="AD84" i="27"/>
  <c r="AF84" i="27" s="1"/>
  <c r="AH84" i="27" s="1"/>
  <c r="BI12" i="27"/>
  <c r="BK12" i="27" s="1"/>
  <c r="BH83" i="27"/>
  <c r="BJ83" i="27" s="1"/>
  <c r="BL83" i="27" s="1"/>
  <c r="AD28" i="27"/>
  <c r="AF28" i="27" s="1"/>
  <c r="AE8" i="27"/>
  <c r="AG8" i="27" s="1"/>
  <c r="AD93" i="27"/>
  <c r="AF93" i="27" s="1"/>
  <c r="BH49" i="27"/>
  <c r="BJ49" i="27" s="1"/>
  <c r="BL49" i="27" s="1"/>
  <c r="AD86" i="27"/>
  <c r="AF86" i="27" s="1"/>
  <c r="AH86" i="27" s="1"/>
  <c r="BH74" i="27"/>
  <c r="BJ74" i="27" s="1"/>
  <c r="BL74" i="27" s="1"/>
  <c r="AD80" i="27"/>
  <c r="AF80" i="27" s="1"/>
  <c r="AH80" i="27" s="1"/>
  <c r="AD30" i="27"/>
  <c r="AF30" i="27" s="1"/>
  <c r="BH73" i="27"/>
  <c r="BJ73" i="27" s="1"/>
  <c r="BL73" i="27" s="1"/>
  <c r="BH29" i="27"/>
  <c r="BJ29" i="27" s="1"/>
  <c r="AE18" i="27"/>
  <c r="AG18" i="27" s="1"/>
  <c r="AD10" i="27"/>
  <c r="AF10" i="27" s="1"/>
  <c r="AE7" i="27"/>
  <c r="AG7" i="27" s="1"/>
  <c r="AD44" i="27"/>
  <c r="AF44" i="27" s="1"/>
  <c r="AH44" i="27" s="1"/>
  <c r="BH64" i="27"/>
  <c r="BJ64" i="27" s="1"/>
  <c r="BL64" i="27" s="1"/>
  <c r="AE16" i="27"/>
  <c r="AG16" i="27" s="1"/>
  <c r="AE20" i="27"/>
  <c r="AG20" i="27" s="1"/>
  <c r="AD78" i="27"/>
  <c r="AF78" i="27" s="1"/>
  <c r="AH78" i="27" s="1"/>
  <c r="AE93" i="27"/>
  <c r="AG93" i="27" s="1"/>
  <c r="AD68" i="27"/>
  <c r="AF68" i="27" s="1"/>
  <c r="AH68" i="27" s="1"/>
  <c r="AD56" i="27"/>
  <c r="AF56" i="27" s="1"/>
  <c r="AH56" i="27" s="1"/>
  <c r="AD33" i="27"/>
  <c r="AF33" i="27" s="1"/>
  <c r="AD29" i="27"/>
  <c r="AF29" i="27" s="1"/>
  <c r="BH85" i="27"/>
  <c r="BJ85" i="27" s="1"/>
  <c r="BL85" i="27" s="1"/>
  <c r="BH57" i="27"/>
  <c r="BJ57" i="27" s="1"/>
  <c r="BL57" i="27" s="1"/>
  <c r="BH59" i="27"/>
  <c r="BJ59" i="27" s="1"/>
  <c r="BL59" i="27" s="1"/>
  <c r="AE15" i="27"/>
  <c r="AG15" i="27" s="1"/>
  <c r="AD16" i="27"/>
  <c r="AF16" i="27" s="1"/>
  <c r="AH16" i="27" s="1"/>
  <c r="AD67" i="27"/>
  <c r="AF67" i="27" s="1"/>
  <c r="AH67" i="27" s="1"/>
  <c r="AD38" i="27"/>
  <c r="AF38" i="27" s="1"/>
  <c r="AD61" i="27"/>
  <c r="AF61" i="27" s="1"/>
  <c r="AH61" i="27" s="1"/>
  <c r="AD55" i="27"/>
  <c r="AF55" i="27" s="1"/>
  <c r="AH55" i="27" s="1"/>
  <c r="AD41" i="27"/>
  <c r="AF41" i="27" s="1"/>
  <c r="AH41" i="27" s="1"/>
  <c r="BI9" i="27"/>
  <c r="BK9" i="27" s="1"/>
  <c r="BH81" i="27"/>
  <c r="BJ81" i="27" s="1"/>
  <c r="BL81" i="27" s="1"/>
  <c r="BH32" i="27"/>
  <c r="BJ32" i="27" s="1"/>
  <c r="AD20" i="27"/>
  <c r="AF20" i="27" s="1"/>
  <c r="AH20" i="27" s="1"/>
  <c r="AD83" i="27"/>
  <c r="AF83" i="27" s="1"/>
  <c r="AH83" i="27" s="1"/>
  <c r="AE10" i="27"/>
  <c r="AG10" i="27" s="1"/>
  <c r="AD91" i="27"/>
  <c r="AF91" i="27" s="1"/>
  <c r="AH91" i="27" s="1"/>
  <c r="AD87" i="27"/>
  <c r="AF87" i="27" s="1"/>
  <c r="AH87" i="27" s="1"/>
  <c r="AE3" i="27"/>
  <c r="AD57" i="27"/>
  <c r="AF57" i="27" s="1"/>
  <c r="AH57" i="27" s="1"/>
  <c r="AD52" i="27"/>
  <c r="AF52" i="27" s="1"/>
  <c r="AH52" i="27" s="1"/>
  <c r="AD50" i="27"/>
  <c r="AF50" i="27" s="1"/>
  <c r="AH50" i="27" s="1"/>
  <c r="AD31" i="27"/>
  <c r="AF31" i="27" s="1"/>
  <c r="AD26" i="27"/>
  <c r="AF26" i="27" s="1"/>
  <c r="BH67" i="27"/>
  <c r="BJ67" i="27" s="1"/>
  <c r="BL67" i="27" s="1"/>
  <c r="BH92" i="27"/>
  <c r="BJ92" i="27" s="1"/>
  <c r="BL92" i="27" s="1"/>
  <c r="BH68" i="27"/>
  <c r="BJ68" i="27" s="1"/>
  <c r="BL68" i="27" s="1"/>
  <c r="BH53" i="27"/>
  <c r="BJ53" i="27" s="1"/>
  <c r="BL53" i="27" s="1"/>
  <c r="BH60" i="27"/>
  <c r="BJ60" i="27" s="1"/>
  <c r="BL60" i="27" s="1"/>
  <c r="AE14" i="27"/>
  <c r="AG14" i="27" s="1"/>
  <c r="AE12" i="27"/>
  <c r="AG12" i="27" s="1"/>
  <c r="AD19" i="27"/>
  <c r="AF19" i="27" s="1"/>
  <c r="AD21" i="27"/>
  <c r="AF21" i="27" s="1"/>
  <c r="AD81" i="27"/>
  <c r="AF81" i="27" s="1"/>
  <c r="AH81" i="27" s="1"/>
  <c r="AE4" i="27"/>
  <c r="AG4" i="27" s="1"/>
  <c r="AD74" i="27"/>
  <c r="AF74" i="27" s="1"/>
  <c r="AH74" i="27" s="1"/>
  <c r="AD73" i="27"/>
  <c r="AF73" i="27" s="1"/>
  <c r="AH73" i="27" s="1"/>
  <c r="AD71" i="27"/>
  <c r="AF71" i="27" s="1"/>
  <c r="AH71" i="27" s="1"/>
  <c r="AD66" i="27"/>
  <c r="AF66" i="27" s="1"/>
  <c r="AH66" i="27" s="1"/>
  <c r="AD64" i="27"/>
  <c r="AF64" i="27" s="1"/>
  <c r="AH64" i="27" s="1"/>
  <c r="AD45" i="27"/>
  <c r="AF45" i="27" s="1"/>
  <c r="AH45" i="27" s="1"/>
  <c r="AD47" i="27"/>
  <c r="AF47" i="27" s="1"/>
  <c r="AH47" i="27" s="1"/>
  <c r="AD40" i="27"/>
  <c r="AF40" i="27" s="1"/>
  <c r="AH40" i="27" s="1"/>
  <c r="BI15" i="27"/>
  <c r="BK15" i="27" s="1"/>
  <c r="BH87" i="27"/>
  <c r="BJ87" i="27" s="1"/>
  <c r="BL87" i="27" s="1"/>
  <c r="BH56" i="27"/>
  <c r="BJ56" i="27" s="1"/>
  <c r="BL56" i="27" s="1"/>
  <c r="BH20" i="27"/>
  <c r="BJ20" i="27" s="1"/>
  <c r="BH16" i="27"/>
  <c r="BJ16" i="27" s="1"/>
  <c r="BH46" i="27"/>
  <c r="BJ46" i="27" s="1"/>
  <c r="BL46" i="27" s="1"/>
  <c r="BF20" i="27"/>
  <c r="AE13" i="27"/>
  <c r="AG13" i="27" s="1"/>
  <c r="AD7" i="27"/>
  <c r="AD8" i="27"/>
  <c r="AF8" i="27" s="1"/>
  <c r="AD14" i="27"/>
  <c r="AF14" i="27" s="1"/>
  <c r="AH14" i="27" s="1"/>
  <c r="AD9" i="27"/>
  <c r="AF9" i="27" s="1"/>
  <c r="AD12" i="27"/>
  <c r="AF12" i="27" s="1"/>
  <c r="AD77" i="27"/>
  <c r="AF77" i="27" s="1"/>
  <c r="AH77" i="27" s="1"/>
  <c r="AD70" i="27"/>
  <c r="AF70" i="27" s="1"/>
  <c r="AH70" i="27" s="1"/>
  <c r="AE5" i="27"/>
  <c r="AG5" i="27" s="1"/>
  <c r="AE6" i="27"/>
  <c r="AG6" i="27" s="1"/>
  <c r="AD88" i="27"/>
  <c r="AF88" i="27" s="1"/>
  <c r="AH88" i="27" s="1"/>
  <c r="AD72" i="27"/>
  <c r="AF72" i="27" s="1"/>
  <c r="AH72" i="27" s="1"/>
  <c r="AD85" i="27"/>
  <c r="AF85" i="27" s="1"/>
  <c r="AH85" i="27" s="1"/>
  <c r="AD69" i="27"/>
  <c r="AF69" i="27" s="1"/>
  <c r="AH69" i="27" s="1"/>
  <c r="AD90" i="27"/>
  <c r="AF90" i="27" s="1"/>
  <c r="AH90" i="27" s="1"/>
  <c r="AD63" i="27"/>
  <c r="AF63" i="27" s="1"/>
  <c r="AH63" i="27" s="1"/>
  <c r="AD51" i="27"/>
  <c r="AF51" i="27" s="1"/>
  <c r="AH51" i="27" s="1"/>
  <c r="AD59" i="27"/>
  <c r="AF59" i="27" s="1"/>
  <c r="AH59" i="27" s="1"/>
  <c r="AD48" i="27"/>
  <c r="AF48" i="27" s="1"/>
  <c r="AH48" i="27" s="1"/>
  <c r="AD58" i="27"/>
  <c r="AF58" i="27" s="1"/>
  <c r="AH58" i="27" s="1"/>
  <c r="AD36" i="27"/>
  <c r="AF36" i="27" s="1"/>
  <c r="AD39" i="27"/>
  <c r="AF39" i="27" s="1"/>
  <c r="AH39" i="27" s="1"/>
  <c r="AD27" i="27"/>
  <c r="AF27" i="27" s="1"/>
  <c r="AD43" i="27"/>
  <c r="AF43" i="27" s="1"/>
  <c r="AH43" i="27" s="1"/>
  <c r="AD34" i="27"/>
  <c r="AF34" i="27" s="1"/>
  <c r="BH23" i="27"/>
  <c r="BJ23" i="27" s="1"/>
  <c r="BI4" i="27"/>
  <c r="BK4" i="27" s="1"/>
  <c r="BH42" i="27"/>
  <c r="BJ42" i="27" s="1"/>
  <c r="BL42" i="27" s="1"/>
  <c r="BH77" i="27"/>
  <c r="BJ77" i="27" s="1"/>
  <c r="BL77" i="27" s="1"/>
  <c r="BH90" i="27"/>
  <c r="BJ90" i="27" s="1"/>
  <c r="BL90" i="27" s="1"/>
  <c r="BH93" i="27"/>
  <c r="BJ93" i="27" s="1"/>
  <c r="BH39" i="27"/>
  <c r="BJ39" i="27" s="1"/>
  <c r="BL39" i="27" s="1"/>
  <c r="BH35" i="27"/>
  <c r="BJ35" i="27" s="1"/>
  <c r="BH21" i="27"/>
  <c r="BJ21" i="27" s="1"/>
  <c r="BL21" i="27" s="1"/>
  <c r="BH34" i="27"/>
  <c r="BJ34" i="27" s="1"/>
  <c r="BH28" i="27"/>
  <c r="BJ28" i="27" s="1"/>
  <c r="BH61" i="27"/>
  <c r="BJ61" i="27" s="1"/>
  <c r="BL61" i="27" s="1"/>
  <c r="AD3" i="27"/>
  <c r="AD23" i="27"/>
  <c r="AF23" i="27" s="1"/>
  <c r="AD17" i="27"/>
  <c r="AF17" i="27" s="1"/>
  <c r="AD13" i="27"/>
  <c r="AF13" i="27" s="1"/>
  <c r="AH13" i="27" s="1"/>
  <c r="AD11" i="27"/>
  <c r="AF11" i="27" s="1"/>
  <c r="AE11" i="27"/>
  <c r="AG11" i="27" s="1"/>
  <c r="AE9" i="27"/>
  <c r="AG9" i="27" s="1"/>
  <c r="AD49" i="27"/>
  <c r="AF49" i="27" s="1"/>
  <c r="AH49" i="27" s="1"/>
  <c r="AD76" i="27"/>
  <c r="AF76" i="27" s="1"/>
  <c r="AH76" i="27" s="1"/>
  <c r="AD92" i="27"/>
  <c r="AF92" i="27" s="1"/>
  <c r="AH92" i="27" s="1"/>
  <c r="AD79" i="27"/>
  <c r="AF79" i="27" s="1"/>
  <c r="AH79" i="27" s="1"/>
  <c r="AD89" i="27"/>
  <c r="AF89" i="27" s="1"/>
  <c r="AH89" i="27" s="1"/>
  <c r="AD75" i="27"/>
  <c r="AF75" i="27" s="1"/>
  <c r="AH75" i="27" s="1"/>
  <c r="AD62" i="27"/>
  <c r="AF62" i="27" s="1"/>
  <c r="AH62" i="27" s="1"/>
  <c r="AD82" i="27"/>
  <c r="AF82" i="27" s="1"/>
  <c r="AH82" i="27" s="1"/>
  <c r="AD60" i="27"/>
  <c r="AF60" i="27" s="1"/>
  <c r="AH60" i="27" s="1"/>
  <c r="AD35" i="27"/>
  <c r="AF35" i="27" s="1"/>
  <c r="AD53" i="27"/>
  <c r="AF53" i="27" s="1"/>
  <c r="AH53" i="27" s="1"/>
  <c r="AD65" i="27"/>
  <c r="AF65" i="27" s="1"/>
  <c r="AH65" i="27" s="1"/>
  <c r="AD54" i="27"/>
  <c r="AF54" i="27" s="1"/>
  <c r="AH54" i="27" s="1"/>
  <c r="AD46" i="27"/>
  <c r="AF46" i="27" s="1"/>
  <c r="AH46" i="27" s="1"/>
  <c r="AD32" i="27"/>
  <c r="AF32" i="27" s="1"/>
  <c r="AD37" i="27"/>
  <c r="AF37" i="27" s="1"/>
  <c r="AH37" i="27" s="1"/>
  <c r="AD42" i="27"/>
  <c r="AF42" i="27" s="1"/>
  <c r="AH42" i="27" s="1"/>
  <c r="P22" i="27"/>
  <c r="BI6" i="27"/>
  <c r="BK6" i="27" s="1"/>
  <c r="BI7" i="27"/>
  <c r="BK7" i="27" s="1"/>
  <c r="BH24" i="27"/>
  <c r="BJ24" i="27" s="1"/>
  <c r="BH26" i="27"/>
  <c r="BJ26" i="27" s="1"/>
  <c r="BH78" i="27"/>
  <c r="BJ78" i="27" s="1"/>
  <c r="BL78" i="27" s="1"/>
  <c r="BH76" i="27"/>
  <c r="BJ76" i="27" s="1"/>
  <c r="BL76" i="27" s="1"/>
  <c r="BH52" i="27"/>
  <c r="BJ52" i="27" s="1"/>
  <c r="BL52" i="27" s="1"/>
  <c r="BH38" i="27"/>
  <c r="BJ38" i="27" s="1"/>
  <c r="BH47" i="27"/>
  <c r="BJ47" i="27" s="1"/>
  <c r="BL47" i="27" s="1"/>
  <c r="BH63" i="27"/>
  <c r="BJ63" i="27" s="1"/>
  <c r="BL63" i="27" s="1"/>
  <c r="BH27" i="27"/>
  <c r="BJ27" i="27" s="1"/>
  <c r="AD4" i="27"/>
  <c r="AD24" i="27"/>
  <c r="AF24" i="27" s="1"/>
  <c r="AD22" i="27"/>
  <c r="AF22" i="27" s="1"/>
  <c r="AD15" i="27"/>
  <c r="AF15" i="27" s="1"/>
  <c r="AD18" i="27"/>
  <c r="AF18" i="27" s="1"/>
  <c r="AH18" i="27" s="1"/>
  <c r="BI5" i="27"/>
  <c r="BK5" i="27" s="1"/>
  <c r="BI19" i="27"/>
  <c r="BK19" i="27" s="1"/>
  <c r="BI93" i="27"/>
  <c r="BK93" i="27" s="1"/>
  <c r="BH84" i="27"/>
  <c r="BJ84" i="27" s="1"/>
  <c r="BL84" i="27" s="1"/>
  <c r="BH70" i="27"/>
  <c r="BJ70" i="27" s="1"/>
  <c r="BL70" i="27" s="1"/>
  <c r="BH80" i="27"/>
  <c r="BJ80" i="27" s="1"/>
  <c r="BL80" i="27" s="1"/>
  <c r="BH69" i="27"/>
  <c r="BJ69" i="27" s="1"/>
  <c r="BL69" i="27" s="1"/>
  <c r="BH91" i="27"/>
  <c r="BJ91" i="27" s="1"/>
  <c r="BL91" i="27" s="1"/>
  <c r="BH79" i="27"/>
  <c r="BJ79" i="27" s="1"/>
  <c r="BL79" i="27" s="1"/>
  <c r="BH55" i="27"/>
  <c r="BJ55" i="27" s="1"/>
  <c r="BL55" i="27" s="1"/>
  <c r="BH82" i="27"/>
  <c r="BJ82" i="27" s="1"/>
  <c r="BL82" i="27" s="1"/>
  <c r="BH40" i="27"/>
  <c r="BJ40" i="27" s="1"/>
  <c r="BL40" i="27" s="1"/>
  <c r="BH66" i="27"/>
  <c r="BJ66" i="27" s="1"/>
  <c r="BL66" i="27" s="1"/>
  <c r="BH51" i="27"/>
  <c r="BJ51" i="27" s="1"/>
  <c r="BL51" i="27" s="1"/>
  <c r="BH54" i="27"/>
  <c r="BJ54" i="27" s="1"/>
  <c r="BL54" i="27" s="1"/>
  <c r="BH37" i="27"/>
  <c r="BJ37" i="27" s="1"/>
  <c r="BL37" i="27" s="1"/>
  <c r="BH17" i="27"/>
  <c r="BJ17" i="27" s="1"/>
  <c r="BH50" i="27"/>
  <c r="BJ50" i="27" s="1"/>
  <c r="BL50" i="27" s="1"/>
  <c r="BH33" i="27"/>
  <c r="BJ33" i="27" s="1"/>
  <c r="BH44" i="27"/>
  <c r="BJ44" i="27" s="1"/>
  <c r="BL44" i="27" s="1"/>
  <c r="BH43" i="27"/>
  <c r="BJ43" i="27" s="1"/>
  <c r="BL43" i="27" s="1"/>
  <c r="BH30" i="27"/>
  <c r="BJ30" i="27" s="1"/>
  <c r="P72" i="27"/>
  <c r="R58" i="27"/>
  <c r="T58" i="27" s="1"/>
  <c r="V58" i="27" s="1"/>
  <c r="BI17" i="27"/>
  <c r="BK17" i="27" s="1"/>
  <c r="BI16" i="27"/>
  <c r="BK16" i="27" s="1"/>
  <c r="BI8" i="27"/>
  <c r="BK8" i="27" s="1"/>
  <c r="BI3" i="27"/>
  <c r="BI11" i="27"/>
  <c r="BK11" i="27" s="1"/>
  <c r="BI10" i="27"/>
  <c r="BK10" i="27" s="1"/>
  <c r="BH41" i="27"/>
  <c r="BJ41" i="27" s="1"/>
  <c r="BL41" i="27" s="1"/>
  <c r="BH89" i="27"/>
  <c r="BJ89" i="27" s="1"/>
  <c r="BL89" i="27" s="1"/>
  <c r="BH75" i="27"/>
  <c r="BJ75" i="27" s="1"/>
  <c r="BL75" i="27" s="1"/>
  <c r="BH25" i="27"/>
  <c r="BJ25" i="27" s="1"/>
  <c r="BH86" i="27"/>
  <c r="BJ86" i="27" s="1"/>
  <c r="BL86" i="27" s="1"/>
  <c r="BH72" i="27"/>
  <c r="BJ72" i="27" s="1"/>
  <c r="BL72" i="27" s="1"/>
  <c r="BH88" i="27"/>
  <c r="BJ88" i="27" s="1"/>
  <c r="BL88" i="27" s="1"/>
  <c r="BH71" i="27"/>
  <c r="BJ71" i="27" s="1"/>
  <c r="BL71" i="27" s="1"/>
  <c r="BH58" i="27"/>
  <c r="BJ58" i="27" s="1"/>
  <c r="BL58" i="27" s="1"/>
  <c r="BH36" i="27"/>
  <c r="BJ36" i="27" s="1"/>
  <c r="BH19" i="27"/>
  <c r="BJ19" i="27" s="1"/>
  <c r="BH22" i="27"/>
  <c r="BJ22" i="27" s="1"/>
  <c r="BH48" i="27"/>
  <c r="BJ48" i="27" s="1"/>
  <c r="BL48" i="27" s="1"/>
  <c r="BH31" i="27"/>
  <c r="BJ31" i="27" s="1"/>
  <c r="BH18" i="27"/>
  <c r="BJ18" i="27" s="1"/>
  <c r="BH65" i="27"/>
  <c r="BJ65" i="27" s="1"/>
  <c r="BL65" i="27" s="1"/>
  <c r="BH15" i="27"/>
  <c r="BJ15" i="27" s="1"/>
  <c r="BH62" i="27"/>
  <c r="BJ62" i="27" s="1"/>
  <c r="BL62" i="27" s="1"/>
  <c r="BH45" i="27"/>
  <c r="BJ45" i="27" s="1"/>
  <c r="BL45" i="27" s="1"/>
  <c r="AD25" i="27"/>
  <c r="AF25" i="27" s="1"/>
  <c r="AD5" i="27"/>
  <c r="AD6" i="27"/>
  <c r="AE17" i="27"/>
  <c r="AG17" i="27" s="1"/>
  <c r="BI18" i="27"/>
  <c r="BK18" i="27" s="1"/>
  <c r="BI13" i="27"/>
  <c r="BK13" i="27" s="1"/>
  <c r="BI14" i="27"/>
  <c r="BK14" i="27" s="1"/>
  <c r="R45" i="27"/>
  <c r="T45" i="27" s="1"/>
  <c r="V45" i="27" s="1"/>
  <c r="R91" i="27"/>
  <c r="T91" i="27" s="1"/>
  <c r="V91" i="27" s="1"/>
  <c r="AK72" i="25"/>
  <c r="AM72" i="25" s="1"/>
  <c r="S17" i="26"/>
  <c r="U17" i="26" s="1"/>
  <c r="B30" i="5"/>
  <c r="BF18" i="27"/>
  <c r="R14" i="27"/>
  <c r="T14" i="27" s="1"/>
  <c r="R15" i="27"/>
  <c r="T15" i="27" s="1"/>
  <c r="R5" i="27"/>
  <c r="R4" i="27"/>
  <c r="R22" i="27"/>
  <c r="T22" i="27" s="1"/>
  <c r="R12" i="27"/>
  <c r="T12" i="27" s="1"/>
  <c r="R3" i="27"/>
  <c r="R17" i="27"/>
  <c r="T17" i="27" s="1"/>
  <c r="R9" i="27"/>
  <c r="T9" i="27" s="1"/>
  <c r="R8" i="27"/>
  <c r="T8" i="27" s="1"/>
  <c r="R18" i="27"/>
  <c r="T18" i="27" s="1"/>
  <c r="R19" i="27"/>
  <c r="T19" i="27" s="1"/>
  <c r="R13" i="27"/>
  <c r="T13" i="27" s="1"/>
  <c r="R16" i="27"/>
  <c r="T16" i="27" s="1"/>
  <c r="R25" i="27"/>
  <c r="T25" i="27" s="1"/>
  <c r="R20" i="27"/>
  <c r="T20" i="27" s="1"/>
  <c r="R6" i="27"/>
  <c r="R10" i="27"/>
  <c r="T10" i="27" s="1"/>
  <c r="R11" i="27"/>
  <c r="T11" i="27" s="1"/>
  <c r="R7" i="27"/>
  <c r="R23" i="27"/>
  <c r="T23" i="27" s="1"/>
  <c r="R21" i="27"/>
  <c r="T21" i="27" s="1"/>
  <c r="R24" i="27"/>
  <c r="T24" i="27" s="1"/>
  <c r="AE29" i="26"/>
  <c r="AG29" i="26" s="1"/>
  <c r="X5" i="27"/>
  <c r="X21" i="27"/>
  <c r="Z21" i="27" s="1"/>
  <c r="X6" i="27"/>
  <c r="X22" i="27"/>
  <c r="Z22" i="27" s="1"/>
  <c r="X20" i="27"/>
  <c r="Z20" i="27" s="1"/>
  <c r="X16" i="27"/>
  <c r="Z16" i="27" s="1"/>
  <c r="X23" i="27"/>
  <c r="Z23" i="27" s="1"/>
  <c r="X9" i="27"/>
  <c r="Z9" i="27" s="1"/>
  <c r="X25" i="27"/>
  <c r="Z25" i="27" s="1"/>
  <c r="X10" i="27"/>
  <c r="Z10" i="27" s="1"/>
  <c r="X3" i="27"/>
  <c r="X4" i="27"/>
  <c r="X11" i="27"/>
  <c r="Z11" i="27" s="1"/>
  <c r="X24" i="27"/>
  <c r="Z24" i="27" s="1"/>
  <c r="X19" i="27"/>
  <c r="Z19" i="27" s="1"/>
  <c r="X8" i="27"/>
  <c r="Z8" i="27" s="1"/>
  <c r="X15" i="27"/>
  <c r="Z15" i="27" s="1"/>
  <c r="X17" i="27"/>
  <c r="Z17" i="27" s="1"/>
  <c r="X18" i="27"/>
  <c r="Z18" i="27" s="1"/>
  <c r="X13" i="27"/>
  <c r="Z13" i="27" s="1"/>
  <c r="X14" i="27"/>
  <c r="Z14" i="27" s="1"/>
  <c r="X12" i="27"/>
  <c r="Z12" i="27" s="1"/>
  <c r="X7" i="27"/>
  <c r="Z7" i="27" s="1"/>
  <c r="BF16" i="27"/>
  <c r="R70" i="27"/>
  <c r="T70" i="27" s="1"/>
  <c r="V70" i="27" s="1"/>
  <c r="R33" i="27"/>
  <c r="T33" i="27" s="1"/>
  <c r="R63" i="27"/>
  <c r="T63" i="27" s="1"/>
  <c r="V63" i="27" s="1"/>
  <c r="R49" i="27"/>
  <c r="T49" i="27" s="1"/>
  <c r="V49" i="27" s="1"/>
  <c r="R28" i="27"/>
  <c r="T28" i="27" s="1"/>
  <c r="S4" i="27"/>
  <c r="U4" i="27" s="1"/>
  <c r="S7" i="27"/>
  <c r="U7" i="27" s="1"/>
  <c r="R72" i="27"/>
  <c r="T72" i="27" s="1"/>
  <c r="V72" i="27" s="1"/>
  <c r="R64" i="27"/>
  <c r="T64" i="27" s="1"/>
  <c r="V64" i="27" s="1"/>
  <c r="R44" i="27"/>
  <c r="T44" i="27" s="1"/>
  <c r="V44" i="27" s="1"/>
  <c r="R76" i="27"/>
  <c r="T76" i="27" s="1"/>
  <c r="V76" i="27" s="1"/>
  <c r="R84" i="27"/>
  <c r="T84" i="27" s="1"/>
  <c r="V84" i="27" s="1"/>
  <c r="R89" i="27"/>
  <c r="T89" i="27" s="1"/>
  <c r="V89" i="27" s="1"/>
  <c r="R47" i="27"/>
  <c r="T47" i="27" s="1"/>
  <c r="V47" i="27" s="1"/>
  <c r="R66" i="27"/>
  <c r="T66" i="27" s="1"/>
  <c r="V66" i="27" s="1"/>
  <c r="R59" i="27"/>
  <c r="T59" i="27" s="1"/>
  <c r="V59" i="27" s="1"/>
  <c r="R27" i="27"/>
  <c r="T27" i="27" s="1"/>
  <c r="BB14" i="27"/>
  <c r="BD14" i="27" s="1"/>
  <c r="BF14" i="27" s="1"/>
  <c r="BH13" i="27"/>
  <c r="BJ13" i="27" s="1"/>
  <c r="BT12" i="27"/>
  <c r="BV12" i="27" s="1"/>
  <c r="BT9" i="27"/>
  <c r="BV9" i="27" s="1"/>
  <c r="BB10" i="27"/>
  <c r="BD10" i="27" s="1"/>
  <c r="BF10" i="27" s="1"/>
  <c r="BB13" i="27"/>
  <c r="BD13" i="27" s="1"/>
  <c r="BF13" i="27" s="1"/>
  <c r="BT11" i="27"/>
  <c r="BV11" i="27" s="1"/>
  <c r="BH11" i="27"/>
  <c r="BJ11" i="27" s="1"/>
  <c r="BH8" i="27"/>
  <c r="BJ8" i="27" s="1"/>
  <c r="BF17" i="27"/>
  <c r="BB11" i="27"/>
  <c r="BD11" i="27" s="1"/>
  <c r="BF11" i="27" s="1"/>
  <c r="BT13" i="27"/>
  <c r="BV13" i="27" s="1"/>
  <c r="BT14" i="27"/>
  <c r="BV14" i="27" s="1"/>
  <c r="BH12" i="27"/>
  <c r="BJ12" i="27" s="1"/>
  <c r="BH14" i="27"/>
  <c r="BJ14" i="27" s="1"/>
  <c r="BH10" i="27"/>
  <c r="BJ10" i="27" s="1"/>
  <c r="BH9" i="27"/>
  <c r="BJ9" i="27" s="1"/>
  <c r="BB9" i="27"/>
  <c r="BD9" i="27" s="1"/>
  <c r="BF9" i="27" s="1"/>
  <c r="BF19" i="27"/>
  <c r="BF15" i="27"/>
  <c r="BB12" i="27"/>
  <c r="BD12" i="27" s="1"/>
  <c r="BF12" i="27" s="1"/>
  <c r="S19" i="27"/>
  <c r="U19" i="27" s="1"/>
  <c r="S16" i="27"/>
  <c r="U16" i="27" s="1"/>
  <c r="S15" i="27"/>
  <c r="U15" i="27" s="1"/>
  <c r="S17" i="27"/>
  <c r="U17" i="27" s="1"/>
  <c r="S13" i="27"/>
  <c r="U13" i="27" s="1"/>
  <c r="R83" i="27"/>
  <c r="T83" i="27" s="1"/>
  <c r="V83" i="27" s="1"/>
  <c r="S10" i="27"/>
  <c r="U10" i="27" s="1"/>
  <c r="S3" i="27"/>
  <c r="R78" i="27"/>
  <c r="T78" i="27" s="1"/>
  <c r="V78" i="27" s="1"/>
  <c r="R67" i="27"/>
  <c r="T67" i="27" s="1"/>
  <c r="V67" i="27" s="1"/>
  <c r="S9" i="27"/>
  <c r="U9" i="27" s="1"/>
  <c r="R73" i="27"/>
  <c r="T73" i="27" s="1"/>
  <c r="V73" i="27" s="1"/>
  <c r="S5" i="27"/>
  <c r="U5" i="27" s="1"/>
  <c r="R86" i="27"/>
  <c r="T86" i="27" s="1"/>
  <c r="V86" i="27" s="1"/>
  <c r="R74" i="27"/>
  <c r="T74" i="27" s="1"/>
  <c r="V74" i="27" s="1"/>
  <c r="R60" i="27"/>
  <c r="T60" i="27" s="1"/>
  <c r="V60" i="27" s="1"/>
  <c r="R53" i="27"/>
  <c r="T53" i="27" s="1"/>
  <c r="V53" i="27" s="1"/>
  <c r="R93" i="27"/>
  <c r="T93" i="27" s="1"/>
  <c r="R37" i="27"/>
  <c r="T37" i="27" s="1"/>
  <c r="R46" i="27"/>
  <c r="T46" i="27" s="1"/>
  <c r="V46" i="27" s="1"/>
  <c r="R30" i="27"/>
  <c r="T30" i="27" s="1"/>
  <c r="R48" i="27"/>
  <c r="T48" i="27" s="1"/>
  <c r="V48" i="27" s="1"/>
  <c r="R31" i="27"/>
  <c r="T31" i="27" s="1"/>
  <c r="R40" i="27"/>
  <c r="T40" i="27" s="1"/>
  <c r="V40" i="27" s="1"/>
  <c r="S18" i="27"/>
  <c r="U18" i="27" s="1"/>
  <c r="S12" i="27"/>
  <c r="U12" i="27" s="1"/>
  <c r="R85" i="27"/>
  <c r="T85" i="27" s="1"/>
  <c r="V85" i="27" s="1"/>
  <c r="S6" i="27"/>
  <c r="U6" i="27" s="1"/>
  <c r="S11" i="27"/>
  <c r="U11" i="27" s="1"/>
  <c r="R41" i="27"/>
  <c r="T41" i="27" s="1"/>
  <c r="V41" i="27" s="1"/>
  <c r="R87" i="27"/>
  <c r="T87" i="27" s="1"/>
  <c r="V87" i="27" s="1"/>
  <c r="R69" i="27"/>
  <c r="T69" i="27" s="1"/>
  <c r="V69" i="27" s="1"/>
  <c r="R54" i="27"/>
  <c r="T54" i="27" s="1"/>
  <c r="V54" i="27" s="1"/>
  <c r="R80" i="27"/>
  <c r="T80" i="27" s="1"/>
  <c r="V80" i="27" s="1"/>
  <c r="R35" i="27"/>
  <c r="T35" i="27" s="1"/>
  <c r="R90" i="27"/>
  <c r="T90" i="27" s="1"/>
  <c r="V90" i="27" s="1"/>
  <c r="R81" i="27"/>
  <c r="T81" i="27" s="1"/>
  <c r="V81" i="27" s="1"/>
  <c r="R52" i="27"/>
  <c r="T52" i="27" s="1"/>
  <c r="V52" i="27" s="1"/>
  <c r="R65" i="27"/>
  <c r="T65" i="27" s="1"/>
  <c r="V65" i="27" s="1"/>
  <c r="R57" i="27"/>
  <c r="T57" i="27" s="1"/>
  <c r="V57" i="27" s="1"/>
  <c r="R43" i="27"/>
  <c r="T43" i="27" s="1"/>
  <c r="V43" i="27" s="1"/>
  <c r="R61" i="27"/>
  <c r="T61" i="27" s="1"/>
  <c r="V61" i="27" s="1"/>
  <c r="R55" i="27"/>
  <c r="T55" i="27" s="1"/>
  <c r="V55" i="27" s="1"/>
  <c r="R39" i="27"/>
  <c r="T39" i="27" s="1"/>
  <c r="V39" i="27" s="1"/>
  <c r="R38" i="27"/>
  <c r="T38" i="27" s="1"/>
  <c r="R32" i="27"/>
  <c r="T32" i="27" s="1"/>
  <c r="P5" i="27"/>
  <c r="B30" i="4"/>
  <c r="S14" i="27"/>
  <c r="U14" i="27" s="1"/>
  <c r="S20" i="27"/>
  <c r="U20" i="27" s="1"/>
  <c r="R71" i="27"/>
  <c r="T71" i="27" s="1"/>
  <c r="V71" i="27" s="1"/>
  <c r="R92" i="27"/>
  <c r="T92" i="27" s="1"/>
  <c r="V92" i="27" s="1"/>
  <c r="R82" i="27"/>
  <c r="T82" i="27" s="1"/>
  <c r="V82" i="27" s="1"/>
  <c r="S93" i="27"/>
  <c r="U93" i="27" s="1"/>
  <c r="R79" i="27"/>
  <c r="T79" i="27" s="1"/>
  <c r="V79" i="27" s="1"/>
  <c r="R68" i="27"/>
  <c r="T68" i="27" s="1"/>
  <c r="V68" i="27" s="1"/>
  <c r="R51" i="27"/>
  <c r="T51" i="27" s="1"/>
  <c r="V51" i="27" s="1"/>
  <c r="R75" i="27"/>
  <c r="T75" i="27" s="1"/>
  <c r="V75" i="27" s="1"/>
  <c r="R29" i="27"/>
  <c r="T29" i="27" s="1"/>
  <c r="R88" i="27"/>
  <c r="T88" i="27" s="1"/>
  <c r="V88" i="27" s="1"/>
  <c r="R77" i="27"/>
  <c r="T77" i="27" s="1"/>
  <c r="V77" i="27" s="1"/>
  <c r="R26" i="27"/>
  <c r="T26" i="27" s="1"/>
  <c r="V26" i="27" s="1"/>
  <c r="R62" i="27"/>
  <c r="T62" i="27" s="1"/>
  <c r="V62" i="27" s="1"/>
  <c r="R56" i="27"/>
  <c r="T56" i="27" s="1"/>
  <c r="V56" i="27" s="1"/>
  <c r="R50" i="27"/>
  <c r="T50" i="27" s="1"/>
  <c r="V50" i="27" s="1"/>
  <c r="R34" i="27"/>
  <c r="T34" i="27" s="1"/>
  <c r="R36" i="27"/>
  <c r="T36" i="27" s="1"/>
  <c r="R42" i="27"/>
  <c r="T42" i="27" s="1"/>
  <c r="V42" i="27" s="1"/>
  <c r="P92" i="27"/>
  <c r="BU7" i="27"/>
  <c r="BW7" i="27" s="1"/>
  <c r="BU8" i="27"/>
  <c r="BW8" i="27" s="1"/>
  <c r="BU9" i="27"/>
  <c r="BW9" i="27" s="1"/>
  <c r="BU93" i="27"/>
  <c r="BW93" i="27" s="1"/>
  <c r="BX93" i="27" s="1"/>
  <c r="BU3" i="27"/>
  <c r="BU5" i="27"/>
  <c r="BW5" i="27" s="1"/>
  <c r="BU10" i="27"/>
  <c r="BW10" i="27" s="1"/>
  <c r="BX10" i="27" s="1"/>
  <c r="BU11" i="27"/>
  <c r="BW11" i="27" s="1"/>
  <c r="BU4" i="27"/>
  <c r="BW4" i="27" s="1"/>
  <c r="BU6" i="27"/>
  <c r="BW6" i="27" s="1"/>
  <c r="BU16" i="27"/>
  <c r="BW16" i="27" s="1"/>
  <c r="BX16" i="27" s="1"/>
  <c r="BU19" i="27"/>
  <c r="BW19" i="27" s="1"/>
  <c r="BX19" i="27" s="1"/>
  <c r="BU18" i="27"/>
  <c r="BW18" i="27" s="1"/>
  <c r="BX18" i="27" s="1"/>
  <c r="BU17" i="27"/>
  <c r="BW17" i="27" s="1"/>
  <c r="BX17" i="27" s="1"/>
  <c r="BU13" i="27"/>
  <c r="BW13" i="27" s="1"/>
  <c r="BU15" i="27"/>
  <c r="BW15" i="27" s="1"/>
  <c r="BX15" i="27" s="1"/>
  <c r="BU14" i="27"/>
  <c r="BW14" i="27" s="1"/>
  <c r="BU20" i="27"/>
  <c r="BW20" i="27" s="1"/>
  <c r="BX20" i="27" s="1"/>
  <c r="BU12" i="27"/>
  <c r="BW12" i="27" s="1"/>
  <c r="BT8" i="27"/>
  <c r="BV8" i="27" s="1"/>
  <c r="P42" i="27"/>
  <c r="AP14" i="27"/>
  <c r="AR14" i="27" s="1"/>
  <c r="AP30" i="27"/>
  <c r="AR30" i="27" s="1"/>
  <c r="AP12" i="27"/>
  <c r="AR12" i="27" s="1"/>
  <c r="AP27" i="27"/>
  <c r="AR27" i="27" s="1"/>
  <c r="AP20" i="27"/>
  <c r="AR20" i="27" s="1"/>
  <c r="AP9" i="27"/>
  <c r="AR9" i="27" s="1"/>
  <c r="AP29" i="27"/>
  <c r="AR29" i="27" s="1"/>
  <c r="AP36" i="27"/>
  <c r="AR36" i="27" s="1"/>
  <c r="AP38" i="27"/>
  <c r="AR38" i="27" s="1"/>
  <c r="AP44" i="27"/>
  <c r="AR44" i="27" s="1"/>
  <c r="AT44" i="27" s="1"/>
  <c r="AP18" i="27"/>
  <c r="AR18" i="27" s="1"/>
  <c r="AP34" i="27"/>
  <c r="AR34" i="27" s="1"/>
  <c r="AP16" i="27"/>
  <c r="AR16" i="27" s="1"/>
  <c r="AP31" i="27"/>
  <c r="AR31" i="27" s="1"/>
  <c r="AP11" i="27"/>
  <c r="AR11" i="27" s="1"/>
  <c r="AP24" i="27"/>
  <c r="AR24" i="27" s="1"/>
  <c r="AP13" i="27"/>
  <c r="AR13" i="27" s="1"/>
  <c r="AP39" i="27"/>
  <c r="AR39" i="27" s="1"/>
  <c r="AT39" i="27" s="1"/>
  <c r="AP45" i="27"/>
  <c r="AR45" i="27" s="1"/>
  <c r="AT45" i="27" s="1"/>
  <c r="AP46" i="27"/>
  <c r="AR46" i="27" s="1"/>
  <c r="AT46" i="27" s="1"/>
  <c r="AP47" i="27"/>
  <c r="AR47" i="27" s="1"/>
  <c r="AT47" i="27" s="1"/>
  <c r="AP22" i="27"/>
  <c r="AR22" i="27" s="1"/>
  <c r="AP19" i="27"/>
  <c r="AR19" i="27" s="1"/>
  <c r="AP15" i="27"/>
  <c r="AR15" i="27" s="1"/>
  <c r="AP28" i="27"/>
  <c r="AR28" i="27" s="1"/>
  <c r="AP21" i="27"/>
  <c r="AR21" i="27" s="1"/>
  <c r="AP35" i="27"/>
  <c r="AR35" i="27" s="1"/>
  <c r="AP37" i="27"/>
  <c r="AR37" i="27" s="1"/>
  <c r="AT37" i="27" s="1"/>
  <c r="AP41" i="27"/>
  <c r="AR41" i="27" s="1"/>
  <c r="AT41" i="27" s="1"/>
  <c r="AP43" i="27"/>
  <c r="AR43" i="27" s="1"/>
  <c r="AT43" i="27" s="1"/>
  <c r="AP23" i="27"/>
  <c r="AR23" i="27" s="1"/>
  <c r="AP7" i="27"/>
  <c r="AR7" i="27" s="1"/>
  <c r="AP50" i="27"/>
  <c r="AR50" i="27" s="1"/>
  <c r="AT50" i="27" s="1"/>
  <c r="AP51" i="27"/>
  <c r="AR51" i="27" s="1"/>
  <c r="AT51" i="27" s="1"/>
  <c r="AP56" i="27"/>
  <c r="AR56" i="27" s="1"/>
  <c r="AT56" i="27" s="1"/>
  <c r="AP60" i="27"/>
  <c r="AR60" i="27" s="1"/>
  <c r="AT60" i="27" s="1"/>
  <c r="AP62" i="27"/>
  <c r="AR62" i="27" s="1"/>
  <c r="AT62" i="27" s="1"/>
  <c r="AP66" i="27"/>
  <c r="AR66" i="27" s="1"/>
  <c r="AT66" i="27" s="1"/>
  <c r="AP10" i="27"/>
  <c r="AR10" i="27" s="1"/>
  <c r="AP93" i="27"/>
  <c r="AR93" i="27" s="1"/>
  <c r="AP25" i="27"/>
  <c r="AR25" i="27" s="1"/>
  <c r="AP42" i="27"/>
  <c r="AR42" i="27" s="1"/>
  <c r="AT42" i="27" s="1"/>
  <c r="AP49" i="27"/>
  <c r="AR49" i="27" s="1"/>
  <c r="AT49" i="27" s="1"/>
  <c r="AP53" i="27"/>
  <c r="AR53" i="27" s="1"/>
  <c r="AT53" i="27" s="1"/>
  <c r="AP61" i="27"/>
  <c r="AR61" i="27" s="1"/>
  <c r="AT61" i="27" s="1"/>
  <c r="AP64" i="27"/>
  <c r="AR64" i="27" s="1"/>
  <c r="AT64" i="27" s="1"/>
  <c r="AP67" i="27"/>
  <c r="AR67" i="27" s="1"/>
  <c r="AT67" i="27" s="1"/>
  <c r="AP26" i="27"/>
  <c r="AR26" i="27" s="1"/>
  <c r="AP17" i="27"/>
  <c r="AR17" i="27" s="1"/>
  <c r="AP40" i="27"/>
  <c r="AR40" i="27" s="1"/>
  <c r="AT40" i="27" s="1"/>
  <c r="AP48" i="27"/>
  <c r="AR48" i="27" s="1"/>
  <c r="AT48" i="27" s="1"/>
  <c r="AP52" i="27"/>
  <c r="AR52" i="27" s="1"/>
  <c r="AT52" i="27" s="1"/>
  <c r="AP54" i="27"/>
  <c r="AR54" i="27" s="1"/>
  <c r="AT54" i="27" s="1"/>
  <c r="AP59" i="27"/>
  <c r="AR59" i="27" s="1"/>
  <c r="AT59" i="27" s="1"/>
  <c r="AP63" i="27"/>
  <c r="AR63" i="27" s="1"/>
  <c r="AT63" i="27" s="1"/>
  <c r="AP32" i="27"/>
  <c r="AR32" i="27" s="1"/>
  <c r="AP70" i="27"/>
  <c r="AR70" i="27" s="1"/>
  <c r="AT70" i="27" s="1"/>
  <c r="AP73" i="27"/>
  <c r="AR73" i="27" s="1"/>
  <c r="AT73" i="27" s="1"/>
  <c r="AP76" i="27"/>
  <c r="AR76" i="27" s="1"/>
  <c r="AT76" i="27" s="1"/>
  <c r="AP84" i="27"/>
  <c r="AR84" i="27" s="1"/>
  <c r="AT84" i="27" s="1"/>
  <c r="AP87" i="27"/>
  <c r="AR87" i="27" s="1"/>
  <c r="AT87" i="27" s="1"/>
  <c r="AP89" i="27"/>
  <c r="AR89" i="27" s="1"/>
  <c r="AT89" i="27" s="1"/>
  <c r="AP58" i="27"/>
  <c r="AR58" i="27" s="1"/>
  <c r="AT58" i="27" s="1"/>
  <c r="AP69" i="27"/>
  <c r="AR69" i="27" s="1"/>
  <c r="AT69" i="27" s="1"/>
  <c r="AP71" i="27"/>
  <c r="AR71" i="27" s="1"/>
  <c r="AT71" i="27" s="1"/>
  <c r="AP77" i="27"/>
  <c r="AR77" i="27" s="1"/>
  <c r="AT77" i="27" s="1"/>
  <c r="AP79" i="27"/>
  <c r="AR79" i="27" s="1"/>
  <c r="AT79" i="27" s="1"/>
  <c r="AP82" i="27"/>
  <c r="AR82" i="27" s="1"/>
  <c r="AT82" i="27" s="1"/>
  <c r="AP33" i="27"/>
  <c r="AR33" i="27" s="1"/>
  <c r="AP57" i="27"/>
  <c r="AR57" i="27" s="1"/>
  <c r="AT57" i="27" s="1"/>
  <c r="AP65" i="27"/>
  <c r="AR65" i="27" s="1"/>
  <c r="AT65" i="27" s="1"/>
  <c r="AP72" i="27"/>
  <c r="AR72" i="27" s="1"/>
  <c r="AT72" i="27" s="1"/>
  <c r="AP74" i="27"/>
  <c r="AR74" i="27" s="1"/>
  <c r="AT74" i="27" s="1"/>
  <c r="AP80" i="27"/>
  <c r="AR80" i="27" s="1"/>
  <c r="AT80" i="27" s="1"/>
  <c r="AP81" i="27"/>
  <c r="AR81" i="27" s="1"/>
  <c r="AT81" i="27" s="1"/>
  <c r="AP83" i="27"/>
  <c r="AR83" i="27" s="1"/>
  <c r="AT83" i="27" s="1"/>
  <c r="AP85" i="27"/>
  <c r="AR85" i="27" s="1"/>
  <c r="AT85" i="27" s="1"/>
  <c r="AP91" i="27"/>
  <c r="AR91" i="27" s="1"/>
  <c r="AT91" i="27" s="1"/>
  <c r="AP92" i="27"/>
  <c r="AR92" i="27" s="1"/>
  <c r="AT92" i="27" s="1"/>
  <c r="AP55" i="27"/>
  <c r="AR55" i="27" s="1"/>
  <c r="AT55" i="27" s="1"/>
  <c r="AP68" i="27"/>
  <c r="AR68" i="27" s="1"/>
  <c r="AT68" i="27" s="1"/>
  <c r="AP90" i="27"/>
  <c r="AR90" i="27" s="1"/>
  <c r="AT90" i="27" s="1"/>
  <c r="AQ5" i="27"/>
  <c r="AS5" i="27" s="1"/>
  <c r="AQ4" i="27"/>
  <c r="AS4" i="27" s="1"/>
  <c r="AP78" i="27"/>
  <c r="AR78" i="27" s="1"/>
  <c r="AT78" i="27" s="1"/>
  <c r="AQ93" i="27"/>
  <c r="AS93" i="27" s="1"/>
  <c r="AQ9" i="27"/>
  <c r="AS9" i="27" s="1"/>
  <c r="AQ6" i="27"/>
  <c r="AS6" i="27" s="1"/>
  <c r="AP75" i="27"/>
  <c r="AR75" i="27" s="1"/>
  <c r="AT75" i="27" s="1"/>
  <c r="AP86" i="27"/>
  <c r="AR86" i="27" s="1"/>
  <c r="AT86" i="27" s="1"/>
  <c r="AQ7" i="27"/>
  <c r="AS7" i="27" s="1"/>
  <c r="AQ3" i="27"/>
  <c r="AQ8" i="27"/>
  <c r="AS8" i="27" s="1"/>
  <c r="AQ10" i="27"/>
  <c r="AS10" i="27" s="1"/>
  <c r="AP8" i="27"/>
  <c r="AR8" i="27" s="1"/>
  <c r="AQ11" i="27"/>
  <c r="AS11" i="27" s="1"/>
  <c r="AP88" i="27"/>
  <c r="AR88" i="27" s="1"/>
  <c r="AT88" i="27" s="1"/>
  <c r="AQ12" i="27"/>
  <c r="AS12" i="27" s="1"/>
  <c r="AQ20" i="27"/>
  <c r="AS20" i="27" s="1"/>
  <c r="AQ18" i="27"/>
  <c r="AS18" i="27" s="1"/>
  <c r="AQ13" i="27"/>
  <c r="AS13" i="27" s="1"/>
  <c r="AQ15" i="27"/>
  <c r="AS15" i="27" s="1"/>
  <c r="AQ16" i="27"/>
  <c r="AS16" i="27" s="1"/>
  <c r="AQ17" i="27"/>
  <c r="AS17" i="27" s="1"/>
  <c r="AQ14" i="27"/>
  <c r="AS14" i="27" s="1"/>
  <c r="AQ19" i="27"/>
  <c r="AS19" i="27" s="1"/>
  <c r="P12" i="27"/>
  <c r="X26" i="27"/>
  <c r="Z26" i="27" s="1"/>
  <c r="X28" i="27"/>
  <c r="Z28" i="27" s="1"/>
  <c r="X30" i="27"/>
  <c r="Z30" i="27" s="1"/>
  <c r="X33" i="27"/>
  <c r="Z33" i="27" s="1"/>
  <c r="X39" i="27"/>
  <c r="Z39" i="27" s="1"/>
  <c r="AB39" i="27" s="1"/>
  <c r="X45" i="27"/>
  <c r="Z45" i="27" s="1"/>
  <c r="AB45" i="27" s="1"/>
  <c r="X46" i="27"/>
  <c r="Z46" i="27" s="1"/>
  <c r="AB46" i="27" s="1"/>
  <c r="X93" i="27"/>
  <c r="Z93" i="27" s="1"/>
  <c r="X29" i="27"/>
  <c r="Z29" i="27" s="1"/>
  <c r="X34" i="27"/>
  <c r="Z34" i="27" s="1"/>
  <c r="X35" i="27"/>
  <c r="Z35" i="27" s="1"/>
  <c r="AB35" i="27" s="1"/>
  <c r="X36" i="27"/>
  <c r="Z36" i="27" s="1"/>
  <c r="X38" i="27"/>
  <c r="Z38" i="27" s="1"/>
  <c r="AB38" i="27" s="1"/>
  <c r="X40" i="27"/>
  <c r="Z40" i="27" s="1"/>
  <c r="AB40" i="27" s="1"/>
  <c r="X49" i="27"/>
  <c r="Z49" i="27" s="1"/>
  <c r="AB49" i="27" s="1"/>
  <c r="X50" i="27"/>
  <c r="Z50" i="27" s="1"/>
  <c r="AB50" i="27" s="1"/>
  <c r="X32" i="27"/>
  <c r="Z32" i="27" s="1"/>
  <c r="X37" i="27"/>
  <c r="Z37" i="27" s="1"/>
  <c r="X42" i="27"/>
  <c r="Z42" i="27" s="1"/>
  <c r="AB42" i="27" s="1"/>
  <c r="X27" i="27"/>
  <c r="Z27" i="27" s="1"/>
  <c r="X41" i="27"/>
  <c r="Z41" i="27" s="1"/>
  <c r="AB41" i="27" s="1"/>
  <c r="X53" i="27"/>
  <c r="Z53" i="27" s="1"/>
  <c r="AB53" i="27" s="1"/>
  <c r="X61" i="27"/>
  <c r="Z61" i="27" s="1"/>
  <c r="AB61" i="27" s="1"/>
  <c r="X31" i="27"/>
  <c r="Z31" i="27" s="1"/>
  <c r="X44" i="27"/>
  <c r="Z44" i="27" s="1"/>
  <c r="AB44" i="27" s="1"/>
  <c r="X48" i="27"/>
  <c r="Z48" i="27" s="1"/>
  <c r="AB48" i="27" s="1"/>
  <c r="X52" i="27"/>
  <c r="Z52" i="27" s="1"/>
  <c r="AB52" i="27" s="1"/>
  <c r="X54" i="27"/>
  <c r="Z54" i="27" s="1"/>
  <c r="AB54" i="27" s="1"/>
  <c r="X57" i="27"/>
  <c r="Z57" i="27" s="1"/>
  <c r="AB57" i="27" s="1"/>
  <c r="X58" i="27"/>
  <c r="Z58" i="27" s="1"/>
  <c r="AB58" i="27" s="1"/>
  <c r="X59" i="27"/>
  <c r="Z59" i="27" s="1"/>
  <c r="AB59" i="27" s="1"/>
  <c r="X62" i="27"/>
  <c r="Z62" i="27" s="1"/>
  <c r="AB62" i="27" s="1"/>
  <c r="X65" i="27"/>
  <c r="Z65" i="27" s="1"/>
  <c r="AB65" i="27" s="1"/>
  <c r="X67" i="27"/>
  <c r="Z67" i="27" s="1"/>
  <c r="AB67" i="27" s="1"/>
  <c r="X47" i="27"/>
  <c r="Z47" i="27" s="1"/>
  <c r="AB47" i="27" s="1"/>
  <c r="X51" i="27"/>
  <c r="Z51" i="27" s="1"/>
  <c r="AB51" i="27" s="1"/>
  <c r="X55" i="27"/>
  <c r="Z55" i="27" s="1"/>
  <c r="AB55" i="27" s="1"/>
  <c r="X56" i="27"/>
  <c r="Z56" i="27" s="1"/>
  <c r="AB56" i="27" s="1"/>
  <c r="X63" i="27"/>
  <c r="Z63" i="27" s="1"/>
  <c r="AB63" i="27" s="1"/>
  <c r="X66" i="27"/>
  <c r="Z66" i="27" s="1"/>
  <c r="AB66" i="27" s="1"/>
  <c r="X43" i="27"/>
  <c r="Z43" i="27" s="1"/>
  <c r="AB43" i="27" s="1"/>
  <c r="X64" i="27"/>
  <c r="Z64" i="27" s="1"/>
  <c r="AB64" i="27" s="1"/>
  <c r="X79" i="27"/>
  <c r="Z79" i="27" s="1"/>
  <c r="AB79" i="27" s="1"/>
  <c r="X85" i="27"/>
  <c r="Z85" i="27" s="1"/>
  <c r="AB85" i="27" s="1"/>
  <c r="X92" i="27"/>
  <c r="Z92" i="27" s="1"/>
  <c r="AB92" i="27" s="1"/>
  <c r="Y7" i="27"/>
  <c r="AA7" i="27" s="1"/>
  <c r="Y9" i="27"/>
  <c r="AA9" i="27" s="1"/>
  <c r="Y11" i="27"/>
  <c r="AA11" i="27" s="1"/>
  <c r="X60" i="27"/>
  <c r="Z60" i="27" s="1"/>
  <c r="AB60" i="27" s="1"/>
  <c r="X72" i="27"/>
  <c r="Z72" i="27" s="1"/>
  <c r="AB72" i="27" s="1"/>
  <c r="X77" i="27"/>
  <c r="Z77" i="27" s="1"/>
  <c r="AB77" i="27" s="1"/>
  <c r="X81" i="27"/>
  <c r="Z81" i="27" s="1"/>
  <c r="AB81" i="27" s="1"/>
  <c r="X84" i="27"/>
  <c r="Z84" i="27" s="1"/>
  <c r="AB84" i="27" s="1"/>
  <c r="X86" i="27"/>
  <c r="Z86" i="27" s="1"/>
  <c r="AB86" i="27" s="1"/>
  <c r="X87" i="27"/>
  <c r="Z87" i="27" s="1"/>
  <c r="AB87" i="27" s="1"/>
  <c r="X88" i="27"/>
  <c r="Z88" i="27" s="1"/>
  <c r="AB88" i="27" s="1"/>
  <c r="X89" i="27"/>
  <c r="Z89" i="27" s="1"/>
  <c r="AB89" i="27" s="1"/>
  <c r="X90" i="27"/>
  <c r="Z90" i="27" s="1"/>
  <c r="AB90" i="27" s="1"/>
  <c r="X91" i="27"/>
  <c r="Z91" i="27" s="1"/>
  <c r="AB91" i="27" s="1"/>
  <c r="Y5" i="27"/>
  <c r="AA5" i="27" s="1"/>
  <c r="X68" i="27"/>
  <c r="Z68" i="27" s="1"/>
  <c r="AB68" i="27" s="1"/>
  <c r="X70" i="27"/>
  <c r="Z70" i="27" s="1"/>
  <c r="AB70" i="27" s="1"/>
  <c r="X73" i="27"/>
  <c r="Z73" i="27" s="1"/>
  <c r="AB73" i="27" s="1"/>
  <c r="X76" i="27"/>
  <c r="Z76" i="27" s="1"/>
  <c r="AB76" i="27" s="1"/>
  <c r="X82" i="27"/>
  <c r="Z82" i="27" s="1"/>
  <c r="AB82" i="27" s="1"/>
  <c r="X83" i="27"/>
  <c r="Z83" i="27" s="1"/>
  <c r="AB83" i="27" s="1"/>
  <c r="Y93" i="27"/>
  <c r="AA93" i="27" s="1"/>
  <c r="Y4" i="27"/>
  <c r="AA4" i="27" s="1"/>
  <c r="Y6" i="27"/>
  <c r="AA6" i="27" s="1"/>
  <c r="Y8" i="27"/>
  <c r="AA8" i="27" s="1"/>
  <c r="Y10" i="27"/>
  <c r="AA10" i="27" s="1"/>
  <c r="X71" i="27"/>
  <c r="Z71" i="27" s="1"/>
  <c r="AB71" i="27" s="1"/>
  <c r="X80" i="27"/>
  <c r="Z80" i="27" s="1"/>
  <c r="AB80" i="27" s="1"/>
  <c r="X74" i="27"/>
  <c r="Z74" i="27" s="1"/>
  <c r="AB74" i="27" s="1"/>
  <c r="X78" i="27"/>
  <c r="Z78" i="27" s="1"/>
  <c r="AB78" i="27" s="1"/>
  <c r="Y3" i="27"/>
  <c r="Y16" i="27"/>
  <c r="AA16" i="27" s="1"/>
  <c r="X69" i="27"/>
  <c r="Z69" i="27" s="1"/>
  <c r="AB69" i="27" s="1"/>
  <c r="X75" i="27"/>
  <c r="Z75" i="27" s="1"/>
  <c r="AB75" i="27" s="1"/>
  <c r="Y20" i="27"/>
  <c r="AA20" i="27" s="1"/>
  <c r="Y17" i="27"/>
  <c r="AA17" i="27" s="1"/>
  <c r="Y18" i="27"/>
  <c r="AA18" i="27" s="1"/>
  <c r="Y13" i="27"/>
  <c r="AA13" i="27" s="1"/>
  <c r="Y12" i="27"/>
  <c r="AA12" i="27" s="1"/>
  <c r="Y15" i="27"/>
  <c r="AA15" i="27" s="1"/>
  <c r="Y14" i="27"/>
  <c r="AA14" i="27" s="1"/>
  <c r="Y19" i="27"/>
  <c r="AA19" i="27" s="1"/>
  <c r="BF93" i="27"/>
  <c r="P32" i="27"/>
  <c r="AJ10" i="27"/>
  <c r="AL10" i="27" s="1"/>
  <c r="AJ23" i="27"/>
  <c r="AL23" i="27" s="1"/>
  <c r="AJ8" i="27"/>
  <c r="AL8" i="27" s="1"/>
  <c r="AJ19" i="27"/>
  <c r="AL19" i="27" s="1"/>
  <c r="AJ9" i="27"/>
  <c r="AL9" i="27" s="1"/>
  <c r="AJ17" i="27"/>
  <c r="AL17" i="27" s="1"/>
  <c r="AJ26" i="27"/>
  <c r="AL26" i="27" s="1"/>
  <c r="AJ30" i="27"/>
  <c r="AL30" i="27" s="1"/>
  <c r="AJ37" i="27"/>
  <c r="AL37" i="27" s="1"/>
  <c r="AJ41" i="27"/>
  <c r="AL41" i="27" s="1"/>
  <c r="AN41" i="27" s="1"/>
  <c r="AJ43" i="27"/>
  <c r="AL43" i="27" s="1"/>
  <c r="AN43" i="27" s="1"/>
  <c r="AJ46" i="27"/>
  <c r="AL46" i="27" s="1"/>
  <c r="AN46" i="27" s="1"/>
  <c r="AJ18" i="27"/>
  <c r="AL18" i="27" s="1"/>
  <c r="AJ93" i="27"/>
  <c r="AL93" i="27" s="1"/>
  <c r="AJ12" i="27"/>
  <c r="AL12" i="27" s="1"/>
  <c r="AJ20" i="27"/>
  <c r="AL20" i="27" s="1"/>
  <c r="AJ11" i="27"/>
  <c r="AL11" i="27" s="1"/>
  <c r="AJ21" i="27"/>
  <c r="AL21" i="27" s="1"/>
  <c r="AJ25" i="27"/>
  <c r="AL25" i="27" s="1"/>
  <c r="AJ27" i="27"/>
  <c r="AL27" i="27" s="1"/>
  <c r="AN27" i="27" s="1"/>
  <c r="AJ31" i="27"/>
  <c r="AL31" i="27" s="1"/>
  <c r="AJ32" i="27"/>
  <c r="AL32" i="27" s="1"/>
  <c r="AJ33" i="27"/>
  <c r="AL33" i="27" s="1"/>
  <c r="AJ40" i="27"/>
  <c r="AL40" i="27" s="1"/>
  <c r="AN40" i="27" s="1"/>
  <c r="AJ42" i="27"/>
  <c r="AL42" i="27" s="1"/>
  <c r="AN42" i="27" s="1"/>
  <c r="AJ49" i="27"/>
  <c r="AL49" i="27" s="1"/>
  <c r="AN49" i="27" s="1"/>
  <c r="AJ22" i="27"/>
  <c r="AL22" i="27" s="1"/>
  <c r="AJ14" i="27"/>
  <c r="AL14" i="27" s="1"/>
  <c r="AJ24" i="27"/>
  <c r="AL24" i="27" s="1"/>
  <c r="AJ13" i="27"/>
  <c r="AL13" i="27" s="1"/>
  <c r="AJ28" i="27"/>
  <c r="AL28" i="27" s="1"/>
  <c r="AJ34" i="27"/>
  <c r="AL34" i="27" s="1"/>
  <c r="AJ35" i="27"/>
  <c r="AL35" i="27" s="1"/>
  <c r="AJ36" i="27"/>
  <c r="AL36" i="27" s="1"/>
  <c r="AJ38" i="27"/>
  <c r="AL38" i="27" s="1"/>
  <c r="AJ15" i="27"/>
  <c r="AL15" i="27" s="1"/>
  <c r="AJ44" i="27"/>
  <c r="AL44" i="27" s="1"/>
  <c r="AN44" i="27" s="1"/>
  <c r="AJ56" i="27"/>
  <c r="AL56" i="27" s="1"/>
  <c r="AN56" i="27" s="1"/>
  <c r="AJ66" i="27"/>
  <c r="AL66" i="27" s="1"/>
  <c r="AN66" i="27" s="1"/>
  <c r="AJ16" i="27"/>
  <c r="AL16" i="27" s="1"/>
  <c r="AJ39" i="27"/>
  <c r="AL39" i="27" s="1"/>
  <c r="AN39" i="27" s="1"/>
  <c r="AJ45" i="27"/>
  <c r="AL45" i="27" s="1"/>
  <c r="AN45" i="27" s="1"/>
  <c r="AJ51" i="27"/>
  <c r="AL51" i="27" s="1"/>
  <c r="AN51" i="27" s="1"/>
  <c r="AJ54" i="27"/>
  <c r="AL54" i="27" s="1"/>
  <c r="AN54" i="27" s="1"/>
  <c r="AJ55" i="27"/>
  <c r="AL55" i="27" s="1"/>
  <c r="AN55" i="27" s="1"/>
  <c r="AJ60" i="27"/>
  <c r="AL60" i="27" s="1"/>
  <c r="AN60" i="27" s="1"/>
  <c r="AJ64" i="27"/>
  <c r="AL64" i="27" s="1"/>
  <c r="AN64" i="27" s="1"/>
  <c r="AJ29" i="27"/>
  <c r="AL29" i="27" s="1"/>
  <c r="AN29" i="27" s="1"/>
  <c r="AJ50" i="27"/>
  <c r="AL50" i="27" s="1"/>
  <c r="AN50" i="27" s="1"/>
  <c r="AJ52" i="27"/>
  <c r="AL52" i="27" s="1"/>
  <c r="AN52" i="27" s="1"/>
  <c r="AJ59" i="27"/>
  <c r="AL59" i="27" s="1"/>
  <c r="AN59" i="27" s="1"/>
  <c r="AJ61" i="27"/>
  <c r="AL61" i="27" s="1"/>
  <c r="AN61" i="27" s="1"/>
  <c r="AJ62" i="27"/>
  <c r="AL62" i="27" s="1"/>
  <c r="AN62" i="27" s="1"/>
  <c r="AJ47" i="27"/>
  <c r="AL47" i="27" s="1"/>
  <c r="AN47" i="27" s="1"/>
  <c r="AJ58" i="27"/>
  <c r="AL58" i="27" s="1"/>
  <c r="AN58" i="27" s="1"/>
  <c r="AJ67" i="27"/>
  <c r="AL67" i="27" s="1"/>
  <c r="AN67" i="27" s="1"/>
  <c r="AJ72" i="27"/>
  <c r="AL72" i="27" s="1"/>
  <c r="AN72" i="27" s="1"/>
  <c r="AJ78" i="27"/>
  <c r="AL78" i="27" s="1"/>
  <c r="AN78" i="27" s="1"/>
  <c r="AJ80" i="27"/>
  <c r="AL80" i="27" s="1"/>
  <c r="AN80" i="27" s="1"/>
  <c r="AJ84" i="27"/>
  <c r="AL84" i="27" s="1"/>
  <c r="AN84" i="27" s="1"/>
  <c r="AJ87" i="27"/>
  <c r="AL87" i="27" s="1"/>
  <c r="AN87" i="27" s="1"/>
  <c r="AJ89" i="27"/>
  <c r="AL89" i="27" s="1"/>
  <c r="AN89" i="27" s="1"/>
  <c r="AJ91" i="27"/>
  <c r="AL91" i="27" s="1"/>
  <c r="AN91" i="27" s="1"/>
  <c r="AJ68" i="27"/>
  <c r="AL68" i="27" s="1"/>
  <c r="AN68" i="27" s="1"/>
  <c r="AJ70" i="27"/>
  <c r="AL70" i="27" s="1"/>
  <c r="AN70" i="27" s="1"/>
  <c r="AJ81" i="27"/>
  <c r="AL81" i="27" s="1"/>
  <c r="AN81" i="27" s="1"/>
  <c r="AJ82" i="27"/>
  <c r="AL82" i="27" s="1"/>
  <c r="AN82" i="27" s="1"/>
  <c r="AJ83" i="27"/>
  <c r="AL83" i="27" s="1"/>
  <c r="AN83" i="27" s="1"/>
  <c r="AJ88" i="27"/>
  <c r="AL88" i="27" s="1"/>
  <c r="AN88" i="27" s="1"/>
  <c r="AJ48" i="27"/>
  <c r="AL48" i="27" s="1"/>
  <c r="AN48" i="27" s="1"/>
  <c r="AJ53" i="27"/>
  <c r="AL53" i="27" s="1"/>
  <c r="AN53" i="27" s="1"/>
  <c r="AJ71" i="27"/>
  <c r="AL71" i="27" s="1"/>
  <c r="AN71" i="27" s="1"/>
  <c r="AJ75" i="27"/>
  <c r="AL75" i="27" s="1"/>
  <c r="AN75" i="27" s="1"/>
  <c r="AJ79" i="27"/>
  <c r="AL79" i="27" s="1"/>
  <c r="AN79" i="27" s="1"/>
  <c r="AJ85" i="27"/>
  <c r="AL85" i="27" s="1"/>
  <c r="AN85" i="27" s="1"/>
  <c r="AJ86" i="27"/>
  <c r="AL86" i="27" s="1"/>
  <c r="AN86" i="27" s="1"/>
  <c r="AJ90" i="27"/>
  <c r="AL90" i="27" s="1"/>
  <c r="AN90" i="27" s="1"/>
  <c r="AJ63" i="27"/>
  <c r="AL63" i="27" s="1"/>
  <c r="AN63" i="27" s="1"/>
  <c r="AJ74" i="27"/>
  <c r="AL74" i="27" s="1"/>
  <c r="AN74" i="27" s="1"/>
  <c r="AJ76" i="27"/>
  <c r="AL76" i="27" s="1"/>
  <c r="AN76" i="27" s="1"/>
  <c r="AJ77" i="27"/>
  <c r="AL77" i="27" s="1"/>
  <c r="AN77" i="27" s="1"/>
  <c r="AK5" i="27"/>
  <c r="AM5" i="27" s="1"/>
  <c r="AK93" i="27"/>
  <c r="AM93" i="27" s="1"/>
  <c r="AJ57" i="27"/>
  <c r="AL57" i="27" s="1"/>
  <c r="AN57" i="27" s="1"/>
  <c r="AJ65" i="27"/>
  <c r="AL65" i="27" s="1"/>
  <c r="AN65" i="27" s="1"/>
  <c r="AJ92" i="27"/>
  <c r="AL92" i="27" s="1"/>
  <c r="AN92" i="27" s="1"/>
  <c r="AK7" i="27"/>
  <c r="AM7" i="27" s="1"/>
  <c r="AK9" i="27"/>
  <c r="AM9" i="27" s="1"/>
  <c r="AK6" i="27"/>
  <c r="AM6" i="27" s="1"/>
  <c r="AJ7" i="27"/>
  <c r="AL7" i="27" s="1"/>
  <c r="AJ69" i="27"/>
  <c r="AL69" i="27" s="1"/>
  <c r="AN69" i="27" s="1"/>
  <c r="AK11" i="27"/>
  <c r="AM11" i="27" s="1"/>
  <c r="AK8" i="27"/>
  <c r="AM8" i="27" s="1"/>
  <c r="AK3" i="27"/>
  <c r="AK10" i="27"/>
  <c r="AM10" i="27" s="1"/>
  <c r="AK4" i="27"/>
  <c r="AM4" i="27" s="1"/>
  <c r="AJ73" i="27"/>
  <c r="AL73" i="27" s="1"/>
  <c r="AN73" i="27" s="1"/>
  <c r="AK14" i="27"/>
  <c r="AM14" i="27" s="1"/>
  <c r="AK20" i="27"/>
  <c r="AM20" i="27" s="1"/>
  <c r="AK15" i="27"/>
  <c r="AM15" i="27" s="1"/>
  <c r="AK17" i="27"/>
  <c r="AM17" i="27" s="1"/>
  <c r="AK13" i="27"/>
  <c r="AM13" i="27" s="1"/>
  <c r="AK18" i="27"/>
  <c r="AM18" i="27" s="1"/>
  <c r="AK16" i="27"/>
  <c r="AM16" i="27" s="1"/>
  <c r="AK12" i="27"/>
  <c r="AM12" i="27" s="1"/>
  <c r="AK19" i="27"/>
  <c r="AM19" i="27" s="1"/>
  <c r="P82" i="27"/>
  <c r="BN11" i="27"/>
  <c r="BP11" i="27" s="1"/>
  <c r="BN24" i="27"/>
  <c r="BP24" i="27" s="1"/>
  <c r="BN40" i="27"/>
  <c r="BP40" i="27" s="1"/>
  <c r="BR40" i="27" s="1"/>
  <c r="BN56" i="27"/>
  <c r="BP56" i="27" s="1"/>
  <c r="BR56" i="27" s="1"/>
  <c r="BN72" i="27"/>
  <c r="BP72" i="27" s="1"/>
  <c r="BR72" i="27" s="1"/>
  <c r="BN21" i="27"/>
  <c r="BP21" i="27" s="1"/>
  <c r="BN37" i="27"/>
  <c r="BP37" i="27" s="1"/>
  <c r="BR37" i="27" s="1"/>
  <c r="BN53" i="27"/>
  <c r="BP53" i="27" s="1"/>
  <c r="BR53" i="27" s="1"/>
  <c r="BN69" i="27"/>
  <c r="BP69" i="27" s="1"/>
  <c r="BR69" i="27" s="1"/>
  <c r="BN18" i="27"/>
  <c r="BP18" i="27" s="1"/>
  <c r="BN34" i="27"/>
  <c r="BP34" i="27" s="1"/>
  <c r="BN50" i="27"/>
  <c r="BP50" i="27" s="1"/>
  <c r="BR50" i="27" s="1"/>
  <c r="BN66" i="27"/>
  <c r="BP66" i="27" s="1"/>
  <c r="BR66" i="27" s="1"/>
  <c r="BN23" i="27"/>
  <c r="BP23" i="27" s="1"/>
  <c r="BN39" i="27"/>
  <c r="BP39" i="27" s="1"/>
  <c r="BR39" i="27" s="1"/>
  <c r="BN55" i="27"/>
  <c r="BP55" i="27" s="1"/>
  <c r="BR55" i="27" s="1"/>
  <c r="BN71" i="27"/>
  <c r="BP71" i="27" s="1"/>
  <c r="BR71" i="27" s="1"/>
  <c r="BN75" i="27"/>
  <c r="BP75" i="27" s="1"/>
  <c r="BR75" i="27" s="1"/>
  <c r="BN77" i="27"/>
  <c r="BP77" i="27" s="1"/>
  <c r="BR77" i="27" s="1"/>
  <c r="BN79" i="27"/>
  <c r="BP79" i="27" s="1"/>
  <c r="BR79" i="27" s="1"/>
  <c r="BN80" i="27"/>
  <c r="BP80" i="27" s="1"/>
  <c r="BR80" i="27" s="1"/>
  <c r="BN82" i="27"/>
  <c r="BP82" i="27" s="1"/>
  <c r="BR82" i="27" s="1"/>
  <c r="BN92" i="27"/>
  <c r="BP92" i="27" s="1"/>
  <c r="BR92" i="27" s="1"/>
  <c r="BN93" i="27"/>
  <c r="BP93" i="27" s="1"/>
  <c r="BN15" i="27"/>
  <c r="BP15" i="27" s="1"/>
  <c r="BN28" i="27"/>
  <c r="BP28" i="27" s="1"/>
  <c r="BN44" i="27"/>
  <c r="BP44" i="27" s="1"/>
  <c r="BR44" i="27" s="1"/>
  <c r="BN60" i="27"/>
  <c r="BP60" i="27" s="1"/>
  <c r="BR60" i="27" s="1"/>
  <c r="BN25" i="27"/>
  <c r="BP25" i="27" s="1"/>
  <c r="BN41" i="27"/>
  <c r="BP41" i="27" s="1"/>
  <c r="BR41" i="27" s="1"/>
  <c r="BN57" i="27"/>
  <c r="BP57" i="27" s="1"/>
  <c r="BR57" i="27" s="1"/>
  <c r="BN73" i="27"/>
  <c r="BP73" i="27" s="1"/>
  <c r="BR73" i="27" s="1"/>
  <c r="BN10" i="27"/>
  <c r="BP10" i="27" s="1"/>
  <c r="BN22" i="27"/>
  <c r="BP22" i="27" s="1"/>
  <c r="BN38" i="27"/>
  <c r="BP38" i="27" s="1"/>
  <c r="BN54" i="27"/>
  <c r="BP54" i="27" s="1"/>
  <c r="BR54" i="27" s="1"/>
  <c r="BN70" i="27"/>
  <c r="BP70" i="27" s="1"/>
  <c r="BR70" i="27" s="1"/>
  <c r="BN8" i="27"/>
  <c r="BP8" i="27" s="1"/>
  <c r="BN27" i="27"/>
  <c r="BP27" i="27" s="1"/>
  <c r="BN43" i="27"/>
  <c r="BP43" i="27" s="1"/>
  <c r="BR43" i="27" s="1"/>
  <c r="BN59" i="27"/>
  <c r="BP59" i="27" s="1"/>
  <c r="BR59" i="27" s="1"/>
  <c r="BN76" i="27"/>
  <c r="BP76" i="27" s="1"/>
  <c r="BR76" i="27" s="1"/>
  <c r="BN83" i="27"/>
  <c r="BP83" i="27" s="1"/>
  <c r="BR83" i="27" s="1"/>
  <c r="BN17" i="27"/>
  <c r="BP17" i="27" s="1"/>
  <c r="BN32" i="27"/>
  <c r="BP32" i="27" s="1"/>
  <c r="BN48" i="27"/>
  <c r="BP48" i="27" s="1"/>
  <c r="BR48" i="27" s="1"/>
  <c r="BN64" i="27"/>
  <c r="BP64" i="27" s="1"/>
  <c r="BR64" i="27" s="1"/>
  <c r="BN9" i="27"/>
  <c r="BP9" i="27" s="1"/>
  <c r="BN29" i="27"/>
  <c r="BP29" i="27" s="1"/>
  <c r="BR29" i="27" s="1"/>
  <c r="BN45" i="27"/>
  <c r="BP45" i="27" s="1"/>
  <c r="BR45" i="27" s="1"/>
  <c r="BN61" i="27"/>
  <c r="BP61" i="27" s="1"/>
  <c r="BR61" i="27" s="1"/>
  <c r="BN12" i="27"/>
  <c r="BP12" i="27" s="1"/>
  <c r="BN26" i="27"/>
  <c r="BP26" i="27" s="1"/>
  <c r="BN42" i="27"/>
  <c r="BP42" i="27" s="1"/>
  <c r="BR42" i="27" s="1"/>
  <c r="BN58" i="27"/>
  <c r="BP58" i="27" s="1"/>
  <c r="BR58" i="27" s="1"/>
  <c r="BN74" i="27"/>
  <c r="BP74" i="27" s="1"/>
  <c r="BR74" i="27" s="1"/>
  <c r="BN16" i="27"/>
  <c r="BP16" i="27" s="1"/>
  <c r="BN31" i="27"/>
  <c r="BP31" i="27" s="1"/>
  <c r="BN47" i="27"/>
  <c r="BP47" i="27" s="1"/>
  <c r="BR47" i="27" s="1"/>
  <c r="BN63" i="27"/>
  <c r="BP63" i="27" s="1"/>
  <c r="BR63" i="27" s="1"/>
  <c r="BN78" i="27"/>
  <c r="BP78" i="27" s="1"/>
  <c r="BR78" i="27" s="1"/>
  <c r="BN81" i="27"/>
  <c r="BP81" i="27" s="1"/>
  <c r="BR81" i="27" s="1"/>
  <c r="BN85" i="27"/>
  <c r="BP85" i="27" s="1"/>
  <c r="BR85" i="27" s="1"/>
  <c r="BN86" i="27"/>
  <c r="BP86" i="27" s="1"/>
  <c r="BR86" i="27" s="1"/>
  <c r="BN90" i="27"/>
  <c r="BP90" i="27" s="1"/>
  <c r="BR90" i="27" s="1"/>
  <c r="BN36" i="27"/>
  <c r="BP36" i="27" s="1"/>
  <c r="BN13" i="27"/>
  <c r="BP13" i="27" s="1"/>
  <c r="BN62" i="27"/>
  <c r="BP62" i="27" s="1"/>
  <c r="BR62" i="27" s="1"/>
  <c r="BN51" i="27"/>
  <c r="BP51" i="27" s="1"/>
  <c r="BR51" i="27" s="1"/>
  <c r="BN84" i="27"/>
  <c r="BP84" i="27" s="1"/>
  <c r="BR84" i="27" s="1"/>
  <c r="BN87" i="27"/>
  <c r="BP87" i="27" s="1"/>
  <c r="BR87" i="27" s="1"/>
  <c r="BN88" i="27"/>
  <c r="BP88" i="27" s="1"/>
  <c r="BR88" i="27" s="1"/>
  <c r="BN52" i="27"/>
  <c r="BP52" i="27" s="1"/>
  <c r="BR52" i="27" s="1"/>
  <c r="BN33" i="27"/>
  <c r="BP33" i="27" s="1"/>
  <c r="BN14" i="27"/>
  <c r="BP14" i="27" s="1"/>
  <c r="BN67" i="27"/>
  <c r="BP67" i="27" s="1"/>
  <c r="BR67" i="27" s="1"/>
  <c r="BN89" i="27"/>
  <c r="BP89" i="27" s="1"/>
  <c r="BR89" i="27" s="1"/>
  <c r="BN7" i="27"/>
  <c r="BP7" i="27" s="1"/>
  <c r="BN68" i="27"/>
  <c r="BP68" i="27" s="1"/>
  <c r="BR68" i="27" s="1"/>
  <c r="BN49" i="27"/>
  <c r="BP49" i="27" s="1"/>
  <c r="BR49" i="27" s="1"/>
  <c r="BN30" i="27"/>
  <c r="BP30" i="27" s="1"/>
  <c r="BN19" i="27"/>
  <c r="BP19" i="27" s="1"/>
  <c r="BN20" i="27"/>
  <c r="BP20" i="27" s="1"/>
  <c r="BN35" i="27"/>
  <c r="BP35" i="27" s="1"/>
  <c r="BO6" i="27"/>
  <c r="BQ6" i="27" s="1"/>
  <c r="BO5" i="27"/>
  <c r="BQ5" i="27" s="1"/>
  <c r="BO20" i="27"/>
  <c r="BQ20" i="27" s="1"/>
  <c r="BO10" i="27"/>
  <c r="BQ10" i="27" s="1"/>
  <c r="BO7" i="27"/>
  <c r="BQ7" i="27" s="1"/>
  <c r="BO9" i="27"/>
  <c r="BQ9" i="27" s="1"/>
  <c r="BO3" i="27"/>
  <c r="BO13" i="27"/>
  <c r="BQ13" i="27" s="1"/>
  <c r="BN65" i="27"/>
  <c r="BP65" i="27" s="1"/>
  <c r="BR65" i="27" s="1"/>
  <c r="BO4" i="27"/>
  <c r="BQ4" i="27" s="1"/>
  <c r="BO93" i="27"/>
  <c r="BQ93" i="27" s="1"/>
  <c r="BO11" i="27"/>
  <c r="BQ11" i="27" s="1"/>
  <c r="BN91" i="27"/>
  <c r="BP91" i="27" s="1"/>
  <c r="BR91" i="27" s="1"/>
  <c r="BO8" i="27"/>
  <c r="BQ8" i="27" s="1"/>
  <c r="BO16" i="27"/>
  <c r="BQ16" i="27" s="1"/>
  <c r="BO18" i="27"/>
  <c r="BQ18" i="27" s="1"/>
  <c r="BN46" i="27"/>
  <c r="BP46" i="27" s="1"/>
  <c r="BR46" i="27" s="1"/>
  <c r="BO14" i="27"/>
  <c r="BQ14" i="27" s="1"/>
  <c r="BO19" i="27"/>
  <c r="BQ19" i="27" s="1"/>
  <c r="BO15" i="27"/>
  <c r="BQ15" i="27" s="1"/>
  <c r="BO17" i="27"/>
  <c r="BQ17" i="27" s="1"/>
  <c r="BO12" i="27"/>
  <c r="BQ12" i="27" s="1"/>
  <c r="BB8" i="27"/>
  <c r="BD8" i="27" s="1"/>
  <c r="BF8" i="27" s="1"/>
  <c r="P52" i="27"/>
  <c r="AV93" i="27"/>
  <c r="AX93" i="27" s="1"/>
  <c r="AV20" i="27"/>
  <c r="AX20" i="27" s="1"/>
  <c r="AV36" i="27"/>
  <c r="AX36" i="27" s="1"/>
  <c r="AV37" i="27"/>
  <c r="AX37" i="27" s="1"/>
  <c r="AV9" i="27"/>
  <c r="AX9" i="27" s="1"/>
  <c r="AV29" i="27"/>
  <c r="AX29" i="27" s="1"/>
  <c r="AV30" i="27"/>
  <c r="AX30" i="27" s="1"/>
  <c r="AV12" i="27"/>
  <c r="AX12" i="27" s="1"/>
  <c r="AV23" i="27"/>
  <c r="AX23" i="27" s="1"/>
  <c r="AV43" i="27"/>
  <c r="AX43" i="27" s="1"/>
  <c r="AZ43" i="27" s="1"/>
  <c r="AV11" i="27"/>
  <c r="AX11" i="27" s="1"/>
  <c r="AV24" i="27"/>
  <c r="AX24" i="27" s="1"/>
  <c r="AV40" i="27"/>
  <c r="AX40" i="27" s="1"/>
  <c r="AZ40" i="27" s="1"/>
  <c r="AV44" i="27"/>
  <c r="AX44" i="27" s="1"/>
  <c r="AZ44" i="27" s="1"/>
  <c r="AV13" i="27"/>
  <c r="AX13" i="27" s="1"/>
  <c r="AV33" i="27"/>
  <c r="AX33" i="27" s="1"/>
  <c r="AV18" i="27"/>
  <c r="AX18" i="27" s="1"/>
  <c r="AV34" i="27"/>
  <c r="AX34" i="27" s="1"/>
  <c r="AV14" i="27"/>
  <c r="AX14" i="27" s="1"/>
  <c r="AV27" i="27"/>
  <c r="AX27" i="27" s="1"/>
  <c r="AV15" i="27"/>
  <c r="AX15" i="27" s="1"/>
  <c r="AV28" i="27"/>
  <c r="AX28" i="27" s="1"/>
  <c r="AV21" i="27"/>
  <c r="AX21" i="27" s="1"/>
  <c r="AV41" i="27"/>
  <c r="AX41" i="27" s="1"/>
  <c r="AZ41" i="27" s="1"/>
  <c r="AV22" i="27"/>
  <c r="AX22" i="27" s="1"/>
  <c r="AV38" i="27"/>
  <c r="AX38" i="27" s="1"/>
  <c r="AV39" i="27"/>
  <c r="AX39" i="27" s="1"/>
  <c r="AZ39" i="27" s="1"/>
  <c r="AV8" i="27"/>
  <c r="AX8" i="27" s="1"/>
  <c r="AV16" i="27"/>
  <c r="AX16" i="27" s="1"/>
  <c r="AV31" i="27"/>
  <c r="AX31" i="27" s="1"/>
  <c r="AV17" i="27"/>
  <c r="AX17" i="27" s="1"/>
  <c r="AV25" i="27"/>
  <c r="AX25" i="27" s="1"/>
  <c r="AV45" i="27"/>
  <c r="AX45" i="27" s="1"/>
  <c r="AZ45" i="27" s="1"/>
  <c r="AV48" i="27"/>
  <c r="AX48" i="27" s="1"/>
  <c r="AZ48" i="27" s="1"/>
  <c r="AV49" i="27"/>
  <c r="AX49" i="27" s="1"/>
  <c r="AZ49" i="27" s="1"/>
  <c r="AV52" i="27"/>
  <c r="AX52" i="27" s="1"/>
  <c r="AZ52" i="27" s="1"/>
  <c r="AV62" i="27"/>
  <c r="AX62" i="27" s="1"/>
  <c r="AZ62" i="27" s="1"/>
  <c r="AV32" i="27"/>
  <c r="AX32" i="27" s="1"/>
  <c r="AV10" i="27"/>
  <c r="AX10" i="27" s="1"/>
  <c r="AV47" i="27"/>
  <c r="AX47" i="27" s="1"/>
  <c r="AZ47" i="27" s="1"/>
  <c r="AV51" i="27"/>
  <c r="AX51" i="27" s="1"/>
  <c r="AZ51" i="27" s="1"/>
  <c r="AV54" i="27"/>
  <c r="AX54" i="27" s="1"/>
  <c r="AZ54" i="27" s="1"/>
  <c r="AV57" i="27"/>
  <c r="AX57" i="27" s="1"/>
  <c r="AZ57" i="27" s="1"/>
  <c r="AV58" i="27"/>
  <c r="AX58" i="27" s="1"/>
  <c r="AZ58" i="27" s="1"/>
  <c r="AV60" i="27"/>
  <c r="AX60" i="27" s="1"/>
  <c r="AZ60" i="27" s="1"/>
  <c r="AV63" i="27"/>
  <c r="AX63" i="27" s="1"/>
  <c r="AZ63" i="27" s="1"/>
  <c r="AV65" i="27"/>
  <c r="AX65" i="27" s="1"/>
  <c r="AZ65" i="27" s="1"/>
  <c r="AV26" i="27"/>
  <c r="AX26" i="27" s="1"/>
  <c r="AV19" i="27"/>
  <c r="AX19" i="27" s="1"/>
  <c r="AV46" i="27"/>
  <c r="AX46" i="27" s="1"/>
  <c r="AZ46" i="27" s="1"/>
  <c r="AV50" i="27"/>
  <c r="AX50" i="27" s="1"/>
  <c r="AZ50" i="27" s="1"/>
  <c r="AV70" i="27"/>
  <c r="AX70" i="27" s="1"/>
  <c r="AZ70" i="27" s="1"/>
  <c r="AV74" i="27"/>
  <c r="AX74" i="27" s="1"/>
  <c r="AZ74" i="27" s="1"/>
  <c r="AV86" i="27"/>
  <c r="AX86" i="27" s="1"/>
  <c r="AZ86" i="27" s="1"/>
  <c r="AV90" i="27"/>
  <c r="AX90" i="27" s="1"/>
  <c r="AZ90" i="27" s="1"/>
  <c r="AV7" i="27"/>
  <c r="AX7" i="27" s="1"/>
  <c r="AV53" i="27"/>
  <c r="AX53" i="27" s="1"/>
  <c r="AZ53" i="27" s="1"/>
  <c r="AV56" i="27"/>
  <c r="AX56" i="27" s="1"/>
  <c r="AZ56" i="27" s="1"/>
  <c r="AV64" i="27"/>
  <c r="AX64" i="27" s="1"/>
  <c r="AZ64" i="27" s="1"/>
  <c r="AV66" i="27"/>
  <c r="AX66" i="27" s="1"/>
  <c r="AZ66" i="27" s="1"/>
  <c r="AV71" i="27"/>
  <c r="AX71" i="27" s="1"/>
  <c r="AZ71" i="27" s="1"/>
  <c r="AV76" i="27"/>
  <c r="AX76" i="27" s="1"/>
  <c r="AZ76" i="27" s="1"/>
  <c r="AV77" i="27"/>
  <c r="AX77" i="27" s="1"/>
  <c r="AZ77" i="27" s="1"/>
  <c r="AV78" i="27"/>
  <c r="AX78" i="27" s="1"/>
  <c r="AZ78" i="27" s="1"/>
  <c r="AV83" i="27"/>
  <c r="AX83" i="27" s="1"/>
  <c r="AZ83" i="27" s="1"/>
  <c r="AV84" i="27"/>
  <c r="AX84" i="27" s="1"/>
  <c r="AZ84" i="27" s="1"/>
  <c r="AV85" i="27"/>
  <c r="AX85" i="27" s="1"/>
  <c r="AZ85" i="27" s="1"/>
  <c r="AV42" i="27"/>
  <c r="AX42" i="27" s="1"/>
  <c r="AZ42" i="27" s="1"/>
  <c r="AV55" i="27"/>
  <c r="AX55" i="27" s="1"/>
  <c r="AZ55" i="27" s="1"/>
  <c r="AV61" i="27"/>
  <c r="AX61" i="27" s="1"/>
  <c r="AZ61" i="27" s="1"/>
  <c r="AV67" i="27"/>
  <c r="AX67" i="27" s="1"/>
  <c r="AZ67" i="27" s="1"/>
  <c r="AV69" i="27"/>
  <c r="AX69" i="27" s="1"/>
  <c r="AZ69" i="27" s="1"/>
  <c r="AV73" i="27"/>
  <c r="AX73" i="27" s="1"/>
  <c r="AZ73" i="27" s="1"/>
  <c r="AV75" i="27"/>
  <c r="AX75" i="27" s="1"/>
  <c r="AZ75" i="27" s="1"/>
  <c r="AV81" i="27"/>
  <c r="AX81" i="27" s="1"/>
  <c r="AZ81" i="27" s="1"/>
  <c r="AV88" i="27"/>
  <c r="AX88" i="27" s="1"/>
  <c r="AZ88" i="27" s="1"/>
  <c r="AV91" i="27"/>
  <c r="AX91" i="27" s="1"/>
  <c r="AZ91" i="27" s="1"/>
  <c r="AV92" i="27"/>
  <c r="AX92" i="27" s="1"/>
  <c r="AZ92" i="27" s="1"/>
  <c r="AW6" i="27"/>
  <c r="AY6" i="27" s="1"/>
  <c r="AW10" i="27"/>
  <c r="AY10" i="27" s="1"/>
  <c r="AW7" i="27"/>
  <c r="AY7" i="27" s="1"/>
  <c r="AV35" i="27"/>
  <c r="AX35" i="27" s="1"/>
  <c r="AZ35" i="27" s="1"/>
  <c r="AV68" i="27"/>
  <c r="AX68" i="27" s="1"/>
  <c r="AZ68" i="27" s="1"/>
  <c r="AV79" i="27"/>
  <c r="AX79" i="27" s="1"/>
  <c r="AZ79" i="27" s="1"/>
  <c r="AV87" i="27"/>
  <c r="AX87" i="27" s="1"/>
  <c r="AZ87" i="27" s="1"/>
  <c r="AW8" i="27"/>
  <c r="AY8" i="27" s="1"/>
  <c r="AW9" i="27"/>
  <c r="AY9" i="27" s="1"/>
  <c r="AV59" i="27"/>
  <c r="AX59" i="27" s="1"/>
  <c r="AZ59" i="27" s="1"/>
  <c r="AV72" i="27"/>
  <c r="AX72" i="27" s="1"/>
  <c r="AZ72" i="27" s="1"/>
  <c r="AV80" i="27"/>
  <c r="AX80" i="27" s="1"/>
  <c r="AZ80" i="27" s="1"/>
  <c r="AV89" i="27"/>
  <c r="AX89" i="27" s="1"/>
  <c r="AZ89" i="27" s="1"/>
  <c r="AW3" i="27"/>
  <c r="AW11" i="27"/>
  <c r="AY11" i="27" s="1"/>
  <c r="AW93" i="27"/>
  <c r="AY93" i="27" s="1"/>
  <c r="AV82" i="27"/>
  <c r="AX82" i="27" s="1"/>
  <c r="AZ82" i="27" s="1"/>
  <c r="AW4" i="27"/>
  <c r="AY4" i="27" s="1"/>
  <c r="AW5" i="27"/>
  <c r="AY5" i="27" s="1"/>
  <c r="AW19" i="27"/>
  <c r="AY19" i="27" s="1"/>
  <c r="AW17" i="27"/>
  <c r="AY17" i="27" s="1"/>
  <c r="AW18" i="27"/>
  <c r="AY18" i="27" s="1"/>
  <c r="AW16" i="27"/>
  <c r="AY16" i="27" s="1"/>
  <c r="AW20" i="27"/>
  <c r="AY20" i="27" s="1"/>
  <c r="AW13" i="27"/>
  <c r="AY13" i="27" s="1"/>
  <c r="AW14" i="27"/>
  <c r="AY14" i="27" s="1"/>
  <c r="AW12" i="27"/>
  <c r="AY12" i="27" s="1"/>
  <c r="AW15" i="27"/>
  <c r="AY15" i="27" s="1"/>
  <c r="S60" i="25"/>
  <c r="U60" i="25" s="1"/>
  <c r="AQ74" i="25"/>
  <c r="AS74" i="25" s="1"/>
  <c r="BC60" i="25"/>
  <c r="BE60" i="25" s="1"/>
  <c r="AE28" i="26"/>
  <c r="AG28" i="26" s="1"/>
  <c r="AQ27" i="26"/>
  <c r="AS27" i="26" s="1"/>
  <c r="AE27" i="26"/>
  <c r="AG27" i="26" s="1"/>
  <c r="X81" i="26"/>
  <c r="Z81" i="26" s="1"/>
  <c r="AB81" i="26" s="1"/>
  <c r="Y49" i="26"/>
  <c r="AA49" i="26" s="1"/>
  <c r="X93" i="26"/>
  <c r="Z93" i="26" s="1"/>
  <c r="X92" i="26"/>
  <c r="Z92" i="26" s="1"/>
  <c r="AB92" i="26" s="1"/>
  <c r="X91" i="26"/>
  <c r="Z91" i="26" s="1"/>
  <c r="AB91" i="26" s="1"/>
  <c r="X90" i="26"/>
  <c r="Z90" i="26" s="1"/>
  <c r="AB90" i="26" s="1"/>
  <c r="X89" i="26"/>
  <c r="Z89" i="26" s="1"/>
  <c r="AB89" i="26" s="1"/>
  <c r="X88" i="26"/>
  <c r="Z88" i="26" s="1"/>
  <c r="AB88" i="26" s="1"/>
  <c r="X87" i="26"/>
  <c r="Z87" i="26" s="1"/>
  <c r="AB87" i="26" s="1"/>
  <c r="X86" i="26"/>
  <c r="Z86" i="26" s="1"/>
  <c r="AB86" i="26" s="1"/>
  <c r="X85" i="26"/>
  <c r="X84" i="26"/>
  <c r="Z84" i="26" s="1"/>
  <c r="AB84" i="26" s="1"/>
  <c r="X83" i="26"/>
  <c r="Z83" i="26" s="1"/>
  <c r="AB83" i="26" s="1"/>
  <c r="X82" i="26"/>
  <c r="Z82" i="26" s="1"/>
  <c r="AB82" i="26" s="1"/>
  <c r="Y22" i="26"/>
  <c r="AA22" i="26" s="1"/>
  <c r="BI30" i="26"/>
  <c r="BK30" i="26" s="1"/>
  <c r="BU24" i="26"/>
  <c r="BW24" i="26" s="1"/>
  <c r="BC25" i="26"/>
  <c r="BE25" i="26" s="1"/>
  <c r="BC28" i="26"/>
  <c r="BE28" i="26" s="1"/>
  <c r="Y29" i="26"/>
  <c r="AA29" i="26" s="1"/>
  <c r="BU25" i="26"/>
  <c r="BW25" i="26" s="1"/>
  <c r="BU22" i="26"/>
  <c r="BW22" i="26" s="1"/>
  <c r="BI29" i="26"/>
  <c r="BK29" i="26" s="1"/>
  <c r="BU21" i="26"/>
  <c r="BW21" i="26" s="1"/>
  <c r="BO23" i="26"/>
  <c r="BQ23" i="26" s="1"/>
  <c r="BI28" i="26"/>
  <c r="BK28" i="26" s="1"/>
  <c r="BI27" i="26"/>
  <c r="BK27" i="26" s="1"/>
  <c r="BU26" i="26"/>
  <c r="BW26" i="26" s="1"/>
  <c r="BC30" i="26"/>
  <c r="BE30" i="26" s="1"/>
  <c r="BC27" i="26"/>
  <c r="BE27" i="26" s="1"/>
  <c r="AQ30" i="26"/>
  <c r="AS30" i="26" s="1"/>
  <c r="AQ29" i="26"/>
  <c r="AS29" i="26" s="1"/>
  <c r="BO30" i="26"/>
  <c r="BQ30" i="26" s="1"/>
  <c r="BI20" i="26"/>
  <c r="BK20" i="26" s="1"/>
  <c r="Y34" i="26"/>
  <c r="AA34" i="26" s="1"/>
  <c r="Y30" i="26"/>
  <c r="AA30" i="26" s="1"/>
  <c r="Y35" i="26"/>
  <c r="AA35" i="26" s="1"/>
  <c r="BU41" i="26"/>
  <c r="BW41" i="26" s="1"/>
  <c r="BU44" i="26"/>
  <c r="BW44" i="26" s="1"/>
  <c r="BU33" i="26"/>
  <c r="BW33" i="26" s="1"/>
  <c r="BO42" i="26"/>
  <c r="BQ42" i="26" s="1"/>
  <c r="BO40" i="26"/>
  <c r="BQ40" i="26" s="1"/>
  <c r="BO33" i="26"/>
  <c r="BQ33" i="26" s="1"/>
  <c r="BU51" i="26"/>
  <c r="BW51" i="26" s="1"/>
  <c r="BO52" i="26"/>
  <c r="BQ52" i="26" s="1"/>
  <c r="BO55" i="26"/>
  <c r="BQ55" i="26" s="1"/>
  <c r="Y51" i="26"/>
  <c r="AA51" i="26" s="1"/>
  <c r="BU55" i="26"/>
  <c r="BW55" i="26" s="1"/>
  <c r="Y33" i="26"/>
  <c r="AA33" i="26" s="1"/>
  <c r="Y39" i="26"/>
  <c r="AA39" i="26" s="1"/>
  <c r="Y28" i="26"/>
  <c r="AA28" i="26" s="1"/>
  <c r="Y36" i="26"/>
  <c r="AA36" i="26" s="1"/>
  <c r="Y27" i="26"/>
  <c r="AA27" i="26" s="1"/>
  <c r="BU29" i="26"/>
  <c r="BW29" i="26" s="1"/>
  <c r="BU32" i="26"/>
  <c r="BW32" i="26" s="1"/>
  <c r="BU38" i="26"/>
  <c r="BW38" i="26" s="1"/>
  <c r="BU40" i="26"/>
  <c r="BW40" i="26" s="1"/>
  <c r="BU20" i="26"/>
  <c r="BW20" i="26" s="1"/>
  <c r="BU30" i="26"/>
  <c r="BW30" i="26" s="1"/>
  <c r="BO36" i="26"/>
  <c r="BQ36" i="26" s="1"/>
  <c r="BO29" i="26"/>
  <c r="BQ29" i="26" s="1"/>
  <c r="BO43" i="26"/>
  <c r="BQ43" i="26" s="1"/>
  <c r="BO28" i="26"/>
  <c r="BQ28" i="26" s="1"/>
  <c r="BO25" i="26"/>
  <c r="BQ25" i="26" s="1"/>
  <c r="BO26" i="26"/>
  <c r="BQ26" i="26" s="1"/>
  <c r="BU56" i="26"/>
  <c r="BW56" i="26" s="1"/>
  <c r="BO48" i="26"/>
  <c r="BQ48" i="26" s="1"/>
  <c r="BO49" i="26"/>
  <c r="BQ49" i="26" s="1"/>
  <c r="Y50" i="26"/>
  <c r="AA50" i="26" s="1"/>
  <c r="Y44" i="26"/>
  <c r="AA44" i="26" s="1"/>
  <c r="Y32" i="26"/>
  <c r="AA32" i="26" s="1"/>
  <c r="Y38" i="26"/>
  <c r="AA38" i="26" s="1"/>
  <c r="Y21" i="26"/>
  <c r="AA21" i="26" s="1"/>
  <c r="Y42" i="26"/>
  <c r="AA42" i="26" s="1"/>
  <c r="BU42" i="26"/>
  <c r="BW42" i="26" s="1"/>
  <c r="BU27" i="26"/>
  <c r="BW27" i="26" s="1"/>
  <c r="BU23" i="26"/>
  <c r="BW23" i="26" s="1"/>
  <c r="BU37" i="26"/>
  <c r="BW37" i="26" s="1"/>
  <c r="BU34" i="26"/>
  <c r="BW34" i="26" s="1"/>
  <c r="BU28" i="26"/>
  <c r="BW28" i="26" s="1"/>
  <c r="BO34" i="26"/>
  <c r="BQ34" i="26" s="1"/>
  <c r="BO27" i="26"/>
  <c r="BQ27" i="26" s="1"/>
  <c r="BO41" i="26"/>
  <c r="BQ41" i="26" s="1"/>
  <c r="BO39" i="26"/>
  <c r="BQ39" i="26" s="1"/>
  <c r="BO37" i="26"/>
  <c r="BQ37" i="26" s="1"/>
  <c r="Y45" i="26"/>
  <c r="AA45" i="26" s="1"/>
  <c r="BU48" i="26"/>
  <c r="BW48" i="26" s="1"/>
  <c r="BU54" i="26"/>
  <c r="BW54" i="26" s="1"/>
  <c r="BU53" i="26"/>
  <c r="BW53" i="26" s="1"/>
  <c r="BO45" i="26"/>
  <c r="BQ45" i="26" s="1"/>
  <c r="Y56" i="26"/>
  <c r="AA56" i="26" s="1"/>
  <c r="Y52" i="26"/>
  <c r="AA52" i="26" s="1"/>
  <c r="BO50" i="26"/>
  <c r="BQ50" i="26" s="1"/>
  <c r="AW51" i="26"/>
  <c r="AY51" i="26" s="1"/>
  <c r="AW58" i="26"/>
  <c r="AY58" i="26" s="1"/>
  <c r="AW28" i="26"/>
  <c r="AY28" i="26" s="1"/>
  <c r="AW57" i="26"/>
  <c r="AY57" i="26" s="1"/>
  <c r="AW32" i="26"/>
  <c r="AY32" i="26" s="1"/>
  <c r="S41" i="26"/>
  <c r="U41" i="26" s="1"/>
  <c r="Y59" i="26"/>
  <c r="AA59" i="26" s="1"/>
  <c r="Y58" i="26"/>
  <c r="AA58" i="26" s="1"/>
  <c r="S35" i="26"/>
  <c r="U35" i="26" s="1"/>
  <c r="AW50" i="26"/>
  <c r="AY50" i="26" s="1"/>
  <c r="AW44" i="26"/>
  <c r="AY44" i="26" s="1"/>
  <c r="S34" i="26"/>
  <c r="U34" i="26" s="1"/>
  <c r="S42" i="26"/>
  <c r="U42" i="26" s="1"/>
  <c r="AW55" i="26"/>
  <c r="AY55" i="26" s="1"/>
  <c r="AW52" i="26"/>
  <c r="AY52" i="26" s="1"/>
  <c r="AQ58" i="26"/>
  <c r="AS58" i="26" s="1"/>
  <c r="AQ59" i="26"/>
  <c r="AS59" i="26" s="1"/>
  <c r="AW42" i="26"/>
  <c r="AY42" i="26" s="1"/>
  <c r="AW43" i="26"/>
  <c r="AY43" i="26" s="1"/>
  <c r="AW29" i="26"/>
  <c r="AY29" i="26" s="1"/>
  <c r="AW48" i="26"/>
  <c r="AY48" i="26" s="1"/>
  <c r="AW56" i="26"/>
  <c r="AY56" i="26" s="1"/>
  <c r="AW31" i="26"/>
  <c r="AY31" i="26" s="1"/>
  <c r="AW41" i="26"/>
  <c r="AY41" i="26" s="1"/>
  <c r="AW33" i="26"/>
  <c r="AY33" i="26" s="1"/>
  <c r="AW40" i="26"/>
  <c r="AY40" i="26" s="1"/>
  <c r="AW54" i="26"/>
  <c r="AY54" i="26" s="1"/>
  <c r="AW53" i="26"/>
  <c r="AY53" i="26" s="1"/>
  <c r="Y48" i="26"/>
  <c r="AA48" i="26" s="1"/>
  <c r="Y54" i="26"/>
  <c r="AA54" i="26" s="1"/>
  <c r="Y53" i="26"/>
  <c r="AA53" i="26" s="1"/>
  <c r="Y47" i="26"/>
  <c r="AA47" i="26" s="1"/>
  <c r="AV85" i="26"/>
  <c r="AX85" i="26" s="1"/>
  <c r="AZ85" i="26" s="1"/>
  <c r="AW46" i="26"/>
  <c r="AY46" i="26" s="1"/>
  <c r="AW45" i="26"/>
  <c r="AY45" i="26" s="1"/>
  <c r="AW38" i="26"/>
  <c r="AY38" i="26" s="1"/>
  <c r="AW27" i="26"/>
  <c r="AY27" i="26" s="1"/>
  <c r="AW49" i="26"/>
  <c r="AY49" i="26" s="1"/>
  <c r="AW34" i="26"/>
  <c r="AY34" i="26" s="1"/>
  <c r="AW35" i="26"/>
  <c r="AY35" i="26" s="1"/>
  <c r="AW30" i="26"/>
  <c r="AY30" i="26" s="1"/>
  <c r="AW37" i="26"/>
  <c r="AY37" i="26" s="1"/>
  <c r="AW47" i="26"/>
  <c r="AY47" i="26" s="1"/>
  <c r="BH89" i="26"/>
  <c r="BJ89" i="26" s="1"/>
  <c r="BL89" i="26" s="1"/>
  <c r="BI51" i="26"/>
  <c r="BK51" i="26" s="1"/>
  <c r="BI53" i="26"/>
  <c r="BK53" i="26" s="1"/>
  <c r="BB93" i="26"/>
  <c r="BD93" i="26" s="1"/>
  <c r="BC48" i="26"/>
  <c r="BE48" i="26" s="1"/>
  <c r="AQ10" i="26"/>
  <c r="AS10" i="26" s="1"/>
  <c r="AQ56" i="26"/>
  <c r="AS56" i="26" s="1"/>
  <c r="AQ49" i="26"/>
  <c r="AS49" i="26" s="1"/>
  <c r="AQ48" i="26"/>
  <c r="AS48" i="26" s="1"/>
  <c r="AQ47" i="26"/>
  <c r="AS47" i="26" s="1"/>
  <c r="AW93" i="26"/>
  <c r="AY93" i="26" s="1"/>
  <c r="BO19" i="26"/>
  <c r="BQ19" i="26" s="1"/>
  <c r="Y19" i="26"/>
  <c r="AA19" i="26" s="1"/>
  <c r="BN92" i="26"/>
  <c r="BP92" i="26" s="1"/>
  <c r="BR92" i="26" s="1"/>
  <c r="BU6" i="26"/>
  <c r="BW6" i="26" s="1"/>
  <c r="P92" i="26"/>
  <c r="AE8" i="26"/>
  <c r="AG8" i="26" s="1"/>
  <c r="Y93" i="26"/>
  <c r="AA93" i="26" s="1"/>
  <c r="Y11" i="26"/>
  <c r="AA11" i="26" s="1"/>
  <c r="BU4" i="26"/>
  <c r="BW4" i="26" s="1"/>
  <c r="BU93" i="26"/>
  <c r="BW93" i="26" s="1"/>
  <c r="BX93" i="26" s="1"/>
  <c r="BI4" i="26"/>
  <c r="BK4" i="26" s="1"/>
  <c r="BU3" i="26"/>
  <c r="BC93" i="26"/>
  <c r="BE93" i="26" s="1"/>
  <c r="BN82" i="26"/>
  <c r="BP82" i="26" s="1"/>
  <c r="BR82" i="26" s="1"/>
  <c r="Y6" i="26"/>
  <c r="AA6" i="26" s="1"/>
  <c r="BU10" i="26"/>
  <c r="BW10" i="26" s="1"/>
  <c r="BU19" i="26"/>
  <c r="BW19" i="26" s="1"/>
  <c r="BU13" i="26"/>
  <c r="BW13" i="26" s="1"/>
  <c r="BU12" i="26"/>
  <c r="BW12" i="26" s="1"/>
  <c r="BU17" i="26"/>
  <c r="BW17" i="26" s="1"/>
  <c r="BN80" i="26"/>
  <c r="BP80" i="26" s="1"/>
  <c r="BR80" i="26" s="1"/>
  <c r="BC13" i="26"/>
  <c r="BE13" i="26" s="1"/>
  <c r="BO14" i="26"/>
  <c r="BQ14" i="26" s="1"/>
  <c r="Z85" i="26"/>
  <c r="AB85" i="26" s="1"/>
  <c r="Y16" i="26"/>
  <c r="AA16" i="26" s="1"/>
  <c r="BI10" i="26"/>
  <c r="BK10" i="26" s="1"/>
  <c r="BU9" i="26"/>
  <c r="BW9" i="26" s="1"/>
  <c r="BU5" i="26"/>
  <c r="BW5" i="26" s="1"/>
  <c r="BU8" i="26"/>
  <c r="BW8" i="26" s="1"/>
  <c r="BU16" i="26"/>
  <c r="BW16" i="26" s="1"/>
  <c r="BU7" i="26"/>
  <c r="BW7" i="26" s="1"/>
  <c r="BU11" i="26"/>
  <c r="BW11" i="26" s="1"/>
  <c r="BN83" i="26"/>
  <c r="BP83" i="26" s="1"/>
  <c r="BR83" i="26" s="1"/>
  <c r="BB82" i="26"/>
  <c r="BD82" i="26" s="1"/>
  <c r="BF82" i="26" s="1"/>
  <c r="BC10" i="26"/>
  <c r="BE10" i="26" s="1"/>
  <c r="BO11" i="26"/>
  <c r="BQ11" i="26" s="1"/>
  <c r="BH86" i="26"/>
  <c r="BJ86" i="26" s="1"/>
  <c r="BL86" i="26" s="1"/>
  <c r="BH80" i="26"/>
  <c r="BJ80" i="26" s="1"/>
  <c r="BL80" i="26" s="1"/>
  <c r="Y8" i="26"/>
  <c r="AA8" i="26" s="1"/>
  <c r="P72" i="26"/>
  <c r="BU15" i="26"/>
  <c r="BW15" i="26" s="1"/>
  <c r="BU14" i="26"/>
  <c r="BW14" i="26" s="1"/>
  <c r="BU18" i="26"/>
  <c r="BW18" i="26" s="1"/>
  <c r="BO13" i="26"/>
  <c r="BQ13" i="26" s="1"/>
  <c r="AW6" i="26"/>
  <c r="AY6" i="26" s="1"/>
  <c r="AW7" i="26"/>
  <c r="AY7" i="26" s="1"/>
  <c r="AW4" i="26"/>
  <c r="AY4" i="26" s="1"/>
  <c r="AQ17" i="26"/>
  <c r="AS17" i="26" s="1"/>
  <c r="AE21" i="26"/>
  <c r="AG21" i="26" s="1"/>
  <c r="AQ4" i="26"/>
  <c r="AS4" i="26" s="1"/>
  <c r="AE19" i="26"/>
  <c r="AG19" i="26" s="1"/>
  <c r="AE93" i="26"/>
  <c r="AG93" i="26" s="1"/>
  <c r="AD81" i="26"/>
  <c r="AF81" i="26" s="1"/>
  <c r="AH81" i="26" s="1"/>
  <c r="AP93" i="26"/>
  <c r="AR93" i="26" s="1"/>
  <c r="AQ25" i="26"/>
  <c r="AS25" i="26" s="1"/>
  <c r="P5" i="26"/>
  <c r="AW5" i="26"/>
  <c r="AY5" i="26" s="1"/>
  <c r="AD80" i="26"/>
  <c r="AF80" i="26" s="1"/>
  <c r="AH80" i="26" s="1"/>
  <c r="AW19" i="26"/>
  <c r="AY19" i="26" s="1"/>
  <c r="AW10" i="26"/>
  <c r="AY10" i="26" s="1"/>
  <c r="AV80" i="26"/>
  <c r="AX80" i="26" s="1"/>
  <c r="AZ80" i="26" s="1"/>
  <c r="AD83" i="26"/>
  <c r="AF83" i="26" s="1"/>
  <c r="AH83" i="26" s="1"/>
  <c r="AV92" i="26"/>
  <c r="AX92" i="26" s="1"/>
  <c r="AZ92" i="26" s="1"/>
  <c r="AP89" i="26"/>
  <c r="AR89" i="26" s="1"/>
  <c r="AT89" i="26" s="1"/>
  <c r="AV86" i="26"/>
  <c r="AX86" i="26" s="1"/>
  <c r="AZ86" i="26" s="1"/>
  <c r="Y26" i="26"/>
  <c r="AA26" i="26" s="1"/>
  <c r="Y12" i="26"/>
  <c r="AA12" i="26" s="1"/>
  <c r="Y15" i="26"/>
  <c r="AA15" i="26" s="1"/>
  <c r="BI26" i="26"/>
  <c r="BK26" i="26" s="1"/>
  <c r="BI25" i="26"/>
  <c r="BK25" i="26" s="1"/>
  <c r="BI11" i="26"/>
  <c r="BK11" i="26" s="1"/>
  <c r="BN93" i="26"/>
  <c r="BP93" i="26" s="1"/>
  <c r="BN88" i="26"/>
  <c r="BP88" i="26" s="1"/>
  <c r="BR88" i="26" s="1"/>
  <c r="BB91" i="26"/>
  <c r="BD91" i="26" s="1"/>
  <c r="BF91" i="26" s="1"/>
  <c r="BC26" i="26"/>
  <c r="BE26" i="26" s="1"/>
  <c r="BC9" i="26"/>
  <c r="BE9" i="26" s="1"/>
  <c r="BN87" i="26"/>
  <c r="BP87" i="26" s="1"/>
  <c r="BR87" i="26" s="1"/>
  <c r="BO5" i="26"/>
  <c r="BQ5" i="26" s="1"/>
  <c r="BO9" i="26"/>
  <c r="BQ9" i="26" s="1"/>
  <c r="BN90" i="26"/>
  <c r="BP90" i="26" s="1"/>
  <c r="BR90" i="26" s="1"/>
  <c r="Y17" i="26"/>
  <c r="AA17" i="26" s="1"/>
  <c r="Y4" i="26"/>
  <c r="AA4" i="26" s="1"/>
  <c r="Y7" i="26"/>
  <c r="AA7" i="26" s="1"/>
  <c r="BI3" i="26"/>
  <c r="BI12" i="26"/>
  <c r="BK12" i="26" s="1"/>
  <c r="BN89" i="26"/>
  <c r="BP89" i="26" s="1"/>
  <c r="BR89" i="26" s="1"/>
  <c r="BC23" i="26"/>
  <c r="BE23" i="26" s="1"/>
  <c r="BC3" i="26"/>
  <c r="BN81" i="26"/>
  <c r="BP81" i="26" s="1"/>
  <c r="BR81" i="26" s="1"/>
  <c r="BB88" i="26"/>
  <c r="BD88" i="26" s="1"/>
  <c r="BF88" i="26" s="1"/>
  <c r="BO7" i="26"/>
  <c r="BQ7" i="26" s="1"/>
  <c r="BO17" i="26"/>
  <c r="BQ17" i="26" s="1"/>
  <c r="BO93" i="26"/>
  <c r="BQ93" i="26" s="1"/>
  <c r="BB92" i="26"/>
  <c r="BD92" i="26" s="1"/>
  <c r="BF92" i="26" s="1"/>
  <c r="R86" i="26"/>
  <c r="T86" i="26" s="1"/>
  <c r="V86" i="26" s="1"/>
  <c r="Y24" i="26"/>
  <c r="AA24" i="26" s="1"/>
  <c r="Y10" i="26"/>
  <c r="AA10" i="26" s="1"/>
  <c r="Y25" i="26"/>
  <c r="AA25" i="26" s="1"/>
  <c r="Y13" i="26"/>
  <c r="AA13" i="26" s="1"/>
  <c r="Y5" i="26"/>
  <c r="AA5" i="26" s="1"/>
  <c r="P12" i="26"/>
  <c r="BI22" i="26"/>
  <c r="BK22" i="26" s="1"/>
  <c r="BI18" i="26"/>
  <c r="BK18" i="26" s="1"/>
  <c r="BI19" i="26"/>
  <c r="BK19" i="26" s="1"/>
  <c r="BI23" i="26"/>
  <c r="BK23" i="26" s="1"/>
  <c r="BI7" i="26"/>
  <c r="BK7" i="26" s="1"/>
  <c r="BI93" i="26"/>
  <c r="BK93" i="26" s="1"/>
  <c r="BN84" i="26"/>
  <c r="BP84" i="26" s="1"/>
  <c r="BR84" i="26" s="1"/>
  <c r="BB89" i="26"/>
  <c r="BD89" i="26" s="1"/>
  <c r="BF89" i="26" s="1"/>
  <c r="BH84" i="26"/>
  <c r="BJ84" i="26" s="1"/>
  <c r="BL84" i="26" s="1"/>
  <c r="BC20" i="26"/>
  <c r="BE20" i="26" s="1"/>
  <c r="BC15" i="26"/>
  <c r="BE15" i="26" s="1"/>
  <c r="BC22" i="26"/>
  <c r="BE22" i="26" s="1"/>
  <c r="BC19" i="26"/>
  <c r="BE19" i="26" s="1"/>
  <c r="BC6" i="26"/>
  <c r="BE6" i="26" s="1"/>
  <c r="BC16" i="26"/>
  <c r="BE16" i="26" s="1"/>
  <c r="BB86" i="26"/>
  <c r="BD86" i="26" s="1"/>
  <c r="BF86" i="26" s="1"/>
  <c r="BO16" i="26"/>
  <c r="BQ16" i="26" s="1"/>
  <c r="BO12" i="26"/>
  <c r="BQ12" i="26" s="1"/>
  <c r="BO22" i="26"/>
  <c r="BQ22" i="26" s="1"/>
  <c r="BO24" i="26"/>
  <c r="BQ24" i="26" s="1"/>
  <c r="BO6" i="26"/>
  <c r="BQ6" i="26" s="1"/>
  <c r="BO10" i="26"/>
  <c r="BQ10" i="26" s="1"/>
  <c r="BO8" i="26"/>
  <c r="BQ8" i="26" s="1"/>
  <c r="BH82" i="26"/>
  <c r="BJ82" i="26" s="1"/>
  <c r="BL82" i="26" s="1"/>
  <c r="Y20" i="26"/>
  <c r="AA20" i="26" s="1"/>
  <c r="Y3" i="26"/>
  <c r="Y23" i="26"/>
  <c r="AA23" i="26" s="1"/>
  <c r="Y14" i="26"/>
  <c r="AA14" i="26" s="1"/>
  <c r="Y9" i="26"/>
  <c r="AA9" i="26" s="1"/>
  <c r="Y18" i="26"/>
  <c r="AA18" i="26" s="1"/>
  <c r="BI13" i="26"/>
  <c r="BK13" i="26" s="1"/>
  <c r="BI24" i="26"/>
  <c r="BK24" i="26" s="1"/>
  <c r="BI17" i="26"/>
  <c r="BK17" i="26" s="1"/>
  <c r="BI16" i="26"/>
  <c r="BK16" i="26" s="1"/>
  <c r="BI6" i="26"/>
  <c r="BK6" i="26" s="1"/>
  <c r="BI14" i="26"/>
  <c r="BK14" i="26" s="1"/>
  <c r="BB85" i="26"/>
  <c r="BD85" i="26" s="1"/>
  <c r="BF85" i="26" s="1"/>
  <c r="BN91" i="26"/>
  <c r="BP91" i="26" s="1"/>
  <c r="BR91" i="26" s="1"/>
  <c r="BC11" i="26"/>
  <c r="BE11" i="26" s="1"/>
  <c r="BC18" i="26"/>
  <c r="BE18" i="26" s="1"/>
  <c r="BC12" i="26"/>
  <c r="BE12" i="26" s="1"/>
  <c r="BC7" i="26"/>
  <c r="BE7" i="26" s="1"/>
  <c r="BN86" i="26"/>
  <c r="BP86" i="26" s="1"/>
  <c r="BR86" i="26" s="1"/>
  <c r="BO15" i="26"/>
  <c r="BQ15" i="26" s="1"/>
  <c r="BO18" i="26"/>
  <c r="BQ18" i="26" s="1"/>
  <c r="BO21" i="26"/>
  <c r="BQ21" i="26" s="1"/>
  <c r="BO20" i="26"/>
  <c r="BQ20" i="26" s="1"/>
  <c r="BO3" i="26"/>
  <c r="BO4" i="26"/>
  <c r="BQ4" i="26" s="1"/>
  <c r="P82" i="26"/>
  <c r="BB83" i="26"/>
  <c r="BD83" i="26" s="1"/>
  <c r="BF83" i="26" s="1"/>
  <c r="BN85" i="26"/>
  <c r="BP85" i="26" s="1"/>
  <c r="BR85" i="26" s="1"/>
  <c r="AP86" i="26"/>
  <c r="AR86" i="26" s="1"/>
  <c r="AT86" i="26" s="1"/>
  <c r="AP82" i="26"/>
  <c r="AR82" i="26" s="1"/>
  <c r="AT82" i="26" s="1"/>
  <c r="AP87" i="26"/>
  <c r="AR87" i="26" s="1"/>
  <c r="AT87" i="26" s="1"/>
  <c r="AP90" i="26"/>
  <c r="AR90" i="26" s="1"/>
  <c r="AT90" i="26" s="1"/>
  <c r="AP81" i="26"/>
  <c r="AR81" i="26" s="1"/>
  <c r="AT81" i="26" s="1"/>
  <c r="AP83" i="26"/>
  <c r="AR83" i="26" s="1"/>
  <c r="AT83" i="26" s="1"/>
  <c r="AP91" i="26"/>
  <c r="AR91" i="26" s="1"/>
  <c r="AT91" i="26" s="1"/>
  <c r="AQ3" i="26"/>
  <c r="AQ5" i="26"/>
  <c r="AS5" i="26" s="1"/>
  <c r="AQ14" i="26"/>
  <c r="AS14" i="26" s="1"/>
  <c r="AQ9" i="26"/>
  <c r="AS9" i="26" s="1"/>
  <c r="AQ20" i="26"/>
  <c r="AS20" i="26" s="1"/>
  <c r="AQ8" i="26"/>
  <c r="AS8" i="26" s="1"/>
  <c r="AQ19" i="26"/>
  <c r="AS19" i="26" s="1"/>
  <c r="AP92" i="26"/>
  <c r="AR92" i="26" s="1"/>
  <c r="AT92" i="26" s="1"/>
  <c r="AD86" i="26"/>
  <c r="AF86" i="26" s="1"/>
  <c r="AH86" i="26" s="1"/>
  <c r="AD85" i="26"/>
  <c r="AF85" i="26" s="1"/>
  <c r="AH85" i="26" s="1"/>
  <c r="AE9" i="26"/>
  <c r="AG9" i="26" s="1"/>
  <c r="AE22" i="26"/>
  <c r="AG22" i="26" s="1"/>
  <c r="AE4" i="26"/>
  <c r="AG4" i="26" s="1"/>
  <c r="AE15" i="26"/>
  <c r="AG15" i="26" s="1"/>
  <c r="AE17" i="26"/>
  <c r="AG17" i="26" s="1"/>
  <c r="AD90" i="26"/>
  <c r="AF90" i="26" s="1"/>
  <c r="AH90" i="26" s="1"/>
  <c r="AD88" i="26"/>
  <c r="AF88" i="26" s="1"/>
  <c r="AH88" i="26" s="1"/>
  <c r="AD84" i="26"/>
  <c r="AF84" i="26" s="1"/>
  <c r="AH84" i="26" s="1"/>
  <c r="AD87" i="26"/>
  <c r="AF87" i="26" s="1"/>
  <c r="AH87" i="26" s="1"/>
  <c r="AQ18" i="26"/>
  <c r="AS18" i="26" s="1"/>
  <c r="AQ26" i="26"/>
  <c r="AS26" i="26" s="1"/>
  <c r="AQ23" i="26"/>
  <c r="AS23" i="26" s="1"/>
  <c r="AQ12" i="26"/>
  <c r="AS12" i="26" s="1"/>
  <c r="AQ93" i="26"/>
  <c r="AS93" i="26" s="1"/>
  <c r="P42" i="26"/>
  <c r="AD92" i="26"/>
  <c r="AF92" i="26" s="1"/>
  <c r="AH92" i="26" s="1"/>
  <c r="AE14" i="26"/>
  <c r="AG14" i="26" s="1"/>
  <c r="AE26" i="26"/>
  <c r="AG26" i="26" s="1"/>
  <c r="AE7" i="26"/>
  <c r="AG7" i="26" s="1"/>
  <c r="AE16" i="26"/>
  <c r="AG16" i="26" s="1"/>
  <c r="AE13" i="26"/>
  <c r="AG13" i="26" s="1"/>
  <c r="AE18" i="26"/>
  <c r="AG18" i="26" s="1"/>
  <c r="P22" i="26"/>
  <c r="AD91" i="26"/>
  <c r="AF91" i="26" s="1"/>
  <c r="AH91" i="26" s="1"/>
  <c r="S6" i="26"/>
  <c r="U6" i="26" s="1"/>
  <c r="S26" i="26"/>
  <c r="U26" i="26" s="1"/>
  <c r="R81" i="26"/>
  <c r="T81" i="26" s="1"/>
  <c r="V81" i="26" s="1"/>
  <c r="AV83" i="26"/>
  <c r="AX83" i="26" s="1"/>
  <c r="AZ83" i="26" s="1"/>
  <c r="AV90" i="26"/>
  <c r="AX90" i="26" s="1"/>
  <c r="AZ90" i="26" s="1"/>
  <c r="AV93" i="26"/>
  <c r="AX93" i="26" s="1"/>
  <c r="AV88" i="26"/>
  <c r="AX88" i="26" s="1"/>
  <c r="AZ88" i="26" s="1"/>
  <c r="AV89" i="26"/>
  <c r="AX89" i="26" s="1"/>
  <c r="AZ89" i="26" s="1"/>
  <c r="AV91" i="26"/>
  <c r="AX91" i="26" s="1"/>
  <c r="AZ91" i="26" s="1"/>
  <c r="AV87" i="26"/>
  <c r="AX87" i="26" s="1"/>
  <c r="AZ87" i="26" s="1"/>
  <c r="AW21" i="26"/>
  <c r="AY21" i="26" s="1"/>
  <c r="AW12" i="26"/>
  <c r="AY12" i="26" s="1"/>
  <c r="AW8" i="26"/>
  <c r="AY8" i="26" s="1"/>
  <c r="AW18" i="26"/>
  <c r="AY18" i="26" s="1"/>
  <c r="AW26" i="26"/>
  <c r="AY26" i="26" s="1"/>
  <c r="AW23" i="26"/>
  <c r="AY23" i="26" s="1"/>
  <c r="AW17" i="26"/>
  <c r="AY17" i="26" s="1"/>
  <c r="AV81" i="26"/>
  <c r="AX81" i="26" s="1"/>
  <c r="AZ81" i="26" s="1"/>
  <c r="AW24" i="26"/>
  <c r="AY24" i="26" s="1"/>
  <c r="AW13" i="26"/>
  <c r="AY13" i="26" s="1"/>
  <c r="AW14" i="26"/>
  <c r="AY14" i="26" s="1"/>
  <c r="AW3" i="26"/>
  <c r="AD82" i="26"/>
  <c r="AF82" i="26" s="1"/>
  <c r="AH82" i="26" s="1"/>
  <c r="AP84" i="26"/>
  <c r="AR84" i="26" s="1"/>
  <c r="AT84" i="26" s="1"/>
  <c r="AQ16" i="26"/>
  <c r="AS16" i="26" s="1"/>
  <c r="AQ24" i="26"/>
  <c r="AS24" i="26" s="1"/>
  <c r="AQ22" i="26"/>
  <c r="AS22" i="26" s="1"/>
  <c r="AQ11" i="26"/>
  <c r="AS11" i="26" s="1"/>
  <c r="AQ6" i="26"/>
  <c r="AS6" i="26" s="1"/>
  <c r="AV84" i="26"/>
  <c r="AX84" i="26" s="1"/>
  <c r="AZ84" i="26" s="1"/>
  <c r="AD93" i="26"/>
  <c r="AF93" i="26" s="1"/>
  <c r="AE24" i="26"/>
  <c r="AG24" i="26" s="1"/>
  <c r="AE5" i="26"/>
  <c r="AG5" i="26" s="1"/>
  <c r="AE10" i="26"/>
  <c r="AG10" i="26" s="1"/>
  <c r="AE12" i="26"/>
  <c r="AG12" i="26" s="1"/>
  <c r="R82" i="26"/>
  <c r="T82" i="26" s="1"/>
  <c r="V82" i="26" s="1"/>
  <c r="S11" i="26"/>
  <c r="U11" i="26" s="1"/>
  <c r="AP85" i="26"/>
  <c r="AR85" i="26" s="1"/>
  <c r="AT85" i="26" s="1"/>
  <c r="AD89" i="26"/>
  <c r="AF89" i="26" s="1"/>
  <c r="AH89" i="26" s="1"/>
  <c r="AP88" i="26"/>
  <c r="AR88" i="26" s="1"/>
  <c r="AT88" i="26" s="1"/>
  <c r="AW20" i="26"/>
  <c r="AY20" i="26" s="1"/>
  <c r="AW15" i="26"/>
  <c r="AY15" i="26" s="1"/>
  <c r="AW25" i="26"/>
  <c r="AY25" i="26" s="1"/>
  <c r="AW16" i="26"/>
  <c r="AY16" i="26" s="1"/>
  <c r="AW22" i="26"/>
  <c r="AY22" i="26" s="1"/>
  <c r="AW9" i="26"/>
  <c r="AY9" i="26" s="1"/>
  <c r="AW11" i="26"/>
  <c r="AY11" i="26" s="1"/>
  <c r="P52" i="26"/>
  <c r="AQ15" i="26"/>
  <c r="AS15" i="26" s="1"/>
  <c r="AQ21" i="26"/>
  <c r="AS21" i="26" s="1"/>
  <c r="AQ7" i="26"/>
  <c r="AS7" i="26" s="1"/>
  <c r="AQ13" i="26"/>
  <c r="AS13" i="26" s="1"/>
  <c r="AP80" i="26"/>
  <c r="AR80" i="26" s="1"/>
  <c r="AT80" i="26" s="1"/>
  <c r="AE23" i="26"/>
  <c r="AG23" i="26" s="1"/>
  <c r="AE25" i="26"/>
  <c r="AG25" i="26" s="1"/>
  <c r="AE11" i="26"/>
  <c r="AG11" i="26" s="1"/>
  <c r="AE6" i="26"/>
  <c r="AG6" i="26" s="1"/>
  <c r="AE3" i="26"/>
  <c r="R91" i="26"/>
  <c r="T91" i="26" s="1"/>
  <c r="V91" i="26" s="1"/>
  <c r="R93" i="26"/>
  <c r="T93" i="26" s="1"/>
  <c r="S19" i="26"/>
  <c r="U19" i="26" s="1"/>
  <c r="AV82" i="26"/>
  <c r="AX82" i="26" s="1"/>
  <c r="AZ82" i="26" s="1"/>
  <c r="BI45" i="26"/>
  <c r="BK45" i="26" s="1"/>
  <c r="BH85" i="26"/>
  <c r="BJ85" i="26" s="1"/>
  <c r="BL85" i="26" s="1"/>
  <c r="BH81" i="26"/>
  <c r="BJ81" i="26" s="1"/>
  <c r="BL81" i="26" s="1"/>
  <c r="BH91" i="26"/>
  <c r="BJ91" i="26" s="1"/>
  <c r="BL91" i="26" s="1"/>
  <c r="BH87" i="26"/>
  <c r="BJ87" i="26" s="1"/>
  <c r="BL87" i="26" s="1"/>
  <c r="BH92" i="26"/>
  <c r="BJ92" i="26" s="1"/>
  <c r="BL92" i="26" s="1"/>
  <c r="BH93" i="26"/>
  <c r="BJ93" i="26" s="1"/>
  <c r="BI9" i="26"/>
  <c r="BK9" i="26" s="1"/>
  <c r="BI5" i="26"/>
  <c r="BK5" i="26" s="1"/>
  <c r="BI8" i="26"/>
  <c r="BK8" i="26" s="1"/>
  <c r="BI21" i="26"/>
  <c r="BK21" i="26" s="1"/>
  <c r="BI15" i="26"/>
  <c r="BK15" i="26" s="1"/>
  <c r="BH88" i="26"/>
  <c r="BJ88" i="26" s="1"/>
  <c r="BL88" i="26" s="1"/>
  <c r="BH90" i="26"/>
  <c r="BJ90" i="26" s="1"/>
  <c r="BL90" i="26" s="1"/>
  <c r="BH83" i="26"/>
  <c r="BJ83" i="26" s="1"/>
  <c r="BL83" i="26" s="1"/>
  <c r="BB84" i="26"/>
  <c r="BD84" i="26" s="1"/>
  <c r="BF84" i="26" s="1"/>
  <c r="BB80" i="26"/>
  <c r="BD80" i="26" s="1"/>
  <c r="BF80" i="26" s="1"/>
  <c r="P62" i="26"/>
  <c r="BC17" i="26"/>
  <c r="BE17" i="26" s="1"/>
  <c r="BC5" i="26"/>
  <c r="BE5" i="26" s="1"/>
  <c r="BC14" i="26"/>
  <c r="BE14" i="26" s="1"/>
  <c r="BC24" i="26"/>
  <c r="BE24" i="26" s="1"/>
  <c r="BC21" i="26"/>
  <c r="BE21" i="26" s="1"/>
  <c r="BC4" i="26"/>
  <c r="BE4" i="26" s="1"/>
  <c r="BC8" i="26"/>
  <c r="BE8" i="26" s="1"/>
  <c r="BB81" i="26"/>
  <c r="BD81" i="26" s="1"/>
  <c r="BF81" i="26" s="1"/>
  <c r="BB87" i="26"/>
  <c r="BD87" i="26" s="1"/>
  <c r="BF87" i="26" s="1"/>
  <c r="BB90" i="26"/>
  <c r="BD90" i="26" s="1"/>
  <c r="BF90" i="26" s="1"/>
  <c r="S52" i="26"/>
  <c r="U52" i="26" s="1"/>
  <c r="S64" i="26"/>
  <c r="U64" i="26" s="1"/>
  <c r="S68" i="26"/>
  <c r="U68" i="26" s="1"/>
  <c r="S69" i="26"/>
  <c r="U69" i="26" s="1"/>
  <c r="S48" i="26"/>
  <c r="U48" i="26" s="1"/>
  <c r="S60" i="26"/>
  <c r="U60" i="26" s="1"/>
  <c r="S61" i="26"/>
  <c r="U61" i="26" s="1"/>
  <c r="S59" i="26"/>
  <c r="U59" i="26" s="1"/>
  <c r="S57" i="26"/>
  <c r="U57" i="26" s="1"/>
  <c r="S50" i="26"/>
  <c r="U50" i="26" s="1"/>
  <c r="S49" i="26"/>
  <c r="U49" i="26" s="1"/>
  <c r="S62" i="26"/>
  <c r="U62" i="26" s="1"/>
  <c r="S63" i="26"/>
  <c r="U63" i="26" s="1"/>
  <c r="S55" i="26"/>
  <c r="U55" i="26" s="1"/>
  <c r="S53" i="26"/>
  <c r="U53" i="26" s="1"/>
  <c r="S45" i="26"/>
  <c r="U45" i="26" s="1"/>
  <c r="S72" i="26"/>
  <c r="U72" i="26" s="1"/>
  <c r="S58" i="26"/>
  <c r="U58" i="26" s="1"/>
  <c r="S51" i="26"/>
  <c r="U51" i="26" s="1"/>
  <c r="S73" i="26"/>
  <c r="U73" i="26" s="1"/>
  <c r="S74" i="26"/>
  <c r="U74" i="26" s="1"/>
  <c r="S65" i="26"/>
  <c r="U65" i="26" s="1"/>
  <c r="S54" i="26"/>
  <c r="U54" i="26" s="1"/>
  <c r="S71" i="26"/>
  <c r="U71" i="26" s="1"/>
  <c r="S56" i="26"/>
  <c r="U56" i="26" s="1"/>
  <c r="S46" i="26"/>
  <c r="U46" i="26" s="1"/>
  <c r="S47" i="26"/>
  <c r="U47" i="26" s="1"/>
  <c r="S67" i="26"/>
  <c r="U67" i="26" s="1"/>
  <c r="S70" i="26"/>
  <c r="U70" i="26" s="1"/>
  <c r="S66" i="26"/>
  <c r="U66" i="26" s="1"/>
  <c r="R88" i="26"/>
  <c r="T88" i="26" s="1"/>
  <c r="V88" i="26" s="1"/>
  <c r="S31" i="26"/>
  <c r="U31" i="26" s="1"/>
  <c r="S13" i="26"/>
  <c r="U13" i="26" s="1"/>
  <c r="S24" i="26"/>
  <c r="U24" i="26" s="1"/>
  <c r="S10" i="26"/>
  <c r="U10" i="26" s="1"/>
  <c r="S15" i="26"/>
  <c r="U15" i="26" s="1"/>
  <c r="AK73" i="26"/>
  <c r="AM73" i="26" s="1"/>
  <c r="AK46" i="26"/>
  <c r="AM46" i="26" s="1"/>
  <c r="AK64" i="26"/>
  <c r="AM64" i="26" s="1"/>
  <c r="AK58" i="26"/>
  <c r="AM58" i="26" s="1"/>
  <c r="AK63" i="26"/>
  <c r="AM63" i="26" s="1"/>
  <c r="AK45" i="26"/>
  <c r="AM45" i="26" s="1"/>
  <c r="AK47" i="26"/>
  <c r="AM47" i="26" s="1"/>
  <c r="AK54" i="26"/>
  <c r="AM54" i="26" s="1"/>
  <c r="AK55" i="26"/>
  <c r="AM55" i="26" s="1"/>
  <c r="AK65" i="26"/>
  <c r="AM65" i="26" s="1"/>
  <c r="AK53" i="26"/>
  <c r="AM53" i="26" s="1"/>
  <c r="AK74" i="26"/>
  <c r="AM74" i="26" s="1"/>
  <c r="AK69" i="26"/>
  <c r="AM69" i="26" s="1"/>
  <c r="AK68" i="26"/>
  <c r="AM68" i="26" s="1"/>
  <c r="AK59" i="26"/>
  <c r="AM59" i="26" s="1"/>
  <c r="AK67" i="26"/>
  <c r="AM67" i="26" s="1"/>
  <c r="AK72" i="26"/>
  <c r="AM72" i="26" s="1"/>
  <c r="AK62" i="26"/>
  <c r="AM62" i="26" s="1"/>
  <c r="AK49" i="26"/>
  <c r="AM49" i="26" s="1"/>
  <c r="AK52" i="26"/>
  <c r="AM52" i="26" s="1"/>
  <c r="AK71" i="26"/>
  <c r="AM71" i="26" s="1"/>
  <c r="AK70" i="26"/>
  <c r="AM70" i="26" s="1"/>
  <c r="AK66" i="26"/>
  <c r="AM66" i="26" s="1"/>
  <c r="AK61" i="26"/>
  <c r="AM61" i="26" s="1"/>
  <c r="AK48" i="26"/>
  <c r="AM48" i="26" s="1"/>
  <c r="AK57" i="26"/>
  <c r="AM57" i="26" s="1"/>
  <c r="AK60" i="26"/>
  <c r="AM60" i="26" s="1"/>
  <c r="AK50" i="26"/>
  <c r="AM50" i="26" s="1"/>
  <c r="AK51" i="26"/>
  <c r="AM51" i="26" s="1"/>
  <c r="AK56" i="26"/>
  <c r="AM56" i="26" s="1"/>
  <c r="R84" i="26"/>
  <c r="T84" i="26" s="1"/>
  <c r="V84" i="26" s="1"/>
  <c r="R85" i="26"/>
  <c r="T85" i="26" s="1"/>
  <c r="V85" i="26" s="1"/>
  <c r="R92" i="26"/>
  <c r="T92" i="26" s="1"/>
  <c r="V92" i="26" s="1"/>
  <c r="S39" i="26"/>
  <c r="U39" i="26" s="1"/>
  <c r="S29" i="26"/>
  <c r="U29" i="26" s="1"/>
  <c r="S16" i="26"/>
  <c r="U16" i="26" s="1"/>
  <c r="S38" i="26"/>
  <c r="U38" i="26" s="1"/>
  <c r="S30" i="26"/>
  <c r="U30" i="26" s="1"/>
  <c r="S21" i="26"/>
  <c r="U21" i="26" s="1"/>
  <c r="S27" i="26"/>
  <c r="U27" i="26" s="1"/>
  <c r="S9" i="26"/>
  <c r="U9" i="26" s="1"/>
  <c r="S5" i="26"/>
  <c r="U5" i="26" s="1"/>
  <c r="S14" i="26"/>
  <c r="U14" i="26" s="1"/>
  <c r="S3" i="26"/>
  <c r="R89" i="26"/>
  <c r="T89" i="26" s="1"/>
  <c r="V89" i="26" s="1"/>
  <c r="R80" i="26"/>
  <c r="T80" i="26" s="1"/>
  <c r="V80" i="26" s="1"/>
  <c r="S40" i="26"/>
  <c r="U40" i="26" s="1"/>
  <c r="S22" i="26"/>
  <c r="U22" i="26" s="1"/>
  <c r="S33" i="26"/>
  <c r="U33" i="26" s="1"/>
  <c r="S32" i="26"/>
  <c r="U32" i="26" s="1"/>
  <c r="S7" i="26"/>
  <c r="U7" i="26" s="1"/>
  <c r="S4" i="26"/>
  <c r="U4" i="26" s="1"/>
  <c r="R83" i="26"/>
  <c r="T83" i="26" s="1"/>
  <c r="V83" i="26" s="1"/>
  <c r="R90" i="26"/>
  <c r="T90" i="26" s="1"/>
  <c r="V90" i="26" s="1"/>
  <c r="R87" i="26"/>
  <c r="T87" i="26" s="1"/>
  <c r="V87" i="26" s="1"/>
  <c r="S37" i="26"/>
  <c r="U37" i="26" s="1"/>
  <c r="S28" i="26"/>
  <c r="U28" i="26" s="1"/>
  <c r="S44" i="26"/>
  <c r="U44" i="26" s="1"/>
  <c r="S36" i="26"/>
  <c r="U36" i="26" s="1"/>
  <c r="S25" i="26"/>
  <c r="U25" i="26" s="1"/>
  <c r="S18" i="26"/>
  <c r="U18" i="26" s="1"/>
  <c r="S23" i="26"/>
  <c r="U23" i="26" s="1"/>
  <c r="S8" i="26"/>
  <c r="U8" i="26" s="1"/>
  <c r="S20" i="26"/>
  <c r="U20" i="26" s="1"/>
  <c r="S12" i="26"/>
  <c r="U12" i="26" s="1"/>
  <c r="S93" i="26"/>
  <c r="U93" i="26" s="1"/>
  <c r="P32" i="26"/>
  <c r="AK4" i="26"/>
  <c r="AM4" i="26" s="1"/>
  <c r="AK5" i="26"/>
  <c r="AM5" i="26" s="1"/>
  <c r="AK7" i="26"/>
  <c r="AM7" i="26" s="1"/>
  <c r="AK9" i="26"/>
  <c r="AM9" i="26" s="1"/>
  <c r="AK12" i="26"/>
  <c r="AM12" i="26" s="1"/>
  <c r="AK18" i="26"/>
  <c r="AM18" i="26" s="1"/>
  <c r="AK19" i="26"/>
  <c r="AM19" i="26" s="1"/>
  <c r="AK20" i="26"/>
  <c r="AM20" i="26" s="1"/>
  <c r="AK93" i="26"/>
  <c r="AM93" i="26" s="1"/>
  <c r="AK6" i="26"/>
  <c r="AM6" i="26" s="1"/>
  <c r="AK8" i="26"/>
  <c r="AM8" i="26" s="1"/>
  <c r="AK11" i="26"/>
  <c r="AM11" i="26" s="1"/>
  <c r="AK3" i="26"/>
  <c r="AK10" i="26"/>
  <c r="AM10" i="26" s="1"/>
  <c r="AK13" i="26"/>
  <c r="AM13" i="26" s="1"/>
  <c r="AK15" i="26"/>
  <c r="AM15" i="26" s="1"/>
  <c r="AK17" i="26"/>
  <c r="AM17" i="26" s="1"/>
  <c r="AK21" i="26"/>
  <c r="AM21" i="26" s="1"/>
  <c r="AK25" i="26"/>
  <c r="AM25" i="26" s="1"/>
  <c r="AK28" i="26"/>
  <c r="AM28" i="26" s="1"/>
  <c r="AK29" i="26"/>
  <c r="AM29" i="26" s="1"/>
  <c r="AK31" i="26"/>
  <c r="AM31" i="26" s="1"/>
  <c r="AK34" i="26"/>
  <c r="AM34" i="26" s="1"/>
  <c r="AK35" i="26"/>
  <c r="AM35" i="26" s="1"/>
  <c r="AK39" i="26"/>
  <c r="AM39" i="26" s="1"/>
  <c r="AK43" i="26"/>
  <c r="AM43" i="26" s="1"/>
  <c r="AK30" i="26"/>
  <c r="AM30" i="26" s="1"/>
  <c r="AK44" i="26"/>
  <c r="AM44" i="26" s="1"/>
  <c r="AK24" i="26"/>
  <c r="AM24" i="26" s="1"/>
  <c r="AK38" i="26"/>
  <c r="AM38" i="26" s="1"/>
  <c r="AK42" i="26"/>
  <c r="AM42" i="26" s="1"/>
  <c r="AK14" i="26"/>
  <c r="AM14" i="26" s="1"/>
  <c r="AK32" i="26"/>
  <c r="AM32" i="26" s="1"/>
  <c r="AK36" i="26"/>
  <c r="AM36" i="26" s="1"/>
  <c r="AK16" i="26"/>
  <c r="AM16" i="26" s="1"/>
  <c r="AK22" i="26"/>
  <c r="AM22" i="26" s="1"/>
  <c r="AK23" i="26"/>
  <c r="AM23" i="26" s="1"/>
  <c r="AK26" i="26"/>
  <c r="AM26" i="26" s="1"/>
  <c r="AK33" i="26"/>
  <c r="AM33" i="26" s="1"/>
  <c r="AK37" i="26"/>
  <c r="AM37" i="26" s="1"/>
  <c r="AK40" i="26"/>
  <c r="AM40" i="26" s="1"/>
  <c r="AK41" i="26"/>
  <c r="AM41" i="26" s="1"/>
  <c r="AK27" i="26"/>
  <c r="AM27" i="26" s="1"/>
  <c r="AJ93" i="26"/>
  <c r="AL93" i="26" s="1"/>
  <c r="AJ81" i="26"/>
  <c r="AL81" i="26" s="1"/>
  <c r="AN81" i="26" s="1"/>
  <c r="AJ91" i="26"/>
  <c r="AL91" i="26" s="1"/>
  <c r="AN91" i="26" s="1"/>
  <c r="AJ80" i="26"/>
  <c r="AL80" i="26" s="1"/>
  <c r="AN80" i="26" s="1"/>
  <c r="AJ85" i="26"/>
  <c r="AL85" i="26" s="1"/>
  <c r="AN85" i="26" s="1"/>
  <c r="AJ86" i="26"/>
  <c r="AL86" i="26" s="1"/>
  <c r="AN86" i="26" s="1"/>
  <c r="AJ89" i="26"/>
  <c r="AL89" i="26" s="1"/>
  <c r="AN89" i="26" s="1"/>
  <c r="AJ83" i="26"/>
  <c r="AL83" i="26" s="1"/>
  <c r="AN83" i="26" s="1"/>
  <c r="AJ84" i="26"/>
  <c r="AL84" i="26" s="1"/>
  <c r="AN84" i="26" s="1"/>
  <c r="AJ87" i="26"/>
  <c r="AL87" i="26" s="1"/>
  <c r="AN87" i="26" s="1"/>
  <c r="AJ88" i="26"/>
  <c r="AL88" i="26" s="1"/>
  <c r="AN88" i="26" s="1"/>
  <c r="AJ90" i="26"/>
  <c r="AL90" i="26" s="1"/>
  <c r="AN90" i="26" s="1"/>
  <c r="AJ92" i="26"/>
  <c r="AL92" i="26" s="1"/>
  <c r="AN92" i="26" s="1"/>
  <c r="AJ82" i="26"/>
  <c r="AL82" i="26" s="1"/>
  <c r="AN82" i="26" s="1"/>
  <c r="AZ36" i="27" l="1"/>
  <c r="BR38" i="27"/>
  <c r="AE79" i="25"/>
  <c r="AG79" i="25" s="1"/>
  <c r="AN38" i="27"/>
  <c r="V35" i="27"/>
  <c r="AH38" i="27"/>
  <c r="AT36" i="27"/>
  <c r="AN35" i="27"/>
  <c r="AN24" i="27"/>
  <c r="AN31" i="27"/>
  <c r="BL35" i="27"/>
  <c r="AH36" i="27"/>
  <c r="AZ23" i="27"/>
  <c r="BR30" i="27"/>
  <c r="BR26" i="27"/>
  <c r="AZ24" i="27"/>
  <c r="AB36" i="27"/>
  <c r="V38" i="27"/>
  <c r="BL12" i="27"/>
  <c r="BL32" i="27"/>
  <c r="AT38" i="27"/>
  <c r="AQ46" i="25"/>
  <c r="AS46" i="25" s="1"/>
  <c r="S50" i="25"/>
  <c r="U50" i="25" s="1"/>
  <c r="AE73" i="25"/>
  <c r="AG73" i="25" s="1"/>
  <c r="L81" i="25"/>
  <c r="BO82" i="25"/>
  <c r="BQ82" i="25" s="1"/>
  <c r="M46" i="25"/>
  <c r="M52" i="25"/>
  <c r="BI83" i="25"/>
  <c r="BK83" i="25" s="1"/>
  <c r="L76" i="25"/>
  <c r="O8" i="25"/>
  <c r="O41" i="25"/>
  <c r="AW83" i="25"/>
  <c r="AY83" i="25" s="1"/>
  <c r="Y81" i="25"/>
  <c r="AA81" i="25" s="1"/>
  <c r="L10" i="25"/>
  <c r="AK78" i="25"/>
  <c r="AM78" i="25" s="1"/>
  <c r="AE44" i="25"/>
  <c r="AG44" i="25" s="1"/>
  <c r="AW39" i="25"/>
  <c r="AY39" i="25" s="1"/>
  <c r="AQ60" i="25"/>
  <c r="AS60" i="25" s="1"/>
  <c r="AE64" i="25"/>
  <c r="AG64" i="25" s="1"/>
  <c r="O86" i="25"/>
  <c r="M14" i="25"/>
  <c r="AE55" i="25"/>
  <c r="AG55" i="25" s="1"/>
  <c r="L5" i="25"/>
  <c r="N5" i="25" s="1"/>
  <c r="O61" i="25"/>
  <c r="M13" i="25"/>
  <c r="L91" i="25"/>
  <c r="O62" i="25"/>
  <c r="L45" i="25"/>
  <c r="BO92" i="25"/>
  <c r="BQ92" i="25" s="1"/>
  <c r="L52" i="25"/>
  <c r="G82" i="25"/>
  <c r="AK71" i="25"/>
  <c r="AM71" i="25" s="1"/>
  <c r="AK57" i="25"/>
  <c r="AM57" i="25" s="1"/>
  <c r="AE54" i="25"/>
  <c r="AG54" i="25" s="1"/>
  <c r="S39" i="25"/>
  <c r="U39" i="25" s="1"/>
  <c r="AQ69" i="25"/>
  <c r="AS69" i="25" s="1"/>
  <c r="AE45" i="25"/>
  <c r="AG45" i="25" s="1"/>
  <c r="AK80" i="25"/>
  <c r="AM80" i="25" s="1"/>
  <c r="M85" i="25"/>
  <c r="O84" i="25"/>
  <c r="M53" i="25"/>
  <c r="M44" i="25"/>
  <c r="BU86" i="25"/>
  <c r="BW86" i="25" s="1"/>
  <c r="L39" i="25"/>
  <c r="AW78" i="25"/>
  <c r="AY78" i="25" s="1"/>
  <c r="L17" i="25"/>
  <c r="G91" i="25"/>
  <c r="BT91" i="25" s="1"/>
  <c r="BV91" i="25" s="1"/>
  <c r="G90" i="25"/>
  <c r="G86" i="25"/>
  <c r="BT86" i="25" s="1"/>
  <c r="BV86" i="25" s="1"/>
  <c r="G87" i="25"/>
  <c r="G80" i="25"/>
  <c r="G85" i="25"/>
  <c r="BT85" i="25" s="1"/>
  <c r="BV85" i="25" s="1"/>
  <c r="G83" i="25"/>
  <c r="M19" i="25"/>
  <c r="G79" i="25"/>
  <c r="BT79" i="25" s="1"/>
  <c r="BV79" i="25" s="1"/>
  <c r="AE86" i="25"/>
  <c r="AG86" i="25" s="1"/>
  <c r="O22" i="25"/>
  <c r="AK51" i="25"/>
  <c r="AM51" i="25" s="1"/>
  <c r="AQ88" i="25"/>
  <c r="AS88" i="25" s="1"/>
  <c r="M72" i="25"/>
  <c r="BO80" i="25"/>
  <c r="BQ80" i="25" s="1"/>
  <c r="AK89" i="25"/>
  <c r="AM89" i="25" s="1"/>
  <c r="M40" i="25"/>
  <c r="N40" i="25" s="1"/>
  <c r="P40" i="25" s="1"/>
  <c r="O14" i="25"/>
  <c r="G81" i="25"/>
  <c r="G84" i="25"/>
  <c r="S86" i="25"/>
  <c r="U86" i="25" s="1"/>
  <c r="O28" i="25"/>
  <c r="L59" i="25"/>
  <c r="N59" i="25" s="1"/>
  <c r="P59" i="25" s="1"/>
  <c r="G78" i="25"/>
  <c r="BT78" i="25" s="1"/>
  <c r="BV78" i="25" s="1"/>
  <c r="L58" i="25"/>
  <c r="AK62" i="25"/>
  <c r="AM62" i="25" s="1"/>
  <c r="M17" i="25"/>
  <c r="AK88" i="25"/>
  <c r="AM88" i="25" s="1"/>
  <c r="AW85" i="25"/>
  <c r="AY85" i="25" s="1"/>
  <c r="M69" i="25"/>
  <c r="AK53" i="25"/>
  <c r="AM53" i="25" s="1"/>
  <c r="AQ44" i="25"/>
  <c r="AS44" i="25" s="1"/>
  <c r="AK58" i="25"/>
  <c r="AM58" i="25" s="1"/>
  <c r="BC52" i="25"/>
  <c r="BE52" i="25" s="1"/>
  <c r="S74" i="25"/>
  <c r="U74" i="25" s="1"/>
  <c r="S69" i="25"/>
  <c r="U69" i="25" s="1"/>
  <c r="AK76" i="25"/>
  <c r="AM76" i="25" s="1"/>
  <c r="AE67" i="25"/>
  <c r="AG67" i="25" s="1"/>
  <c r="AK79" i="25"/>
  <c r="AM79" i="25" s="1"/>
  <c r="M4" i="25"/>
  <c r="BC62" i="25"/>
  <c r="BE62" i="25" s="1"/>
  <c r="AQ43" i="25"/>
  <c r="AS43" i="25" s="1"/>
  <c r="AE59" i="25"/>
  <c r="AG59" i="25" s="1"/>
  <c r="AK42" i="25"/>
  <c r="AM42" i="25" s="1"/>
  <c r="AE51" i="25"/>
  <c r="AG51" i="25" s="1"/>
  <c r="AK39" i="25"/>
  <c r="AM39" i="25" s="1"/>
  <c r="AW40" i="25"/>
  <c r="AY40" i="25" s="1"/>
  <c r="AQ40" i="25"/>
  <c r="AS40" i="25" s="1"/>
  <c r="AQ56" i="25"/>
  <c r="AS56" i="25" s="1"/>
  <c r="AQ70" i="25"/>
  <c r="AS70" i="25" s="1"/>
  <c r="AQ47" i="25"/>
  <c r="AS47" i="25" s="1"/>
  <c r="AQ73" i="25"/>
  <c r="AS73" i="25" s="1"/>
  <c r="AK61" i="25"/>
  <c r="AM61" i="25" s="1"/>
  <c r="AE72" i="25"/>
  <c r="AG72" i="25" s="1"/>
  <c r="O74" i="25"/>
  <c r="L70" i="25"/>
  <c r="M56" i="25"/>
  <c r="L23" i="25"/>
  <c r="BC83" i="25"/>
  <c r="BE83" i="25" s="1"/>
  <c r="BI91" i="25"/>
  <c r="BK91" i="25" s="1"/>
  <c r="BC76" i="25"/>
  <c r="BE76" i="25" s="1"/>
  <c r="BU82" i="25"/>
  <c r="BW82" i="25" s="1"/>
  <c r="M74" i="25"/>
  <c r="L20" i="25"/>
  <c r="L6" i="25"/>
  <c r="L48" i="25"/>
  <c r="M86" i="25"/>
  <c r="O57" i="25"/>
  <c r="O26" i="25"/>
  <c r="O66" i="25"/>
  <c r="AK81" i="25"/>
  <c r="AM81" i="25" s="1"/>
  <c r="BT92" i="25"/>
  <c r="BV92" i="25" s="1"/>
  <c r="M89" i="25"/>
  <c r="M39" i="25"/>
  <c r="N39" i="25" s="1"/>
  <c r="P39" i="25" s="1"/>
  <c r="M15" i="25"/>
  <c r="M57" i="25"/>
  <c r="L71" i="25"/>
  <c r="O4" i="25"/>
  <c r="O37" i="25"/>
  <c r="O46" i="25"/>
  <c r="AW84" i="25"/>
  <c r="AY84" i="25" s="1"/>
  <c r="BU80" i="25"/>
  <c r="BW80" i="25" s="1"/>
  <c r="O19" i="25"/>
  <c r="L66" i="25"/>
  <c r="AE43" i="25"/>
  <c r="AG43" i="25" s="1"/>
  <c r="L64" i="25"/>
  <c r="S89" i="25"/>
  <c r="U89" i="25" s="1"/>
  <c r="BC75" i="25"/>
  <c r="BE75" i="25" s="1"/>
  <c r="BO83" i="25"/>
  <c r="BQ83" i="25" s="1"/>
  <c r="BI87" i="25"/>
  <c r="BK87" i="25" s="1"/>
  <c r="AK66" i="25"/>
  <c r="AM66" i="25" s="1"/>
  <c r="O78" i="25"/>
  <c r="AW90" i="25"/>
  <c r="AY90" i="25" s="1"/>
  <c r="AE85" i="25"/>
  <c r="AG85" i="25" s="1"/>
  <c r="AE74" i="25"/>
  <c r="AG74" i="25" s="1"/>
  <c r="G88" i="25"/>
  <c r="G77" i="25"/>
  <c r="O51" i="25"/>
  <c r="AE53" i="25"/>
  <c r="AG53" i="25" s="1"/>
  <c r="L15" i="25"/>
  <c r="AW81" i="25"/>
  <c r="AY81" i="25" s="1"/>
  <c r="AK69" i="25"/>
  <c r="AM69" i="25" s="1"/>
  <c r="AK65" i="25"/>
  <c r="AM65" i="25" s="1"/>
  <c r="BC92" i="25"/>
  <c r="BE92" i="25" s="1"/>
  <c r="AK48" i="25"/>
  <c r="AM48" i="25" s="1"/>
  <c r="S55" i="25"/>
  <c r="U55" i="25" s="1"/>
  <c r="BC39" i="25"/>
  <c r="BE39" i="25" s="1"/>
  <c r="AK43" i="25"/>
  <c r="AM43" i="25" s="1"/>
  <c r="AE61" i="25"/>
  <c r="AG61" i="25" s="1"/>
  <c r="AQ48" i="25"/>
  <c r="AS48" i="25" s="1"/>
  <c r="AQ59" i="25"/>
  <c r="AS59" i="25" s="1"/>
  <c r="AE39" i="25"/>
  <c r="AG39" i="25" s="1"/>
  <c r="AQ49" i="25"/>
  <c r="AS49" i="25" s="1"/>
  <c r="S61" i="25"/>
  <c r="U61" i="25" s="1"/>
  <c r="AQ71" i="25"/>
  <c r="AS71" i="25" s="1"/>
  <c r="AQ51" i="25"/>
  <c r="AS51" i="25" s="1"/>
  <c r="S76" i="25"/>
  <c r="U76" i="25" s="1"/>
  <c r="AK64" i="25"/>
  <c r="AM64" i="25" s="1"/>
  <c r="AE47" i="25"/>
  <c r="AG47" i="25" s="1"/>
  <c r="Y82" i="25"/>
  <c r="AA82" i="25" s="1"/>
  <c r="O42" i="25"/>
  <c r="L22" i="25"/>
  <c r="M22" i="25"/>
  <c r="M88" i="25"/>
  <c r="BI89" i="25"/>
  <c r="BK89" i="25" s="1"/>
  <c r="AK77" i="25"/>
  <c r="AM77" i="25" s="1"/>
  <c r="BO84" i="25"/>
  <c r="BQ84" i="25" s="1"/>
  <c r="BC88" i="25"/>
  <c r="BE88" i="25" s="1"/>
  <c r="AE70" i="25"/>
  <c r="AG70" i="25" s="1"/>
  <c r="L75" i="25"/>
  <c r="M41" i="25"/>
  <c r="L29" i="25"/>
  <c r="L32" i="25"/>
  <c r="M71" i="25"/>
  <c r="O11" i="25"/>
  <c r="O56" i="25"/>
  <c r="O76" i="25"/>
  <c r="BU88" i="25"/>
  <c r="BW88" i="25" s="1"/>
  <c r="M28" i="25"/>
  <c r="M10" i="25"/>
  <c r="L50" i="25"/>
  <c r="L47" i="25"/>
  <c r="L27" i="25"/>
  <c r="M73" i="25"/>
  <c r="O25" i="25"/>
  <c r="O83" i="25"/>
  <c r="BU78" i="25"/>
  <c r="BW78" i="25" s="1"/>
  <c r="BO91" i="25"/>
  <c r="BQ91" i="25" s="1"/>
  <c r="O59" i="25"/>
  <c r="O20" i="25"/>
  <c r="L42" i="25"/>
  <c r="L88" i="25"/>
  <c r="L4" i="25"/>
  <c r="AK83" i="25"/>
  <c r="AM83" i="25" s="1"/>
  <c r="Y90" i="25"/>
  <c r="AA90" i="25" s="1"/>
  <c r="AK74" i="25"/>
  <c r="AM74" i="25" s="1"/>
  <c r="AQ81" i="25"/>
  <c r="AS81" i="25" s="1"/>
  <c r="AQ83" i="25"/>
  <c r="AS83" i="25" s="1"/>
  <c r="L41" i="25"/>
  <c r="M62" i="25"/>
  <c r="AE78" i="25"/>
  <c r="AG78" i="25" s="1"/>
  <c r="AQ89" i="25"/>
  <c r="AS89" i="25" s="1"/>
  <c r="O64" i="25"/>
  <c r="G89" i="25"/>
  <c r="L18" i="25"/>
  <c r="AK70" i="25"/>
  <c r="AM70" i="25" s="1"/>
  <c r="AE84" i="25"/>
  <c r="AG84" i="25" s="1"/>
  <c r="O55" i="25"/>
  <c r="O65" i="25"/>
  <c r="O18" i="25"/>
  <c r="L90" i="25"/>
  <c r="L87" i="25"/>
  <c r="S71" i="25"/>
  <c r="U71" i="25" s="1"/>
  <c r="BC41" i="25"/>
  <c r="BE41" i="25" s="1"/>
  <c r="AK44" i="25"/>
  <c r="AM44" i="25" s="1"/>
  <c r="BC42" i="25"/>
  <c r="BE42" i="25" s="1"/>
  <c r="AQ58" i="25"/>
  <c r="AS58" i="25" s="1"/>
  <c r="S48" i="25"/>
  <c r="U48" i="25" s="1"/>
  <c r="AK52" i="25"/>
  <c r="AM52" i="25" s="1"/>
  <c r="O32" i="25"/>
  <c r="M37" i="25"/>
  <c r="L56" i="25"/>
  <c r="N56" i="25" s="1"/>
  <c r="P56" i="25" s="1"/>
  <c r="M36" i="25"/>
  <c r="AW88" i="25"/>
  <c r="AY88" i="25" s="1"/>
  <c r="AE68" i="25"/>
  <c r="AG68" i="25" s="1"/>
  <c r="BC82" i="25"/>
  <c r="BE82" i="25" s="1"/>
  <c r="BI86" i="25"/>
  <c r="BK86" i="25" s="1"/>
  <c r="M27" i="25"/>
  <c r="L8" i="25"/>
  <c r="L73" i="25"/>
  <c r="M21" i="25"/>
  <c r="L37" i="25"/>
  <c r="O15" i="25"/>
  <c r="O67" i="25"/>
  <c r="O87" i="25"/>
  <c r="BC89" i="25"/>
  <c r="BE89" i="25" s="1"/>
  <c r="L44" i="25"/>
  <c r="M33" i="25"/>
  <c r="M78" i="25"/>
  <c r="L85" i="25"/>
  <c r="M26" i="25"/>
  <c r="O29" i="25"/>
  <c r="O73" i="25"/>
  <c r="O39" i="25"/>
  <c r="Y80" i="25"/>
  <c r="AA80" i="25" s="1"/>
  <c r="AQ84" i="25"/>
  <c r="AS84" i="25" s="1"/>
  <c r="O92" i="25"/>
  <c r="L54" i="25"/>
  <c r="M7" i="25"/>
  <c r="L72" i="25"/>
  <c r="BU90" i="25"/>
  <c r="BW90" i="25" s="1"/>
  <c r="BU79" i="25"/>
  <c r="BW79" i="25" s="1"/>
  <c r="S85" i="25"/>
  <c r="U85" i="25" s="1"/>
  <c r="Y89" i="25"/>
  <c r="AA89" i="25" s="1"/>
  <c r="S75" i="25"/>
  <c r="U75" i="25" s="1"/>
  <c r="O75" i="25"/>
  <c r="M45" i="25"/>
  <c r="AE48" i="25"/>
  <c r="AG48" i="25" s="1"/>
  <c r="BI88" i="25"/>
  <c r="BK88" i="25" s="1"/>
  <c r="S79" i="25"/>
  <c r="U79" i="25" s="1"/>
  <c r="O91" i="25"/>
  <c r="BO89" i="25"/>
  <c r="BQ89" i="25" s="1"/>
  <c r="M93" i="25"/>
  <c r="L38" i="25"/>
  <c r="M80" i="25"/>
  <c r="M60" i="25"/>
  <c r="M61" i="25"/>
  <c r="AK63" i="25"/>
  <c r="AM63" i="25" s="1"/>
  <c r="AE58" i="25"/>
  <c r="AG58" i="25" s="1"/>
  <c r="AK50" i="25"/>
  <c r="AM50" i="25" s="1"/>
  <c r="AK45" i="25"/>
  <c r="AM45" i="25" s="1"/>
  <c r="AW63" i="25"/>
  <c r="AY63" i="25" s="1"/>
  <c r="BC50" i="25"/>
  <c r="BE50" i="25" s="1"/>
  <c r="AK47" i="25"/>
  <c r="AM47" i="25" s="1"/>
  <c r="BC71" i="25"/>
  <c r="BE71" i="25" s="1"/>
  <c r="S52" i="25"/>
  <c r="U52" i="25" s="1"/>
  <c r="AK41" i="25"/>
  <c r="AM41" i="25" s="1"/>
  <c r="AW65" i="25"/>
  <c r="AY65" i="25" s="1"/>
  <c r="AW41" i="25"/>
  <c r="AY41" i="25" s="1"/>
  <c r="AE40" i="25"/>
  <c r="AG40" i="25" s="1"/>
  <c r="AQ39" i="25"/>
  <c r="AS39" i="25" s="1"/>
  <c r="S41" i="25"/>
  <c r="U41" i="25" s="1"/>
  <c r="AQ65" i="25"/>
  <c r="AS65" i="25" s="1"/>
  <c r="S65" i="25"/>
  <c r="U65" i="25" s="1"/>
  <c r="AQ61" i="25"/>
  <c r="AS61" i="25" s="1"/>
  <c r="AQ52" i="25"/>
  <c r="AS52" i="25" s="1"/>
  <c r="AQ42" i="25"/>
  <c r="AS42" i="25" s="1"/>
  <c r="AQ54" i="25"/>
  <c r="AS54" i="25" s="1"/>
  <c r="S54" i="25"/>
  <c r="U54" i="25" s="1"/>
  <c r="BC77" i="25"/>
  <c r="BE77" i="25" s="1"/>
  <c r="AK67" i="25"/>
  <c r="AM67" i="25" s="1"/>
  <c r="AE65" i="25"/>
  <c r="AG65" i="25" s="1"/>
  <c r="AE42" i="25"/>
  <c r="AG42" i="25" s="1"/>
  <c r="AE56" i="25"/>
  <c r="AG56" i="25" s="1"/>
  <c r="AE50" i="25"/>
  <c r="AG50" i="25" s="1"/>
  <c r="F77" i="25"/>
  <c r="AQ85" i="25"/>
  <c r="AS85" i="25" s="1"/>
  <c r="O47" i="25"/>
  <c r="O43" i="25"/>
  <c r="O5" i="25"/>
  <c r="M79" i="25"/>
  <c r="L65" i="25"/>
  <c r="N65" i="25" s="1"/>
  <c r="P65" i="25" s="1"/>
  <c r="L19" i="25"/>
  <c r="L46" i="25"/>
  <c r="M34" i="25"/>
  <c r="M9" i="25"/>
  <c r="AQ91" i="25"/>
  <c r="AS91" i="25" s="1"/>
  <c r="BO85" i="25"/>
  <c r="BQ85" i="25" s="1"/>
  <c r="BC79" i="25"/>
  <c r="BE79" i="25" s="1"/>
  <c r="AK49" i="25"/>
  <c r="AM49" i="25" s="1"/>
  <c r="BC86" i="25"/>
  <c r="BE86" i="25" s="1"/>
  <c r="Y78" i="25"/>
  <c r="AA78" i="25" s="1"/>
  <c r="BC90" i="25"/>
  <c r="BE90" i="25" s="1"/>
  <c r="AE83" i="25"/>
  <c r="AG83" i="25" s="1"/>
  <c r="AK75" i="25"/>
  <c r="AM75" i="25" s="1"/>
  <c r="M38" i="25"/>
  <c r="N38" i="25" s="1"/>
  <c r="P38" i="25" s="1"/>
  <c r="L49" i="25"/>
  <c r="M25" i="25"/>
  <c r="M66" i="25"/>
  <c r="M70" i="25"/>
  <c r="L34" i="25"/>
  <c r="L77" i="25"/>
  <c r="L80" i="25"/>
  <c r="M18" i="25"/>
  <c r="L93" i="25"/>
  <c r="O21" i="25"/>
  <c r="O7" i="25"/>
  <c r="O34" i="25"/>
  <c r="O49" i="25"/>
  <c r="O38" i="25"/>
  <c r="O58" i="25"/>
  <c r="Y79" i="25"/>
  <c r="AA79" i="25" s="1"/>
  <c r="AW86" i="25"/>
  <c r="AY86" i="25" s="1"/>
  <c r="BU92" i="25"/>
  <c r="BW92" i="25" s="1"/>
  <c r="F80" i="25"/>
  <c r="F64" i="25"/>
  <c r="M51" i="25"/>
  <c r="M54" i="25"/>
  <c r="M30" i="25"/>
  <c r="M20" i="25"/>
  <c r="M82" i="25"/>
  <c r="L24" i="25"/>
  <c r="L30" i="25"/>
  <c r="L92" i="25"/>
  <c r="M8" i="25"/>
  <c r="N8" i="25" s="1"/>
  <c r="P8" i="25" s="1"/>
  <c r="L84" i="25"/>
  <c r="M48" i="25"/>
  <c r="O31" i="25"/>
  <c r="O16" i="25"/>
  <c r="O72" i="25"/>
  <c r="O68" i="25"/>
  <c r="O88" i="25"/>
  <c r="O89" i="25"/>
  <c r="Y83" i="25"/>
  <c r="AA83" i="25" s="1"/>
  <c r="S90" i="25"/>
  <c r="U90" i="25" s="1"/>
  <c r="F83" i="25"/>
  <c r="F67" i="25"/>
  <c r="F70" i="25"/>
  <c r="AQ87" i="25"/>
  <c r="AS87" i="25" s="1"/>
  <c r="O71" i="25"/>
  <c r="O52" i="25"/>
  <c r="O10" i="25"/>
  <c r="L61" i="25"/>
  <c r="N61" i="25" s="1"/>
  <c r="P61" i="25" s="1"/>
  <c r="L7" i="25"/>
  <c r="L21" i="25"/>
  <c r="L89" i="25"/>
  <c r="L68" i="25"/>
  <c r="M32" i="25"/>
  <c r="S92" i="25"/>
  <c r="U92" i="25" s="1"/>
  <c r="AQ86" i="25"/>
  <c r="AS86" i="25" s="1"/>
  <c r="BC80" i="25"/>
  <c r="BE80" i="25" s="1"/>
  <c r="AK55" i="25"/>
  <c r="AM55" i="25" s="1"/>
  <c r="BO87" i="25"/>
  <c r="BQ87" i="25" s="1"/>
  <c r="AE80" i="25"/>
  <c r="AG80" i="25" s="1"/>
  <c r="AW91" i="25"/>
  <c r="AY91" i="25" s="1"/>
  <c r="AK85" i="25"/>
  <c r="AM85" i="25" s="1"/>
  <c r="BC78" i="25"/>
  <c r="BE78" i="25" s="1"/>
  <c r="F81" i="25"/>
  <c r="BT81" i="25" s="1"/>
  <c r="BV81" i="25" s="1"/>
  <c r="O40" i="25"/>
  <c r="O35" i="25"/>
  <c r="L36" i="25"/>
  <c r="M29" i="25"/>
  <c r="M67" i="25"/>
  <c r="BI84" i="25"/>
  <c r="BK84" i="25" s="1"/>
  <c r="AW92" i="25"/>
  <c r="AY92" i="25" s="1"/>
  <c r="BO78" i="25"/>
  <c r="BQ78" i="25" s="1"/>
  <c r="S82" i="25"/>
  <c r="U82" i="25" s="1"/>
  <c r="AQ82" i="25"/>
  <c r="AS82" i="25" s="1"/>
  <c r="O9" i="25"/>
  <c r="O54" i="25"/>
  <c r="L31" i="25"/>
  <c r="M84" i="25"/>
  <c r="L14" i="25"/>
  <c r="S78" i="25"/>
  <c r="U78" i="25" s="1"/>
  <c r="AW80" i="25"/>
  <c r="AY80" i="25" s="1"/>
  <c r="S80" i="25"/>
  <c r="U80" i="25" s="1"/>
  <c r="O6" i="25"/>
  <c r="L86" i="25"/>
  <c r="Y85" i="25"/>
  <c r="AA85" i="25" s="1"/>
  <c r="S91" i="25"/>
  <c r="U91" i="25" s="1"/>
  <c r="O45" i="25"/>
  <c r="AE92" i="25"/>
  <c r="AG92" i="25" s="1"/>
  <c r="BC87" i="25"/>
  <c r="BE87" i="25" s="1"/>
  <c r="BU89" i="25"/>
  <c r="BW89" i="25" s="1"/>
  <c r="M91" i="25"/>
  <c r="AK84" i="25"/>
  <c r="AM84" i="25" s="1"/>
  <c r="AW87" i="25"/>
  <c r="AY87" i="25" s="1"/>
  <c r="S87" i="25"/>
  <c r="U87" i="25" s="1"/>
  <c r="L26" i="25"/>
  <c r="BU83" i="25"/>
  <c r="BW83" i="25" s="1"/>
  <c r="BI85" i="25"/>
  <c r="BK85" i="25" s="1"/>
  <c r="BO79" i="25"/>
  <c r="BQ79" i="25" s="1"/>
  <c r="L63" i="25"/>
  <c r="BI80" i="25"/>
  <c r="BK80" i="25" s="1"/>
  <c r="BI82" i="25"/>
  <c r="BK82" i="25" s="1"/>
  <c r="L11" i="25"/>
  <c r="L53" i="25"/>
  <c r="L13" i="25"/>
  <c r="AE82" i="25"/>
  <c r="AG82" i="25" s="1"/>
  <c r="AK87" i="25"/>
  <c r="AM87" i="25" s="1"/>
  <c r="AW69" i="25"/>
  <c r="AY69" i="25" s="1"/>
  <c r="AK59" i="25"/>
  <c r="AM59" i="25" s="1"/>
  <c r="AE52" i="25"/>
  <c r="AG52" i="25" s="1"/>
  <c r="S42" i="25"/>
  <c r="U42" i="25" s="1"/>
  <c r="BC64" i="25"/>
  <c r="BE64" i="25" s="1"/>
  <c r="S53" i="25"/>
  <c r="U53" i="25" s="1"/>
  <c r="AE46" i="25"/>
  <c r="AG46" i="25" s="1"/>
  <c r="AW73" i="25"/>
  <c r="AY73" i="25" s="1"/>
  <c r="AK54" i="25"/>
  <c r="AM54" i="25" s="1"/>
  <c r="AQ45" i="25"/>
  <c r="AS45" i="25" s="1"/>
  <c r="AK40" i="25"/>
  <c r="AM40" i="25" s="1"/>
  <c r="S67" i="25"/>
  <c r="U67" i="25" s="1"/>
  <c r="AE49" i="25"/>
  <c r="AG49" i="25" s="1"/>
  <c r="AE41" i="25"/>
  <c r="AG41" i="25" s="1"/>
  <c r="AQ41" i="25"/>
  <c r="AS41" i="25" s="1"/>
  <c r="S40" i="25"/>
  <c r="U40" i="25" s="1"/>
  <c r="AQ68" i="25"/>
  <c r="AS68" i="25" s="1"/>
  <c r="AQ67" i="25"/>
  <c r="AS67" i="25" s="1"/>
  <c r="AQ66" i="25"/>
  <c r="AS66" i="25" s="1"/>
  <c r="S57" i="25"/>
  <c r="U57" i="25" s="1"/>
  <c r="S64" i="25"/>
  <c r="U64" i="25" s="1"/>
  <c r="AQ57" i="25"/>
  <c r="AS57" i="25" s="1"/>
  <c r="S62" i="25"/>
  <c r="U62" i="25" s="1"/>
  <c r="AQ53" i="25"/>
  <c r="AS53" i="25" s="1"/>
  <c r="AE77" i="25"/>
  <c r="AG77" i="25" s="1"/>
  <c r="AE71" i="25"/>
  <c r="AG71" i="25" s="1"/>
  <c r="AK73" i="25"/>
  <c r="AM73" i="25" s="1"/>
  <c r="AK60" i="25"/>
  <c r="AM60" i="25" s="1"/>
  <c r="AE63" i="25"/>
  <c r="AG63" i="25" s="1"/>
  <c r="AE57" i="25"/>
  <c r="AG57" i="25" s="1"/>
  <c r="F69" i="25"/>
  <c r="BO88" i="25"/>
  <c r="BQ88" i="25" s="1"/>
  <c r="O82" i="25"/>
  <c r="O63" i="25"/>
  <c r="O13" i="25"/>
  <c r="M87" i="25"/>
  <c r="N87" i="25" s="1"/>
  <c r="P87" i="25" s="1"/>
  <c r="L9" i="25"/>
  <c r="M83" i="25"/>
  <c r="L57" i="25"/>
  <c r="L25" i="25"/>
  <c r="L74" i="25"/>
  <c r="AK92" i="25"/>
  <c r="AM92" i="25" s="1"/>
  <c r="AK86" i="25"/>
  <c r="AM86" i="25" s="1"/>
  <c r="AQ80" i="25"/>
  <c r="AS80" i="25" s="1"/>
  <c r="AE60" i="25"/>
  <c r="AG60" i="25" s="1"/>
  <c r="Y87" i="25"/>
  <c r="AA87" i="25" s="1"/>
  <c r="BO81" i="25"/>
  <c r="BQ81" i="25" s="1"/>
  <c r="BC91" i="25"/>
  <c r="BE91" i="25" s="1"/>
  <c r="BU85" i="25"/>
  <c r="BW85" i="25" s="1"/>
  <c r="BI78" i="25"/>
  <c r="BK78" i="25" s="1"/>
  <c r="L55" i="25"/>
  <c r="L78" i="25"/>
  <c r="M6" i="25"/>
  <c r="N6" i="25" s="1"/>
  <c r="P6" i="25" s="1"/>
  <c r="M75" i="25"/>
  <c r="N75" i="25" s="1"/>
  <c r="P75" i="25" s="1"/>
  <c r="L43" i="25"/>
  <c r="M11" i="25"/>
  <c r="N11" i="25" s="1"/>
  <c r="P11" i="25" s="1"/>
  <c r="L40" i="25"/>
  <c r="L51" i="25"/>
  <c r="N51" i="25" s="1"/>
  <c r="P51" i="25" s="1"/>
  <c r="M23" i="25"/>
  <c r="L62" i="25"/>
  <c r="L67" i="25"/>
  <c r="O3" i="25"/>
  <c r="O24" i="25"/>
  <c r="O36" i="25"/>
  <c r="O81" i="25"/>
  <c r="O44" i="25"/>
  <c r="AQ78" i="25"/>
  <c r="AS78" i="25" s="1"/>
  <c r="Y84" i="25"/>
  <c r="AA84" i="25" s="1"/>
  <c r="BU91" i="25"/>
  <c r="BW91" i="25" s="1"/>
  <c r="F84" i="25"/>
  <c r="BT84" i="25" s="1"/>
  <c r="BV84" i="25" s="1"/>
  <c r="F68" i="25"/>
  <c r="M50" i="25"/>
  <c r="L82" i="25"/>
  <c r="L83" i="25"/>
  <c r="L28" i="25"/>
  <c r="M47" i="25"/>
  <c r="L3" i="25"/>
  <c r="M63" i="25"/>
  <c r="N63" i="25" s="1"/>
  <c r="P63" i="25" s="1"/>
  <c r="M58" i="25"/>
  <c r="L16" i="25"/>
  <c r="M49" i="25"/>
  <c r="N49" i="25" s="1"/>
  <c r="P49" i="25" s="1"/>
  <c r="M77" i="25"/>
  <c r="N77" i="25" s="1"/>
  <c r="P77" i="25" s="1"/>
  <c r="O70" i="25"/>
  <c r="O12" i="25"/>
  <c r="O27" i="25"/>
  <c r="O60" i="25"/>
  <c r="O69" i="25"/>
  <c r="O77" i="25"/>
  <c r="BI81" i="25"/>
  <c r="BK81" i="25" s="1"/>
  <c r="S88" i="25"/>
  <c r="U88" i="25" s="1"/>
  <c r="F87" i="25"/>
  <c r="F71" i="25"/>
  <c r="BO90" i="25"/>
  <c r="BQ90" i="25" s="1"/>
  <c r="O93" i="25"/>
  <c r="O80" i="25"/>
  <c r="O23" i="25"/>
  <c r="L60" i="25"/>
  <c r="M16" i="25"/>
  <c r="M81" i="25"/>
  <c r="M35" i="25"/>
  <c r="N35" i="25" s="1"/>
  <c r="P35" i="25" s="1"/>
  <c r="L79" i="25"/>
  <c r="L33" i="25"/>
  <c r="AK46" i="25"/>
  <c r="AM46" i="25" s="1"/>
  <c r="AE87" i="25"/>
  <c r="AG87" i="25" s="1"/>
  <c r="AE81" i="25"/>
  <c r="AG81" i="25" s="1"/>
  <c r="AK68" i="25"/>
  <c r="AM68" i="25" s="1"/>
  <c r="AE89" i="25"/>
  <c r="AG89" i="25" s="1"/>
  <c r="AW82" i="25"/>
  <c r="AY82" i="25" s="1"/>
  <c r="AQ92" i="25"/>
  <c r="AS92" i="25" s="1"/>
  <c r="Y86" i="25"/>
  <c r="AA86" i="25" s="1"/>
  <c r="BI79" i="25"/>
  <c r="BK79" i="25" s="1"/>
  <c r="F65" i="25"/>
  <c r="O90" i="25"/>
  <c r="O17" i="25"/>
  <c r="M12" i="25"/>
  <c r="M90" i="25"/>
  <c r="L69" i="25"/>
  <c r="BU87" i="25"/>
  <c r="BW87" i="25" s="1"/>
  <c r="AE66" i="25"/>
  <c r="AG66" i="25" s="1"/>
  <c r="BC81" i="25"/>
  <c r="BE81" i="25" s="1"/>
  <c r="BO86" i="25"/>
  <c r="BQ86" i="25" s="1"/>
  <c r="F82" i="25"/>
  <c r="BT82" i="25" s="1"/>
  <c r="BV82" i="25" s="1"/>
  <c r="Y92" i="25"/>
  <c r="AA92" i="25" s="1"/>
  <c r="O48" i="25"/>
  <c r="BC85" i="25"/>
  <c r="BE85" i="25" s="1"/>
  <c r="M92" i="25"/>
  <c r="L12" i="25"/>
  <c r="M24" i="25"/>
  <c r="AK82" i="25"/>
  <c r="AM82" i="25" s="1"/>
  <c r="BU84" i="25"/>
  <c r="BW84" i="25" s="1"/>
  <c r="BC84" i="25"/>
  <c r="BE84" i="25" s="1"/>
  <c r="O79" i="25"/>
  <c r="M43" i="25"/>
  <c r="Y88" i="25"/>
  <c r="AA88" i="25" s="1"/>
  <c r="S83" i="25"/>
  <c r="U83" i="25" s="1"/>
  <c r="F89" i="25"/>
  <c r="BT89" i="25" s="1"/>
  <c r="BV89" i="25" s="1"/>
  <c r="BX89" i="25" s="1"/>
  <c r="M55" i="25"/>
  <c r="AQ79" i="25"/>
  <c r="AS79" i="25" s="1"/>
  <c r="M68" i="25"/>
  <c r="AK91" i="25"/>
  <c r="AM91" i="25" s="1"/>
  <c r="S77" i="25"/>
  <c r="U77" i="25" s="1"/>
  <c r="M31" i="25"/>
  <c r="Y91" i="25"/>
  <c r="AA91" i="25" s="1"/>
  <c r="AE69" i="25"/>
  <c r="AG69" i="25" s="1"/>
  <c r="M76" i="25"/>
  <c r="AE88" i="25"/>
  <c r="AG88" i="25" s="1"/>
  <c r="AK90" i="25"/>
  <c r="AM90" i="25" s="1"/>
  <c r="G76" i="25"/>
  <c r="BT76" i="25" s="1"/>
  <c r="BV76" i="25" s="1"/>
  <c r="G75" i="25"/>
  <c r="F62" i="25"/>
  <c r="O33" i="25"/>
  <c r="AQ90" i="25"/>
  <c r="AS90" i="25" s="1"/>
  <c r="M64" i="25"/>
  <c r="S81" i="25"/>
  <c r="U81" i="25" s="1"/>
  <c r="AW79" i="25"/>
  <c r="AY79" i="25" s="1"/>
  <c r="F73" i="25"/>
  <c r="M42" i="25"/>
  <c r="AE90" i="25"/>
  <c r="AG90" i="25" s="1"/>
  <c r="F90" i="25"/>
  <c r="O85" i="25"/>
  <c r="BU81" i="25"/>
  <c r="BW81" i="25" s="1"/>
  <c r="N79" i="25"/>
  <c r="P79" i="25" s="1"/>
  <c r="BR35" i="27"/>
  <c r="AN36" i="27"/>
  <c r="AZ37" i="27"/>
  <c r="AT35" i="27"/>
  <c r="AZ38" i="27"/>
  <c r="BR36" i="27"/>
  <c r="AN37" i="27"/>
  <c r="AB37" i="27"/>
  <c r="V36" i="27"/>
  <c r="V37" i="27"/>
  <c r="BL36" i="27"/>
  <c r="BL38" i="27"/>
  <c r="AH35" i="27"/>
  <c r="BR34" i="27"/>
  <c r="S36" i="25"/>
  <c r="U36" i="25" s="1"/>
  <c r="AN30" i="27"/>
  <c r="AB26" i="27"/>
  <c r="AT32" i="27"/>
  <c r="AH24" i="27"/>
  <c r="AH27" i="27"/>
  <c r="AZ25" i="27"/>
  <c r="BL23" i="27"/>
  <c r="AB30" i="27"/>
  <c r="AT21" i="27"/>
  <c r="AT30" i="27"/>
  <c r="AB24" i="27"/>
  <c r="BL33" i="27"/>
  <c r="AZ27" i="27"/>
  <c r="AZ32" i="27"/>
  <c r="AZ34" i="27"/>
  <c r="BR33" i="27"/>
  <c r="BR31" i="27"/>
  <c r="AB34" i="27"/>
  <c r="AT33" i="27"/>
  <c r="AT28" i="27"/>
  <c r="V29" i="27"/>
  <c r="V24" i="27"/>
  <c r="V25" i="27"/>
  <c r="BL22" i="27"/>
  <c r="AH22" i="27"/>
  <c r="BR24" i="27"/>
  <c r="BL30" i="27"/>
  <c r="AZ22" i="27"/>
  <c r="BR32" i="27"/>
  <c r="BR25" i="27"/>
  <c r="AB32" i="27"/>
  <c r="AB29" i="27"/>
  <c r="AT26" i="27"/>
  <c r="AT24" i="27"/>
  <c r="AT34" i="27"/>
  <c r="AB22" i="27"/>
  <c r="AH23" i="27"/>
  <c r="BL34" i="27"/>
  <c r="AH21" i="27"/>
  <c r="AH30" i="27"/>
  <c r="AZ31" i="27"/>
  <c r="AZ28" i="27"/>
  <c r="BR22" i="27"/>
  <c r="AB33" i="27"/>
  <c r="AT29" i="27"/>
  <c r="AN34" i="27"/>
  <c r="AT27" i="27"/>
  <c r="V21" i="27"/>
  <c r="AH32" i="27"/>
  <c r="AZ26" i="27"/>
  <c r="AZ33" i="27"/>
  <c r="AN28" i="27"/>
  <c r="AN33" i="27"/>
  <c r="AN25" i="27"/>
  <c r="AN26" i="27"/>
  <c r="AB27" i="27"/>
  <c r="AT23" i="27"/>
  <c r="V22" i="27"/>
  <c r="BL31" i="27"/>
  <c r="AH19" i="27"/>
  <c r="AH26" i="27"/>
  <c r="AH29" i="27"/>
  <c r="V34" i="27"/>
  <c r="V32" i="27"/>
  <c r="V8" i="27"/>
  <c r="BR27" i="27"/>
  <c r="AN32" i="27"/>
  <c r="V33" i="27"/>
  <c r="BL24" i="27"/>
  <c r="AH34" i="27"/>
  <c r="BL20" i="27"/>
  <c r="AH31" i="27"/>
  <c r="AH33" i="27"/>
  <c r="AB31" i="27"/>
  <c r="AB23" i="27"/>
  <c r="BL26" i="27"/>
  <c r="AZ21" i="27"/>
  <c r="AZ30" i="27"/>
  <c r="AN21" i="27"/>
  <c r="AN23" i="27"/>
  <c r="AT22" i="27"/>
  <c r="AT31" i="27"/>
  <c r="AB21" i="27"/>
  <c r="BL27" i="27"/>
  <c r="BL29" i="27"/>
  <c r="AN22" i="27"/>
  <c r="V30" i="27"/>
  <c r="V23" i="27"/>
  <c r="AZ29" i="27"/>
  <c r="BR28" i="27"/>
  <c r="BR23" i="27"/>
  <c r="BR21" i="27"/>
  <c r="AB28" i="27"/>
  <c r="AT25" i="27"/>
  <c r="V31" i="27"/>
  <c r="V27" i="27"/>
  <c r="V28" i="27"/>
  <c r="AB25" i="27"/>
  <c r="AH25" i="27"/>
  <c r="BL25" i="27"/>
  <c r="BL28" i="27"/>
  <c r="AH28" i="27"/>
  <c r="AK56" i="25"/>
  <c r="AM56" i="25" s="1"/>
  <c r="AH93" i="27"/>
  <c r="BL16" i="27"/>
  <c r="BL9" i="27"/>
  <c r="AH8" i="27"/>
  <c r="BL15" i="27"/>
  <c r="BL93" i="27"/>
  <c r="BL19" i="27"/>
  <c r="AH11" i="27"/>
  <c r="AH12" i="27"/>
  <c r="AH15" i="27"/>
  <c r="AH10" i="27"/>
  <c r="BL11" i="27"/>
  <c r="BL18" i="27"/>
  <c r="AH9" i="27"/>
  <c r="AH17" i="27"/>
  <c r="BL14" i="27"/>
  <c r="BL8" i="27"/>
  <c r="BL17" i="27"/>
  <c r="V17" i="27"/>
  <c r="BL10" i="27"/>
  <c r="BL13" i="27"/>
  <c r="BR15" i="27"/>
  <c r="V18" i="27"/>
  <c r="V14" i="27"/>
  <c r="S44" i="25"/>
  <c r="U44" i="25" s="1"/>
  <c r="S56" i="25"/>
  <c r="U56" i="25" s="1"/>
  <c r="BC70" i="25"/>
  <c r="BE70" i="25" s="1"/>
  <c r="BC46" i="25"/>
  <c r="BE46" i="25" s="1"/>
  <c r="BC53" i="25"/>
  <c r="BE53" i="25" s="1"/>
  <c r="BC66" i="25"/>
  <c r="BE66" i="25" s="1"/>
  <c r="BC51" i="25"/>
  <c r="BE51" i="25" s="1"/>
  <c r="BC44" i="25"/>
  <c r="BE44" i="25" s="1"/>
  <c r="BC73" i="25"/>
  <c r="BE73" i="25" s="1"/>
  <c r="BC49" i="25"/>
  <c r="BE49" i="25" s="1"/>
  <c r="BC58" i="25"/>
  <c r="BE58" i="25" s="1"/>
  <c r="BC72" i="25"/>
  <c r="BE72" i="25" s="1"/>
  <c r="BC65" i="25"/>
  <c r="BE65" i="25" s="1"/>
  <c r="BC48" i="25"/>
  <c r="BE48" i="25" s="1"/>
  <c r="BC74" i="25"/>
  <c r="BE74" i="25" s="1"/>
  <c r="BC59" i="25"/>
  <c r="BE59" i="25" s="1"/>
  <c r="BC69" i="25"/>
  <c r="BE69" i="25" s="1"/>
  <c r="BC61" i="25"/>
  <c r="BE61" i="25" s="1"/>
  <c r="BC54" i="25"/>
  <c r="BE54" i="25" s="1"/>
  <c r="BC68" i="25"/>
  <c r="BE68" i="25" s="1"/>
  <c r="BC56" i="25"/>
  <c r="BE56" i="25" s="1"/>
  <c r="S68" i="25"/>
  <c r="U68" i="25" s="1"/>
  <c r="S46" i="25"/>
  <c r="U46" i="25" s="1"/>
  <c r="BC35" i="25"/>
  <c r="BE35" i="25" s="1"/>
  <c r="BC40" i="25"/>
  <c r="BE40" i="25" s="1"/>
  <c r="AW48" i="25"/>
  <c r="AY48" i="25" s="1"/>
  <c r="AW68" i="25"/>
  <c r="AY68" i="25" s="1"/>
  <c r="BC57" i="25"/>
  <c r="BE57" i="25" s="1"/>
  <c r="AW36" i="25"/>
  <c r="AY36" i="25" s="1"/>
  <c r="BC47" i="25"/>
  <c r="BE47" i="25" s="1"/>
  <c r="S72" i="25"/>
  <c r="U72" i="25" s="1"/>
  <c r="S59" i="25"/>
  <c r="U59" i="25" s="1"/>
  <c r="S73" i="25"/>
  <c r="U73" i="25" s="1"/>
  <c r="S51" i="25"/>
  <c r="U51" i="25" s="1"/>
  <c r="S63" i="25"/>
  <c r="U63" i="25" s="1"/>
  <c r="AW72" i="25"/>
  <c r="AY72" i="25" s="1"/>
  <c r="S47" i="25"/>
  <c r="U47" i="25" s="1"/>
  <c r="BC67" i="25"/>
  <c r="BE67" i="25" s="1"/>
  <c r="BC43" i="25"/>
  <c r="BE43" i="25" s="1"/>
  <c r="S43" i="25"/>
  <c r="U43" i="25" s="1"/>
  <c r="BC63" i="25"/>
  <c r="BE63" i="25" s="1"/>
  <c r="BC55" i="25"/>
  <c r="BE55" i="25" s="1"/>
  <c r="AW50" i="25"/>
  <c r="AY50" i="25" s="1"/>
  <c r="BC45" i="25"/>
  <c r="BE45" i="25" s="1"/>
  <c r="S45" i="25"/>
  <c r="U45" i="25" s="1"/>
  <c r="S70" i="25"/>
  <c r="U70" i="25" s="1"/>
  <c r="S58" i="25"/>
  <c r="U58" i="25" s="1"/>
  <c r="S35" i="25"/>
  <c r="U35" i="25" s="1"/>
  <c r="S66" i="25"/>
  <c r="U66" i="25" s="1"/>
  <c r="S49" i="25"/>
  <c r="U49" i="25" s="1"/>
  <c r="V20" i="27"/>
  <c r="BX8" i="27"/>
  <c r="V15" i="27"/>
  <c r="BX13" i="27"/>
  <c r="V12" i="27"/>
  <c r="BX14" i="27"/>
  <c r="V19" i="27"/>
  <c r="V13" i="27"/>
  <c r="AZ12" i="27"/>
  <c r="AB12" i="27"/>
  <c r="BX12" i="27"/>
  <c r="BX11" i="27"/>
  <c r="BX9" i="27"/>
  <c r="AB8" i="27"/>
  <c r="V11" i="27"/>
  <c r="V93" i="27"/>
  <c r="V9" i="27"/>
  <c r="V10" i="27"/>
  <c r="BR7" i="27"/>
  <c r="BR18" i="27"/>
  <c r="BR11" i="27"/>
  <c r="AN20" i="27"/>
  <c r="AN10" i="27"/>
  <c r="AB17" i="27"/>
  <c r="AZ14" i="27"/>
  <c r="AB20" i="27"/>
  <c r="V16" i="27"/>
  <c r="AZ10" i="27"/>
  <c r="AZ18" i="27"/>
  <c r="BR20" i="27"/>
  <c r="BR14" i="27"/>
  <c r="BR13" i="27"/>
  <c r="AN7" i="27"/>
  <c r="AT93" i="27"/>
  <c r="AT7" i="27"/>
  <c r="AN14" i="27"/>
  <c r="AN11" i="27"/>
  <c r="AN18" i="27"/>
  <c r="AN9" i="27"/>
  <c r="AB14" i="27"/>
  <c r="AB93" i="27"/>
  <c r="AT19" i="27"/>
  <c r="AT20" i="27"/>
  <c r="AZ20" i="27"/>
  <c r="AB13" i="27"/>
  <c r="AB11" i="27"/>
  <c r="AT17" i="27"/>
  <c r="AT11" i="27"/>
  <c r="AT18" i="27"/>
  <c r="AT14" i="27"/>
  <c r="BT7" i="27"/>
  <c r="BV7" i="27" s="1"/>
  <c r="BX7" i="27" s="1"/>
  <c r="T7" i="27"/>
  <c r="V7" i="27" s="1"/>
  <c r="BH7" i="27"/>
  <c r="BJ7" i="27" s="1"/>
  <c r="BL7" i="27" s="1"/>
  <c r="BB7" i="27"/>
  <c r="BD7" i="27" s="1"/>
  <c r="BF7" i="27" s="1"/>
  <c r="AF7" i="27"/>
  <c r="AH7" i="27" s="1"/>
  <c r="AZ17" i="27"/>
  <c r="AZ19" i="27"/>
  <c r="AZ16" i="27"/>
  <c r="AZ13" i="27"/>
  <c r="AZ11" i="27"/>
  <c r="AZ9" i="27"/>
  <c r="AZ93" i="27"/>
  <c r="BR16" i="27"/>
  <c r="BR8" i="27"/>
  <c r="AN13" i="27"/>
  <c r="AN12" i="27"/>
  <c r="AN19" i="27"/>
  <c r="AB19" i="27"/>
  <c r="AB18" i="27"/>
  <c r="AB7" i="27"/>
  <c r="AB10" i="27"/>
  <c r="BR19" i="27"/>
  <c r="BR93" i="27"/>
  <c r="AZ7" i="27"/>
  <c r="AZ8" i="27"/>
  <c r="AZ15" i="27"/>
  <c r="BR12" i="27"/>
  <c r="BR9" i="27"/>
  <c r="BR17" i="27"/>
  <c r="BR10" i="27"/>
  <c r="AN16" i="27"/>
  <c r="AN15" i="27"/>
  <c r="AN93" i="27"/>
  <c r="AN17" i="27"/>
  <c r="AN8" i="27"/>
  <c r="AB16" i="27"/>
  <c r="AB15" i="27"/>
  <c r="AB9" i="27"/>
  <c r="AT8" i="27"/>
  <c r="AT10" i="27"/>
  <c r="AT15" i="27"/>
  <c r="AT13" i="27"/>
  <c r="AT16" i="27"/>
  <c r="AT9" i="27"/>
  <c r="AT12" i="27"/>
  <c r="BO76" i="25"/>
  <c r="BQ76" i="25" s="1"/>
  <c r="BO75" i="25"/>
  <c r="BQ75" i="25" s="1"/>
  <c r="BO77" i="25"/>
  <c r="BQ77" i="25" s="1"/>
  <c r="AQ64" i="25"/>
  <c r="AS64" i="25" s="1"/>
  <c r="AQ63" i="25"/>
  <c r="AS63" i="25" s="1"/>
  <c r="AQ50" i="25"/>
  <c r="AS50" i="25" s="1"/>
  <c r="AQ72" i="25"/>
  <c r="AS72" i="25" s="1"/>
  <c r="AQ62" i="25"/>
  <c r="AS62" i="25" s="1"/>
  <c r="AQ75" i="25"/>
  <c r="AS75" i="25" s="1"/>
  <c r="AQ76" i="25"/>
  <c r="AS76" i="25" s="1"/>
  <c r="AQ77" i="25"/>
  <c r="AS77" i="25" s="1"/>
  <c r="AQ55" i="25"/>
  <c r="AS55" i="25" s="1"/>
  <c r="Y76" i="25"/>
  <c r="AA76" i="25" s="1"/>
  <c r="Y77" i="25"/>
  <c r="AA77" i="25" s="1"/>
  <c r="Y75" i="25"/>
  <c r="AA75" i="25" s="1"/>
  <c r="AW77" i="25"/>
  <c r="AY77" i="25" s="1"/>
  <c r="AW76" i="25"/>
  <c r="AY76" i="25" s="1"/>
  <c r="AW75" i="25"/>
  <c r="AY75" i="25" s="1"/>
  <c r="BU75" i="25"/>
  <c r="BW75" i="25" s="1"/>
  <c r="BU76" i="25"/>
  <c r="BW76" i="25" s="1"/>
  <c r="BU77" i="25"/>
  <c r="BW77" i="25" s="1"/>
  <c r="BI75" i="25"/>
  <c r="BK75" i="25" s="1"/>
  <c r="BI77" i="25"/>
  <c r="BK77" i="25" s="1"/>
  <c r="BI76" i="25"/>
  <c r="BK76" i="25" s="1"/>
  <c r="AW46" i="25"/>
  <c r="AY46" i="25" s="1"/>
  <c r="AW43" i="25"/>
  <c r="AY43" i="25" s="1"/>
  <c r="AW61" i="25"/>
  <c r="AY61" i="25" s="1"/>
  <c r="AW53" i="25"/>
  <c r="AY53" i="25" s="1"/>
  <c r="AW57" i="25"/>
  <c r="AY57" i="25" s="1"/>
  <c r="AW55" i="25"/>
  <c r="AY55" i="25" s="1"/>
  <c r="AW42" i="25"/>
  <c r="AY42" i="25" s="1"/>
  <c r="AW44" i="25"/>
  <c r="AY44" i="25" s="1"/>
  <c r="AW56" i="25"/>
  <c r="AY56" i="25" s="1"/>
  <c r="AW52" i="25"/>
  <c r="AY52" i="25" s="1"/>
  <c r="AW47" i="25"/>
  <c r="AY47" i="25" s="1"/>
  <c r="AW66" i="25"/>
  <c r="AY66" i="25" s="1"/>
  <c r="AW64" i="25"/>
  <c r="AY64" i="25" s="1"/>
  <c r="AW62" i="25"/>
  <c r="AY62" i="25" s="1"/>
  <c r="AW74" i="25"/>
  <c r="AY74" i="25" s="1"/>
  <c r="AW54" i="25"/>
  <c r="AY54" i="25" s="1"/>
  <c r="AW51" i="25"/>
  <c r="AY51" i="25" s="1"/>
  <c r="AW58" i="25"/>
  <c r="AY58" i="25" s="1"/>
  <c r="AW45" i="25"/>
  <c r="AY45" i="25" s="1"/>
  <c r="AW70" i="25"/>
  <c r="AY70" i="25" s="1"/>
  <c r="AW59" i="25"/>
  <c r="AY59" i="25" s="1"/>
  <c r="AW71" i="25"/>
  <c r="AY71" i="25" s="1"/>
  <c r="AW60" i="25"/>
  <c r="AY60" i="25" s="1"/>
  <c r="AW67" i="25"/>
  <c r="AY67" i="25" s="1"/>
  <c r="AW49" i="25"/>
  <c r="AY49" i="25" s="1"/>
  <c r="Y35" i="25"/>
  <c r="AA35" i="25" s="1"/>
  <c r="Y34" i="25"/>
  <c r="AA34" i="25" s="1"/>
  <c r="Y39" i="25"/>
  <c r="AA39" i="25" s="1"/>
  <c r="Y41" i="25"/>
  <c r="AA41" i="25" s="1"/>
  <c r="Y37" i="25"/>
  <c r="AA37" i="25" s="1"/>
  <c r="Y38" i="25"/>
  <c r="AA38" i="25" s="1"/>
  <c r="Y33" i="25"/>
  <c r="AA33" i="25" s="1"/>
  <c r="Y36" i="25"/>
  <c r="AA36" i="25" s="1"/>
  <c r="Y40" i="25"/>
  <c r="AA40" i="25" s="1"/>
  <c r="Y46" i="25"/>
  <c r="AA46" i="25" s="1"/>
  <c r="Y44" i="25"/>
  <c r="AA44" i="25" s="1"/>
  <c r="Y64" i="25"/>
  <c r="AA64" i="25" s="1"/>
  <c r="Y60" i="25"/>
  <c r="AA60" i="25" s="1"/>
  <c r="Y56" i="25"/>
  <c r="AA56" i="25" s="1"/>
  <c r="Y50" i="25"/>
  <c r="AA50" i="25" s="1"/>
  <c r="Y73" i="25"/>
  <c r="AA73" i="25" s="1"/>
  <c r="Y51" i="25"/>
  <c r="AA51" i="25" s="1"/>
  <c r="Y45" i="25"/>
  <c r="AA45" i="25" s="1"/>
  <c r="Y63" i="25"/>
  <c r="AA63" i="25" s="1"/>
  <c r="Y68" i="25"/>
  <c r="AA68" i="25" s="1"/>
  <c r="Y62" i="25"/>
  <c r="AA62" i="25" s="1"/>
  <c r="Y58" i="25"/>
  <c r="AA58" i="25" s="1"/>
  <c r="Y49" i="25"/>
  <c r="AA49" i="25" s="1"/>
  <c r="Y42" i="25"/>
  <c r="AA42" i="25" s="1"/>
  <c r="Y47" i="25"/>
  <c r="AA47" i="25" s="1"/>
  <c r="Y74" i="25"/>
  <c r="AA74" i="25" s="1"/>
  <c r="Y69" i="25"/>
  <c r="AA69" i="25" s="1"/>
  <c r="Y65" i="25"/>
  <c r="AA65" i="25" s="1"/>
  <c r="Y61" i="25"/>
  <c r="AA61" i="25" s="1"/>
  <c r="Y55" i="25"/>
  <c r="AA55" i="25" s="1"/>
  <c r="Y70" i="25"/>
  <c r="AA70" i="25" s="1"/>
  <c r="Y67" i="25"/>
  <c r="AA67" i="25" s="1"/>
  <c r="Y66" i="25"/>
  <c r="AA66" i="25" s="1"/>
  <c r="Y53" i="25"/>
  <c r="AA53" i="25" s="1"/>
  <c r="Y71" i="25"/>
  <c r="AA71" i="25" s="1"/>
  <c r="Y54" i="25"/>
  <c r="AA54" i="25" s="1"/>
  <c r="Y48" i="25"/>
  <c r="AA48" i="25" s="1"/>
  <c r="Y43" i="25"/>
  <c r="AA43" i="25" s="1"/>
  <c r="Y72" i="25"/>
  <c r="AA72" i="25" s="1"/>
  <c r="Y52" i="25"/>
  <c r="AA52" i="25" s="1"/>
  <c r="Y59" i="25"/>
  <c r="AA59" i="25" s="1"/>
  <c r="Y57" i="25"/>
  <c r="AA57" i="25" s="1"/>
  <c r="BI41" i="25"/>
  <c r="BK41" i="25" s="1"/>
  <c r="BI32" i="25"/>
  <c r="BK32" i="25" s="1"/>
  <c r="BI39" i="25"/>
  <c r="BK39" i="25" s="1"/>
  <c r="BI36" i="25"/>
  <c r="BK36" i="25" s="1"/>
  <c r="BI40" i="25"/>
  <c r="BK40" i="25" s="1"/>
  <c r="BI74" i="25"/>
  <c r="BK74" i="25" s="1"/>
  <c r="BI66" i="25"/>
  <c r="BK66" i="25" s="1"/>
  <c r="BI43" i="25"/>
  <c r="BK43" i="25" s="1"/>
  <c r="BI70" i="25"/>
  <c r="BK70" i="25" s="1"/>
  <c r="BI65" i="25"/>
  <c r="BK65" i="25" s="1"/>
  <c r="BI59" i="25"/>
  <c r="BK59" i="25" s="1"/>
  <c r="BI52" i="25"/>
  <c r="BK52" i="25" s="1"/>
  <c r="BI72" i="25"/>
  <c r="BK72" i="25" s="1"/>
  <c r="BI57" i="25"/>
  <c r="BK57" i="25" s="1"/>
  <c r="BI69" i="25"/>
  <c r="BK69" i="25" s="1"/>
  <c r="BI53" i="25"/>
  <c r="BK53" i="25" s="1"/>
  <c r="BI71" i="25"/>
  <c r="BK71" i="25" s="1"/>
  <c r="BI67" i="25"/>
  <c r="BK67" i="25" s="1"/>
  <c r="BI54" i="25"/>
  <c r="BK54" i="25" s="1"/>
  <c r="BI64" i="25"/>
  <c r="BK64" i="25" s="1"/>
  <c r="BI42" i="25"/>
  <c r="BK42" i="25" s="1"/>
  <c r="BI46" i="25"/>
  <c r="BK46" i="25" s="1"/>
  <c r="BI45" i="25"/>
  <c r="BK45" i="25" s="1"/>
  <c r="BI68" i="25"/>
  <c r="BK68" i="25" s="1"/>
  <c r="BI63" i="25"/>
  <c r="BK63" i="25" s="1"/>
  <c r="BI61" i="25"/>
  <c r="BK61" i="25" s="1"/>
  <c r="BI60" i="25"/>
  <c r="BK60" i="25" s="1"/>
  <c r="BI56" i="25"/>
  <c r="BK56" i="25" s="1"/>
  <c r="BI48" i="25"/>
  <c r="BK48" i="25" s="1"/>
  <c r="BI55" i="25"/>
  <c r="BK55" i="25" s="1"/>
  <c r="BI51" i="25"/>
  <c r="BK51" i="25" s="1"/>
  <c r="BI47" i="25"/>
  <c r="BK47" i="25" s="1"/>
  <c r="BI44" i="25"/>
  <c r="BK44" i="25" s="1"/>
  <c r="BI50" i="25"/>
  <c r="BK50" i="25" s="1"/>
  <c r="BI58" i="25"/>
  <c r="BK58" i="25" s="1"/>
  <c r="BI49" i="25"/>
  <c r="BK49" i="25" s="1"/>
  <c r="BI73" i="25"/>
  <c r="BK73" i="25" s="1"/>
  <c r="BI62" i="25"/>
  <c r="BK62" i="25" s="1"/>
  <c r="BU37" i="25"/>
  <c r="BW37" i="25" s="1"/>
  <c r="BU41" i="25"/>
  <c r="BW41" i="25" s="1"/>
  <c r="BU33" i="25"/>
  <c r="BW33" i="25" s="1"/>
  <c r="BU34" i="25"/>
  <c r="BW34" i="25" s="1"/>
  <c r="BU36" i="25"/>
  <c r="BW36" i="25" s="1"/>
  <c r="BU40" i="25"/>
  <c r="BW40" i="25" s="1"/>
  <c r="BU35" i="25"/>
  <c r="BW35" i="25" s="1"/>
  <c r="BU39" i="25"/>
  <c r="BW39" i="25" s="1"/>
  <c r="BU38" i="25"/>
  <c r="BW38" i="25" s="1"/>
  <c r="BU49" i="25"/>
  <c r="BW49" i="25" s="1"/>
  <c r="BU42" i="25"/>
  <c r="BW42" i="25" s="1"/>
  <c r="BU46" i="25"/>
  <c r="BW46" i="25" s="1"/>
  <c r="BU48" i="25"/>
  <c r="BW48" i="25" s="1"/>
  <c r="BU69" i="25"/>
  <c r="BW69" i="25" s="1"/>
  <c r="BU53" i="25"/>
  <c r="BW53" i="25" s="1"/>
  <c r="BU50" i="25"/>
  <c r="BW50" i="25" s="1"/>
  <c r="BU68" i="25"/>
  <c r="BW68" i="25" s="1"/>
  <c r="BU66" i="25"/>
  <c r="BW66" i="25" s="1"/>
  <c r="BU47" i="25"/>
  <c r="BW47" i="25" s="1"/>
  <c r="BU44" i="25"/>
  <c r="BW44" i="25" s="1"/>
  <c r="BU45" i="25"/>
  <c r="BW45" i="25" s="1"/>
  <c r="BU58" i="25"/>
  <c r="BW58" i="25" s="1"/>
  <c r="BU52" i="25"/>
  <c r="BW52" i="25" s="1"/>
  <c r="BU73" i="25"/>
  <c r="BW73" i="25" s="1"/>
  <c r="BU72" i="25"/>
  <c r="BW72" i="25" s="1"/>
  <c r="BU54" i="25"/>
  <c r="BW54" i="25" s="1"/>
  <c r="BU59" i="25"/>
  <c r="BW59" i="25" s="1"/>
  <c r="BU74" i="25"/>
  <c r="BW74" i="25" s="1"/>
  <c r="BU60" i="25"/>
  <c r="BW60" i="25" s="1"/>
  <c r="BU43" i="25"/>
  <c r="BW43" i="25" s="1"/>
  <c r="BU65" i="25"/>
  <c r="BW65" i="25" s="1"/>
  <c r="BU63" i="25"/>
  <c r="BW63" i="25" s="1"/>
  <c r="BU64" i="25"/>
  <c r="BW64" i="25" s="1"/>
  <c r="BU62" i="25"/>
  <c r="BW62" i="25" s="1"/>
  <c r="BU61" i="25"/>
  <c r="BW61" i="25" s="1"/>
  <c r="BU57" i="25"/>
  <c r="BW57" i="25" s="1"/>
  <c r="BU71" i="25"/>
  <c r="BW71" i="25" s="1"/>
  <c r="BU70" i="25"/>
  <c r="BW70" i="25" s="1"/>
  <c r="BU67" i="25"/>
  <c r="BW67" i="25" s="1"/>
  <c r="BU55" i="25"/>
  <c r="BW55" i="25" s="1"/>
  <c r="BU56" i="25"/>
  <c r="BW56" i="25" s="1"/>
  <c r="BU51" i="25"/>
  <c r="BW51" i="25" s="1"/>
  <c r="BO33" i="25"/>
  <c r="BQ33" i="25" s="1"/>
  <c r="BO39" i="25"/>
  <c r="BQ39" i="25" s="1"/>
  <c r="BO40" i="25"/>
  <c r="BQ40" i="25" s="1"/>
  <c r="BO41" i="25"/>
  <c r="BQ41" i="25" s="1"/>
  <c r="BO32" i="25"/>
  <c r="BQ32" i="25" s="1"/>
  <c r="BO47" i="25"/>
  <c r="BQ47" i="25" s="1"/>
  <c r="BO73" i="25"/>
  <c r="BQ73" i="25" s="1"/>
  <c r="BO63" i="25"/>
  <c r="BQ63" i="25" s="1"/>
  <c r="BO53" i="25"/>
  <c r="BQ53" i="25" s="1"/>
  <c r="BO57" i="25"/>
  <c r="BQ57" i="25" s="1"/>
  <c r="BO69" i="25"/>
  <c r="BQ69" i="25" s="1"/>
  <c r="BO66" i="25"/>
  <c r="BQ66" i="25" s="1"/>
  <c r="BO62" i="25"/>
  <c r="BQ62" i="25" s="1"/>
  <c r="BO56" i="25"/>
  <c r="BQ56" i="25" s="1"/>
  <c r="BO45" i="25"/>
  <c r="BQ45" i="25" s="1"/>
  <c r="BO65" i="25"/>
  <c r="BQ65" i="25" s="1"/>
  <c r="BO60" i="25"/>
  <c r="BQ60" i="25" s="1"/>
  <c r="BO64" i="25"/>
  <c r="BQ64" i="25" s="1"/>
  <c r="BO61" i="25"/>
  <c r="BQ61" i="25" s="1"/>
  <c r="BO52" i="25"/>
  <c r="BQ52" i="25" s="1"/>
  <c r="BO70" i="25"/>
  <c r="BQ70" i="25" s="1"/>
  <c r="BO67" i="25"/>
  <c r="BQ67" i="25" s="1"/>
  <c r="BO58" i="25"/>
  <c r="BQ58" i="25" s="1"/>
  <c r="BO51" i="25"/>
  <c r="BQ51" i="25" s="1"/>
  <c r="BO72" i="25"/>
  <c r="BQ72" i="25" s="1"/>
  <c r="BO44" i="25"/>
  <c r="BQ44" i="25" s="1"/>
  <c r="BO43" i="25"/>
  <c r="BQ43" i="25" s="1"/>
  <c r="BO46" i="25"/>
  <c r="BQ46" i="25" s="1"/>
  <c r="BO42" i="25"/>
  <c r="BQ42" i="25" s="1"/>
  <c r="BO71" i="25"/>
  <c r="BQ71" i="25" s="1"/>
  <c r="BO59" i="25"/>
  <c r="BQ59" i="25" s="1"/>
  <c r="BO55" i="25"/>
  <c r="BQ55" i="25" s="1"/>
  <c r="BO49" i="25"/>
  <c r="BQ49" i="25" s="1"/>
  <c r="BO74" i="25"/>
  <c r="BQ74" i="25" s="1"/>
  <c r="BO68" i="25"/>
  <c r="BQ68" i="25" s="1"/>
  <c r="BO50" i="25"/>
  <c r="BQ50" i="25" s="1"/>
  <c r="BO54" i="25"/>
  <c r="BQ54" i="25" s="1"/>
  <c r="BO48" i="25"/>
  <c r="BQ48" i="25" s="1"/>
  <c r="X80" i="26"/>
  <c r="Z80" i="26" s="1"/>
  <c r="AB80" i="26" s="1"/>
  <c r="BT80" i="26"/>
  <c r="BV80" i="26" s="1"/>
  <c r="BX80" i="26" s="1"/>
  <c r="BF93" i="26"/>
  <c r="AZ93" i="26"/>
  <c r="AT93" i="26"/>
  <c r="AB93" i="26"/>
  <c r="AH93" i="26"/>
  <c r="BL93" i="26"/>
  <c r="BR93" i="26"/>
  <c r="V93" i="26"/>
  <c r="AN93" i="26"/>
  <c r="C101" i="24" l="1"/>
  <c r="S13" i="25"/>
  <c r="U13" i="25" s="1"/>
  <c r="BT77" i="25"/>
  <c r="BV77" i="25" s="1"/>
  <c r="BT90" i="25"/>
  <c r="BV90" i="25" s="1"/>
  <c r="N81" i="25"/>
  <c r="P81" i="25" s="1"/>
  <c r="N58" i="25"/>
  <c r="P58" i="25" s="1"/>
  <c r="BT80" i="25"/>
  <c r="BV80" i="25" s="1"/>
  <c r="N74" i="25"/>
  <c r="P74" i="25" s="1"/>
  <c r="BX86" i="25"/>
  <c r="N53" i="25"/>
  <c r="P53" i="25" s="1"/>
  <c r="N14" i="25"/>
  <c r="P14" i="25" s="1"/>
  <c r="N13" i="25"/>
  <c r="P13" i="25" s="1"/>
  <c r="N86" i="25"/>
  <c r="P86" i="25" s="1"/>
  <c r="N33" i="25"/>
  <c r="P33" i="25" s="1"/>
  <c r="N82" i="25"/>
  <c r="BN86" i="25" s="1"/>
  <c r="BP86" i="25" s="1"/>
  <c r="BR86" i="25" s="1"/>
  <c r="N26" i="25"/>
  <c r="P26" i="25" s="1"/>
  <c r="N50" i="25"/>
  <c r="P50" i="25" s="1"/>
  <c r="N32" i="25"/>
  <c r="AJ81" i="25" s="1"/>
  <c r="AL81" i="25" s="1"/>
  <c r="AN81" i="25" s="1"/>
  <c r="N85" i="25"/>
  <c r="P85" i="25" s="1"/>
  <c r="BX92" i="25"/>
  <c r="BX78" i="25"/>
  <c r="S16" i="25"/>
  <c r="U16" i="25" s="1"/>
  <c r="P82" i="25"/>
  <c r="BO93" i="25"/>
  <c r="BQ93" i="25" s="1"/>
  <c r="BO8" i="25"/>
  <c r="BQ8" i="25" s="1"/>
  <c r="BO11" i="25"/>
  <c r="BQ11" i="25" s="1"/>
  <c r="N47" i="25"/>
  <c r="P47" i="25" s="1"/>
  <c r="N7" i="25"/>
  <c r="P7" i="25" s="1"/>
  <c r="BT83" i="25"/>
  <c r="BV83" i="25" s="1"/>
  <c r="BX83" i="25" s="1"/>
  <c r="N20" i="25"/>
  <c r="P20" i="25" s="1"/>
  <c r="N18" i="25"/>
  <c r="P18" i="25" s="1"/>
  <c r="N46" i="25"/>
  <c r="P46" i="25" s="1"/>
  <c r="N27" i="25"/>
  <c r="P27" i="25" s="1"/>
  <c r="N69" i="25"/>
  <c r="P69" i="25" s="1"/>
  <c r="BX85" i="25"/>
  <c r="N45" i="25"/>
  <c r="P45" i="25" s="1"/>
  <c r="N80" i="25"/>
  <c r="P80" i="25" s="1"/>
  <c r="N62" i="25"/>
  <c r="BC23" i="25" s="1"/>
  <c r="BE23" i="25" s="1"/>
  <c r="BX82" i="25"/>
  <c r="AK13" i="25"/>
  <c r="AM13" i="25" s="1"/>
  <c r="S14" i="25"/>
  <c r="U14" i="25" s="1"/>
  <c r="N23" i="25"/>
  <c r="P23" i="25" s="1"/>
  <c r="N48" i="25"/>
  <c r="P48" i="25" s="1"/>
  <c r="BX80" i="25"/>
  <c r="S19" i="25"/>
  <c r="U19" i="25" s="1"/>
  <c r="S8" i="25"/>
  <c r="U8" i="25" s="1"/>
  <c r="S93" i="25"/>
  <c r="U93" i="25" s="1"/>
  <c r="N64" i="25"/>
  <c r="P64" i="25" s="1"/>
  <c r="N16" i="25"/>
  <c r="P16" i="25" s="1"/>
  <c r="BX84" i="25"/>
  <c r="BX81" i="25"/>
  <c r="N84" i="25"/>
  <c r="P84" i="25" s="1"/>
  <c r="N54" i="25"/>
  <c r="P54" i="25" s="1"/>
  <c r="N25" i="25"/>
  <c r="P25" i="25" s="1"/>
  <c r="N9" i="25"/>
  <c r="P9" i="25" s="1"/>
  <c r="N72" i="25"/>
  <c r="BH93" i="25" s="1"/>
  <c r="BJ93" i="25" s="1"/>
  <c r="N22" i="25"/>
  <c r="AD88" i="25" s="1"/>
  <c r="AF88" i="25" s="1"/>
  <c r="AH88" i="25" s="1"/>
  <c r="N70" i="25"/>
  <c r="P70" i="25" s="1"/>
  <c r="N17" i="25"/>
  <c r="P17" i="25" s="1"/>
  <c r="N91" i="25"/>
  <c r="P91" i="25" s="1"/>
  <c r="N52" i="25"/>
  <c r="AW22" i="25" s="1"/>
  <c r="AY22" i="25" s="1"/>
  <c r="S20" i="25"/>
  <c r="U20" i="25" s="1"/>
  <c r="S5" i="25"/>
  <c r="U5" i="25" s="1"/>
  <c r="N76" i="25"/>
  <c r="P76" i="25" s="1"/>
  <c r="BH85" i="25"/>
  <c r="BJ85" i="25" s="1"/>
  <c r="BL85" i="25" s="1"/>
  <c r="AW34" i="25"/>
  <c r="AY34" i="25" s="1"/>
  <c r="AW15" i="25"/>
  <c r="AY15" i="25" s="1"/>
  <c r="R81" i="25"/>
  <c r="T81" i="25" s="1"/>
  <c r="V81" i="25" s="1"/>
  <c r="BB81" i="25"/>
  <c r="BD81" i="25" s="1"/>
  <c r="BF81" i="25" s="1"/>
  <c r="N12" i="25"/>
  <c r="X80" i="25" s="1"/>
  <c r="Z80" i="25" s="1"/>
  <c r="AB80" i="25" s="1"/>
  <c r="BT87" i="25"/>
  <c r="BV87" i="25" s="1"/>
  <c r="BX87" i="25" s="1"/>
  <c r="N28" i="25"/>
  <c r="P28" i="25" s="1"/>
  <c r="N43" i="25"/>
  <c r="P43" i="25" s="1"/>
  <c r="N55" i="25"/>
  <c r="P55" i="25" s="1"/>
  <c r="N57" i="25"/>
  <c r="P57" i="25" s="1"/>
  <c r="N31" i="25"/>
  <c r="P31" i="25" s="1"/>
  <c r="N67" i="25"/>
  <c r="P67" i="25" s="1"/>
  <c r="N30" i="25"/>
  <c r="P30" i="25" s="1"/>
  <c r="N66" i="25"/>
  <c r="P66" i="25" s="1"/>
  <c r="N19" i="25"/>
  <c r="P19" i="25" s="1"/>
  <c r="N78" i="25"/>
  <c r="P78" i="25" s="1"/>
  <c r="N21" i="25"/>
  <c r="P21" i="25" s="1"/>
  <c r="N36" i="25"/>
  <c r="P36" i="25" s="1"/>
  <c r="N73" i="25"/>
  <c r="P73" i="25" s="1"/>
  <c r="N10" i="25"/>
  <c r="P10" i="25" s="1"/>
  <c r="N29" i="25"/>
  <c r="P29" i="25" s="1"/>
  <c r="N88" i="25"/>
  <c r="P88" i="25" s="1"/>
  <c r="R88" i="25"/>
  <c r="T88" i="25" s="1"/>
  <c r="V88" i="25" s="1"/>
  <c r="N3" i="25"/>
  <c r="P3" i="25" s="1"/>
  <c r="N89" i="25"/>
  <c r="P89" i="25" s="1"/>
  <c r="BX79" i="25"/>
  <c r="BX91" i="25"/>
  <c r="N60" i="25"/>
  <c r="P60" i="25" s="1"/>
  <c r="N44" i="25"/>
  <c r="P44" i="25" s="1"/>
  <c r="S23" i="25"/>
  <c r="U23" i="25" s="1"/>
  <c r="X90" i="25"/>
  <c r="Z90" i="25" s="1"/>
  <c r="AB90" i="25" s="1"/>
  <c r="Y32" i="25"/>
  <c r="AA32" i="25" s="1"/>
  <c r="BX76" i="25"/>
  <c r="R80" i="25"/>
  <c r="T80" i="25" s="1"/>
  <c r="V80" i="25" s="1"/>
  <c r="BB86" i="25"/>
  <c r="BD86" i="25" s="1"/>
  <c r="BF86" i="25" s="1"/>
  <c r="BT88" i="25"/>
  <c r="BV88" i="25" s="1"/>
  <c r="BX88" i="25" s="1"/>
  <c r="BX90" i="25"/>
  <c r="N90" i="25"/>
  <c r="P90" i="25" s="1"/>
  <c r="N92" i="25"/>
  <c r="AV78" i="25"/>
  <c r="AX78" i="25" s="1"/>
  <c r="AZ78" i="25" s="1"/>
  <c r="BC12" i="25"/>
  <c r="BE12" i="25" s="1"/>
  <c r="AW32" i="25"/>
  <c r="AY32" i="25" s="1"/>
  <c r="N42" i="25"/>
  <c r="AQ21" i="25" s="1"/>
  <c r="AS21" i="25" s="1"/>
  <c r="N83" i="25"/>
  <c r="P83" i="25" s="1"/>
  <c r="N24" i="25"/>
  <c r="P24" i="25" s="1"/>
  <c r="N41" i="25"/>
  <c r="P41" i="25" s="1"/>
  <c r="N4" i="25"/>
  <c r="P4" i="25" s="1"/>
  <c r="N68" i="25"/>
  <c r="P68" i="25" s="1"/>
  <c r="BN88" i="25"/>
  <c r="BP88" i="25" s="1"/>
  <c r="BR88" i="25" s="1"/>
  <c r="AV76" i="25"/>
  <c r="AX76" i="25" s="1"/>
  <c r="AZ76" i="25" s="1"/>
  <c r="N93" i="25"/>
  <c r="P93" i="25" s="1"/>
  <c r="N34" i="25"/>
  <c r="P34" i="25" s="1"/>
  <c r="N37" i="25"/>
  <c r="P37" i="25" s="1"/>
  <c r="N71" i="25"/>
  <c r="P71" i="25" s="1"/>
  <c r="N15" i="25"/>
  <c r="P15" i="25" s="1"/>
  <c r="AQ13" i="25"/>
  <c r="AS13" i="25" s="1"/>
  <c r="AQ7" i="25"/>
  <c r="AS7" i="25" s="1"/>
  <c r="G74" i="25"/>
  <c r="R74" i="25" s="1"/>
  <c r="T74" i="25" s="1"/>
  <c r="V74" i="25" s="1"/>
  <c r="BT75" i="25"/>
  <c r="BV75" i="25" s="1"/>
  <c r="BX75" i="25" s="1"/>
  <c r="AQ36" i="25"/>
  <c r="AS36" i="25" s="1"/>
  <c r="AQ37" i="25"/>
  <c r="AS37" i="25" s="1"/>
  <c r="AQ33" i="25"/>
  <c r="AS33" i="25" s="1"/>
  <c r="AQ31" i="25"/>
  <c r="AS31" i="25" s="1"/>
  <c r="AQ35" i="25"/>
  <c r="AS35" i="25" s="1"/>
  <c r="AQ19" i="25"/>
  <c r="AS19" i="25" s="1"/>
  <c r="AQ38" i="25"/>
  <c r="AS38" i="25" s="1"/>
  <c r="AQ34" i="25"/>
  <c r="AS34" i="25" s="1"/>
  <c r="AQ32" i="25"/>
  <c r="AS32" i="25" s="1"/>
  <c r="AW28" i="25"/>
  <c r="AY28" i="25" s="1"/>
  <c r="AV88" i="25"/>
  <c r="AX88" i="25" s="1"/>
  <c r="AZ88" i="25" s="1"/>
  <c r="AW12" i="25"/>
  <c r="AY12" i="25" s="1"/>
  <c r="AW35" i="25"/>
  <c r="AY35" i="25" s="1"/>
  <c r="AW38" i="25"/>
  <c r="AY38" i="25" s="1"/>
  <c r="BX77" i="25"/>
  <c r="AV85" i="25"/>
  <c r="AX85" i="25" s="1"/>
  <c r="AZ85" i="25" s="1"/>
  <c r="P52" i="25"/>
  <c r="AW4" i="25"/>
  <c r="AY4" i="25" s="1"/>
  <c r="AW37" i="25"/>
  <c r="AY37" i="25" s="1"/>
  <c r="AW7" i="25"/>
  <c r="AY7" i="25" s="1"/>
  <c r="AW5" i="25"/>
  <c r="AY5" i="25" s="1"/>
  <c r="AW17" i="25"/>
  <c r="AY17" i="25" s="1"/>
  <c r="AW33" i="25"/>
  <c r="AY33" i="25" s="1"/>
  <c r="BO36" i="25"/>
  <c r="BQ36" i="25" s="1"/>
  <c r="BO16" i="25"/>
  <c r="BQ16" i="25" s="1"/>
  <c r="BO9" i="25"/>
  <c r="BQ9" i="25" s="1"/>
  <c r="BO37" i="25"/>
  <c r="BQ37" i="25" s="1"/>
  <c r="BO20" i="25"/>
  <c r="BQ20" i="25" s="1"/>
  <c r="BO28" i="25"/>
  <c r="BQ28" i="25" s="1"/>
  <c r="BO14" i="25"/>
  <c r="BQ14" i="25" s="1"/>
  <c r="BN82" i="25"/>
  <c r="BP82" i="25" s="1"/>
  <c r="BR82" i="25" s="1"/>
  <c r="BN89" i="25"/>
  <c r="BP89" i="25" s="1"/>
  <c r="BR89" i="25" s="1"/>
  <c r="BN87" i="25"/>
  <c r="BP87" i="25" s="1"/>
  <c r="BR87" i="25" s="1"/>
  <c r="BN84" i="25"/>
  <c r="BP84" i="25" s="1"/>
  <c r="BR84" i="25" s="1"/>
  <c r="BI31" i="25"/>
  <c r="BK31" i="25" s="1"/>
  <c r="BI11" i="25"/>
  <c r="BK11" i="25" s="1"/>
  <c r="BI38" i="25"/>
  <c r="BK38" i="25" s="1"/>
  <c r="BH77" i="25"/>
  <c r="BJ77" i="25" s="1"/>
  <c r="BL77" i="25" s="1"/>
  <c r="R77" i="25"/>
  <c r="T77" i="25" s="1"/>
  <c r="V77" i="25" s="1"/>
  <c r="S25" i="25"/>
  <c r="U25" i="25" s="1"/>
  <c r="S7" i="25"/>
  <c r="U7" i="25" s="1"/>
  <c r="R89" i="25"/>
  <c r="T89" i="25" s="1"/>
  <c r="V89" i="25" s="1"/>
  <c r="S21" i="25"/>
  <c r="U21" i="25" s="1"/>
  <c r="S22" i="25"/>
  <c r="U22" i="25" s="1"/>
  <c r="S37" i="25"/>
  <c r="U37" i="25" s="1"/>
  <c r="S10" i="25"/>
  <c r="U10" i="25" s="1"/>
  <c r="S27" i="25"/>
  <c r="U27" i="25" s="1"/>
  <c r="R93" i="25"/>
  <c r="T93" i="25" s="1"/>
  <c r="S30" i="25"/>
  <c r="U30" i="25" s="1"/>
  <c r="R82" i="25"/>
  <c r="T82" i="25" s="1"/>
  <c r="V82" i="25" s="1"/>
  <c r="R84" i="25"/>
  <c r="T84" i="25" s="1"/>
  <c r="V84" i="25" s="1"/>
  <c r="AK11" i="25"/>
  <c r="AM11" i="25" s="1"/>
  <c r="AK26" i="25"/>
  <c r="AM26" i="25" s="1"/>
  <c r="S33" i="25"/>
  <c r="U33" i="25" s="1"/>
  <c r="BO38" i="25"/>
  <c r="BQ38" i="25" s="1"/>
  <c r="BO25" i="25"/>
  <c r="BQ25" i="25" s="1"/>
  <c r="BO15" i="25"/>
  <c r="BQ15" i="25" s="1"/>
  <c r="BO7" i="25"/>
  <c r="BQ7" i="25" s="1"/>
  <c r="BO31" i="25"/>
  <c r="BQ31" i="25" s="1"/>
  <c r="BO24" i="25"/>
  <c r="BQ24" i="25" s="1"/>
  <c r="BO12" i="25"/>
  <c r="BQ12" i="25" s="1"/>
  <c r="BN92" i="25"/>
  <c r="BP92" i="25" s="1"/>
  <c r="BR92" i="25" s="1"/>
  <c r="BN83" i="25"/>
  <c r="BP83" i="25" s="1"/>
  <c r="BR83" i="25" s="1"/>
  <c r="BN85" i="25"/>
  <c r="BP85" i="25" s="1"/>
  <c r="BR85" i="25" s="1"/>
  <c r="BN77" i="25"/>
  <c r="BP77" i="25" s="1"/>
  <c r="BR77" i="25" s="1"/>
  <c r="BI17" i="25"/>
  <c r="BK17" i="25" s="1"/>
  <c r="BI34" i="25"/>
  <c r="BK34" i="25" s="1"/>
  <c r="BI35" i="25"/>
  <c r="BK35" i="25" s="1"/>
  <c r="BI37" i="25"/>
  <c r="BK37" i="25" s="1"/>
  <c r="BI22" i="25"/>
  <c r="BK22" i="25" s="1"/>
  <c r="BH88" i="25"/>
  <c r="BJ88" i="25" s="1"/>
  <c r="BL88" i="25" s="1"/>
  <c r="R76" i="25"/>
  <c r="T76" i="25" s="1"/>
  <c r="V76" i="25" s="1"/>
  <c r="R85" i="25"/>
  <c r="T85" i="25" s="1"/>
  <c r="V85" i="25" s="1"/>
  <c r="S31" i="25"/>
  <c r="U31" i="25" s="1"/>
  <c r="S18" i="25"/>
  <c r="U18" i="25" s="1"/>
  <c r="R79" i="25"/>
  <c r="T79" i="25" s="1"/>
  <c r="V79" i="25" s="1"/>
  <c r="S26" i="25"/>
  <c r="U26" i="25" s="1"/>
  <c r="S9" i="25"/>
  <c r="U9" i="25" s="1"/>
  <c r="S29" i="25"/>
  <c r="U29" i="25" s="1"/>
  <c r="R92" i="25"/>
  <c r="T92" i="25" s="1"/>
  <c r="V92" i="25" s="1"/>
  <c r="S15" i="25"/>
  <c r="U15" i="25" s="1"/>
  <c r="S24" i="25"/>
  <c r="U24" i="25" s="1"/>
  <c r="S6" i="25"/>
  <c r="U6" i="25" s="1"/>
  <c r="AK12" i="25"/>
  <c r="AM12" i="25" s="1"/>
  <c r="R75" i="25"/>
  <c r="T75" i="25" s="1"/>
  <c r="V75" i="25" s="1"/>
  <c r="BO34" i="25"/>
  <c r="BQ34" i="25" s="1"/>
  <c r="BO22" i="25"/>
  <c r="BQ22" i="25" s="1"/>
  <c r="BO26" i="25"/>
  <c r="BQ26" i="25" s="1"/>
  <c r="BO6" i="25"/>
  <c r="BQ6" i="25" s="1"/>
  <c r="BO27" i="25"/>
  <c r="BQ27" i="25" s="1"/>
  <c r="BO4" i="25"/>
  <c r="BQ4" i="25" s="1"/>
  <c r="BO35" i="25"/>
  <c r="BQ35" i="25" s="1"/>
  <c r="BO21" i="25"/>
  <c r="BQ21" i="25" s="1"/>
  <c r="BO10" i="25"/>
  <c r="BQ10" i="25" s="1"/>
  <c r="BN90" i="25"/>
  <c r="BP90" i="25" s="1"/>
  <c r="BR90" i="25" s="1"/>
  <c r="BN74" i="25"/>
  <c r="BP74" i="25" s="1"/>
  <c r="BR74" i="25" s="1"/>
  <c r="BN81" i="25"/>
  <c r="BP81" i="25" s="1"/>
  <c r="BR81" i="25" s="1"/>
  <c r="BN75" i="25"/>
  <c r="BP75" i="25" s="1"/>
  <c r="BR75" i="25" s="1"/>
  <c r="BI33" i="25"/>
  <c r="BK33" i="25" s="1"/>
  <c r="BI24" i="25"/>
  <c r="BK24" i="25" s="1"/>
  <c r="BH84" i="25"/>
  <c r="BJ84" i="25" s="1"/>
  <c r="BL84" i="25" s="1"/>
  <c r="R86" i="25"/>
  <c r="T86" i="25" s="1"/>
  <c r="V86" i="25" s="1"/>
  <c r="S3" i="25"/>
  <c r="S4" i="25"/>
  <c r="U4" i="25" s="1"/>
  <c r="S11" i="25"/>
  <c r="U11" i="25" s="1"/>
  <c r="R78" i="25"/>
  <c r="T78" i="25" s="1"/>
  <c r="V78" i="25" s="1"/>
  <c r="R87" i="25"/>
  <c r="T87" i="25" s="1"/>
  <c r="V87" i="25" s="1"/>
  <c r="S32" i="25"/>
  <c r="U32" i="25" s="1"/>
  <c r="S28" i="25"/>
  <c r="U28" i="25" s="1"/>
  <c r="R90" i="25"/>
  <c r="T90" i="25" s="1"/>
  <c r="V90" i="25" s="1"/>
  <c r="S12" i="25"/>
  <c r="U12" i="25" s="1"/>
  <c r="R83" i="25"/>
  <c r="T83" i="25" s="1"/>
  <c r="V83" i="25" s="1"/>
  <c r="S17" i="25"/>
  <c r="U17" i="25" s="1"/>
  <c r="R91" i="25"/>
  <c r="T91" i="25" s="1"/>
  <c r="V91" i="25" s="1"/>
  <c r="AK17" i="25"/>
  <c r="AM17" i="25" s="1"/>
  <c r="P5" i="25"/>
  <c r="S34" i="25"/>
  <c r="U34" i="25" s="1"/>
  <c r="S38" i="25"/>
  <c r="U38" i="25" s="1"/>
  <c r="BC18" i="25"/>
  <c r="BE18" i="25" s="1"/>
  <c r="BC19" i="25"/>
  <c r="BE19" i="25" s="1"/>
  <c r="BC7" i="25"/>
  <c r="BE7" i="25" s="1"/>
  <c r="BC16" i="25"/>
  <c r="BE16" i="25" s="1"/>
  <c r="BC9" i="25"/>
  <c r="BE9" i="25" s="1"/>
  <c r="BC34" i="25"/>
  <c r="BE34" i="25" s="1"/>
  <c r="BB77" i="25"/>
  <c r="BD77" i="25" s="1"/>
  <c r="BF77" i="25" s="1"/>
  <c r="AK24" i="25"/>
  <c r="AM24" i="25" s="1"/>
  <c r="AK31" i="25"/>
  <c r="AM31" i="25" s="1"/>
  <c r="AK32" i="25"/>
  <c r="AM32" i="25" s="1"/>
  <c r="AK38" i="25"/>
  <c r="AM38" i="25" s="1"/>
  <c r="AK35" i="25"/>
  <c r="AM35" i="25" s="1"/>
  <c r="AK33" i="25"/>
  <c r="AM33" i="25" s="1"/>
  <c r="AK36" i="25"/>
  <c r="AM36" i="25" s="1"/>
  <c r="AK34" i="25"/>
  <c r="AM34" i="25" s="1"/>
  <c r="AK37" i="25"/>
  <c r="AM37" i="25" s="1"/>
  <c r="BB85" i="25"/>
  <c r="BD85" i="25" s="1"/>
  <c r="BF85" i="25" s="1"/>
  <c r="BC32" i="25"/>
  <c r="BE32" i="25" s="1"/>
  <c r="BB76" i="25"/>
  <c r="BD76" i="25" s="1"/>
  <c r="BF76" i="25" s="1"/>
  <c r="BC3" i="25"/>
  <c r="BC28" i="25"/>
  <c r="BE28" i="25" s="1"/>
  <c r="P62" i="25"/>
  <c r="BB89" i="25"/>
  <c r="BD89" i="25" s="1"/>
  <c r="BF89" i="25" s="1"/>
  <c r="AK10" i="25"/>
  <c r="AM10" i="25" s="1"/>
  <c r="AK5" i="25"/>
  <c r="AM5" i="25" s="1"/>
  <c r="AK30" i="25"/>
  <c r="AM30" i="25" s="1"/>
  <c r="BB83" i="25"/>
  <c r="BD83" i="25" s="1"/>
  <c r="BF83" i="25" s="1"/>
  <c r="BC31" i="25"/>
  <c r="BE31" i="25" s="1"/>
  <c r="BC22" i="25"/>
  <c r="BE22" i="25" s="1"/>
  <c r="BB75" i="25"/>
  <c r="BD75" i="25" s="1"/>
  <c r="BF75" i="25" s="1"/>
  <c r="BB84" i="25"/>
  <c r="BD84" i="25" s="1"/>
  <c r="BF84" i="25" s="1"/>
  <c r="BC10" i="25"/>
  <c r="BE10" i="25" s="1"/>
  <c r="BC37" i="25"/>
  <c r="BE37" i="25" s="1"/>
  <c r="BB82" i="25"/>
  <c r="BD82" i="25" s="1"/>
  <c r="BF82" i="25" s="1"/>
  <c r="BC30" i="25"/>
  <c r="BE30" i="25" s="1"/>
  <c r="BB88" i="25"/>
  <c r="BD88" i="25" s="1"/>
  <c r="BF88" i="25" s="1"/>
  <c r="BB78" i="25"/>
  <c r="BD78" i="25" s="1"/>
  <c r="BF78" i="25" s="1"/>
  <c r="BC14" i="25"/>
  <c r="BE14" i="25" s="1"/>
  <c r="AJ83" i="25"/>
  <c r="AL83" i="25" s="1"/>
  <c r="AN83" i="25" s="1"/>
  <c r="AK93" i="25"/>
  <c r="AM93" i="25" s="1"/>
  <c r="P32" i="25"/>
  <c r="AK19" i="25"/>
  <c r="AM19" i="25" s="1"/>
  <c r="AK27" i="25"/>
  <c r="AM27" i="25" s="1"/>
  <c r="AJ78" i="25"/>
  <c r="AL78" i="25" s="1"/>
  <c r="AN78" i="25" s="1"/>
  <c r="BB93" i="25"/>
  <c r="BD93" i="25" s="1"/>
  <c r="BC33" i="25"/>
  <c r="BE33" i="25" s="1"/>
  <c r="BC38" i="25"/>
  <c r="BE38" i="25" s="1"/>
  <c r="BC20" i="25"/>
  <c r="BE20" i="25" s="1"/>
  <c r="BC17" i="25"/>
  <c r="BE17" i="25" s="1"/>
  <c r="BC24" i="25"/>
  <c r="BE24" i="25" s="1"/>
  <c r="BB87" i="25"/>
  <c r="BD87" i="25" s="1"/>
  <c r="BF87" i="25" s="1"/>
  <c r="BC5" i="25"/>
  <c r="BE5" i="25" s="1"/>
  <c r="BC27" i="25"/>
  <c r="BE27" i="25" s="1"/>
  <c r="AJ80" i="25"/>
  <c r="AL80" i="25" s="1"/>
  <c r="AN80" i="25" s="1"/>
  <c r="AK16" i="25"/>
  <c r="AM16" i="25" s="1"/>
  <c r="BB91" i="25"/>
  <c r="BD91" i="25" s="1"/>
  <c r="BF91" i="25" s="1"/>
  <c r="BC6" i="25"/>
  <c r="BE6" i="25" s="1"/>
  <c r="BC36" i="25"/>
  <c r="BE36" i="25" s="1"/>
  <c r="BB80" i="25"/>
  <c r="BD80" i="25" s="1"/>
  <c r="BF80" i="25" s="1"/>
  <c r="BC8" i="25"/>
  <c r="BE8" i="25" s="1"/>
  <c r="BC25" i="25"/>
  <c r="BE25" i="25" s="1"/>
  <c r="BC11" i="25"/>
  <c r="BE11" i="25" s="1"/>
  <c r="BB90" i="25"/>
  <c r="BD90" i="25" s="1"/>
  <c r="BF90" i="25" s="1"/>
  <c r="BC15" i="25"/>
  <c r="BE15" i="25" s="1"/>
  <c r="BC26" i="25"/>
  <c r="BE26" i="25" s="1"/>
  <c r="BB92" i="25"/>
  <c r="BD92" i="25" s="1"/>
  <c r="BF92" i="25" s="1"/>
  <c r="BC21" i="25"/>
  <c r="BE21" i="25" s="1"/>
  <c r="BC13" i="25"/>
  <c r="BE13" i="25" s="1"/>
  <c r="BC29" i="25"/>
  <c r="BE29" i="25" s="1"/>
  <c r="AK4" i="25"/>
  <c r="AM4" i="25" s="1"/>
  <c r="AJ90" i="25"/>
  <c r="AL90" i="25" s="1"/>
  <c r="AN90" i="25" s="1"/>
  <c r="AJ92" i="25"/>
  <c r="AL92" i="25" s="1"/>
  <c r="AN92" i="25" s="1"/>
  <c r="AK9" i="25"/>
  <c r="AM9" i="25" s="1"/>
  <c r="AE33" i="25"/>
  <c r="AG33" i="25" s="1"/>
  <c r="AE32" i="25"/>
  <c r="AG32" i="25" s="1"/>
  <c r="AE36" i="25"/>
  <c r="AG36" i="25" s="1"/>
  <c r="AE31" i="25"/>
  <c r="AG31" i="25" s="1"/>
  <c r="AE34" i="25"/>
  <c r="AG34" i="25" s="1"/>
  <c r="AE35" i="25"/>
  <c r="AG35" i="25" s="1"/>
  <c r="AE37" i="25"/>
  <c r="AG37" i="25" s="1"/>
  <c r="AE38" i="25"/>
  <c r="AG38" i="25" s="1"/>
  <c r="AJ91" i="25"/>
  <c r="AL91" i="25" s="1"/>
  <c r="AN91" i="25" s="1"/>
  <c r="AJ87" i="25"/>
  <c r="AL87" i="25" s="1"/>
  <c r="AN87" i="25" s="1"/>
  <c r="AJ82" i="25"/>
  <c r="AL82" i="25" s="1"/>
  <c r="AN82" i="25" s="1"/>
  <c r="AE75" i="25"/>
  <c r="AG75" i="25" s="1"/>
  <c r="AD93" i="25"/>
  <c r="AF93" i="25" s="1"/>
  <c r="AD82" i="25"/>
  <c r="AF82" i="25" s="1"/>
  <c r="AH82" i="25" s="1"/>
  <c r="AD92" i="25"/>
  <c r="AF92" i="25" s="1"/>
  <c r="AH92" i="25" s="1"/>
  <c r="AE22" i="25"/>
  <c r="AG22" i="25" s="1"/>
  <c r="AE29" i="25"/>
  <c r="AG29" i="25" s="1"/>
  <c r="AE19" i="25"/>
  <c r="AG19" i="25" s="1"/>
  <c r="AE28" i="25"/>
  <c r="AG28" i="25" s="1"/>
  <c r="AE11" i="25"/>
  <c r="AG11" i="25" s="1"/>
  <c r="AD81" i="25"/>
  <c r="AF81" i="25" s="1"/>
  <c r="AH81" i="25" s="1"/>
  <c r="AE26" i="25"/>
  <c r="AG26" i="25" s="1"/>
  <c r="AD75" i="25"/>
  <c r="AF75" i="25" s="1"/>
  <c r="AD80" i="25"/>
  <c r="AF80" i="25" s="1"/>
  <c r="AH80" i="25" s="1"/>
  <c r="AE7" i="25"/>
  <c r="AG7" i="25" s="1"/>
  <c r="AE21" i="25"/>
  <c r="AG21" i="25" s="1"/>
  <c r="AE5" i="25"/>
  <c r="AG5" i="25" s="1"/>
  <c r="AE20" i="25"/>
  <c r="AG20" i="25" s="1"/>
  <c r="AD79" i="25"/>
  <c r="AF79" i="25" s="1"/>
  <c r="AH79" i="25" s="1"/>
  <c r="AE25" i="25"/>
  <c r="AG25" i="25" s="1"/>
  <c r="AE6" i="25"/>
  <c r="AG6" i="25" s="1"/>
  <c r="AE23" i="25"/>
  <c r="AG23" i="25" s="1"/>
  <c r="P22" i="25"/>
  <c r="AD89" i="25"/>
  <c r="AF89" i="25" s="1"/>
  <c r="AH89" i="25" s="1"/>
  <c r="AD90" i="25"/>
  <c r="AF90" i="25" s="1"/>
  <c r="AH90" i="25" s="1"/>
  <c r="AE8" i="25"/>
  <c r="AG8" i="25" s="1"/>
  <c r="AE13" i="25"/>
  <c r="AG13" i="25" s="1"/>
  <c r="BT6" i="27"/>
  <c r="BV6" i="27" s="1"/>
  <c r="BX6" i="27" s="1"/>
  <c r="T6" i="27"/>
  <c r="V6" i="27" s="1"/>
  <c r="BB6" i="27"/>
  <c r="BD6" i="27" s="1"/>
  <c r="BF6" i="27" s="1"/>
  <c r="BH6" i="27"/>
  <c r="BJ6" i="27" s="1"/>
  <c r="BL6" i="27" s="1"/>
  <c r="AF6" i="27"/>
  <c r="AH6" i="27" s="1"/>
  <c r="AP6" i="27"/>
  <c r="AR6" i="27" s="1"/>
  <c r="AT6" i="27" s="1"/>
  <c r="Z6" i="27"/>
  <c r="AB6" i="27" s="1"/>
  <c r="AV6" i="27"/>
  <c r="AX6" i="27" s="1"/>
  <c r="AZ6" i="27" s="1"/>
  <c r="BN6" i="27"/>
  <c r="BP6" i="27" s="1"/>
  <c r="BR6" i="27" s="1"/>
  <c r="AJ6" i="27"/>
  <c r="AL6" i="27" s="1"/>
  <c r="AN6" i="27" s="1"/>
  <c r="X79" i="26"/>
  <c r="Z79" i="26" s="1"/>
  <c r="AB79" i="26" s="1"/>
  <c r="BT79" i="26"/>
  <c r="BV79" i="26" s="1"/>
  <c r="BX79" i="26" s="1"/>
  <c r="R79" i="26"/>
  <c r="T79" i="26" s="1"/>
  <c r="V79" i="26" s="1"/>
  <c r="BN79" i="26"/>
  <c r="BP79" i="26" s="1"/>
  <c r="BR79" i="26" s="1"/>
  <c r="BB79" i="26"/>
  <c r="BD79" i="26" s="1"/>
  <c r="BF79" i="26" s="1"/>
  <c r="AJ79" i="26"/>
  <c r="AL79" i="26" s="1"/>
  <c r="AN79" i="26" s="1"/>
  <c r="AV79" i="26"/>
  <c r="AX79" i="26" s="1"/>
  <c r="AZ79" i="26" s="1"/>
  <c r="AP79" i="26"/>
  <c r="AR79" i="26" s="1"/>
  <c r="AT79" i="26" s="1"/>
  <c r="AD79" i="26"/>
  <c r="AF79" i="26" s="1"/>
  <c r="AH79" i="26" s="1"/>
  <c r="BH79" i="26"/>
  <c r="BJ79" i="26" s="1"/>
  <c r="BL79" i="26" s="1"/>
  <c r="AE27" i="25" l="1"/>
  <c r="AG27" i="25" s="1"/>
  <c r="AD76" i="25"/>
  <c r="AF76" i="25" s="1"/>
  <c r="AH76" i="25" s="1"/>
  <c r="AE9" i="25"/>
  <c r="AG9" i="25" s="1"/>
  <c r="AE17" i="25"/>
  <c r="AG17" i="25" s="1"/>
  <c r="AE4" i="25"/>
  <c r="AG4" i="25" s="1"/>
  <c r="AE30" i="25"/>
  <c r="AG30" i="25" s="1"/>
  <c r="AD85" i="25"/>
  <c r="AF85" i="25" s="1"/>
  <c r="AH85" i="25" s="1"/>
  <c r="AE93" i="25"/>
  <c r="AG93" i="25" s="1"/>
  <c r="AH93" i="25" s="1"/>
  <c r="AD87" i="25"/>
  <c r="AF87" i="25" s="1"/>
  <c r="AH87" i="25" s="1"/>
  <c r="AE10" i="25"/>
  <c r="AG10" i="25" s="1"/>
  <c r="AE14" i="25"/>
  <c r="AG14" i="25" s="1"/>
  <c r="AD77" i="25"/>
  <c r="AF77" i="25" s="1"/>
  <c r="AH77" i="25" s="1"/>
  <c r="AV90" i="25"/>
  <c r="AX90" i="25" s="1"/>
  <c r="AZ90" i="25" s="1"/>
  <c r="AV92" i="25"/>
  <c r="AX92" i="25" s="1"/>
  <c r="AZ92" i="25" s="1"/>
  <c r="AW6" i="25"/>
  <c r="AY6" i="25" s="1"/>
  <c r="AV84" i="25"/>
  <c r="AX84" i="25" s="1"/>
  <c r="AZ84" i="25" s="1"/>
  <c r="AV79" i="25"/>
  <c r="AX79" i="25" s="1"/>
  <c r="AZ79" i="25" s="1"/>
  <c r="AV91" i="25"/>
  <c r="AX91" i="25" s="1"/>
  <c r="AZ91" i="25" s="1"/>
  <c r="AV93" i="25"/>
  <c r="AX93" i="25" s="1"/>
  <c r="AV86" i="25"/>
  <c r="AX86" i="25" s="1"/>
  <c r="AZ86" i="25" s="1"/>
  <c r="AW29" i="25"/>
  <c r="AY29" i="25" s="1"/>
  <c r="AW24" i="25"/>
  <c r="AY24" i="25" s="1"/>
  <c r="AW3" i="25"/>
  <c r="AV81" i="25"/>
  <c r="AX81" i="25" s="1"/>
  <c r="AZ81" i="25" s="1"/>
  <c r="Y31" i="25"/>
  <c r="AA31" i="25" s="1"/>
  <c r="Y20" i="25"/>
  <c r="AA20" i="25" s="1"/>
  <c r="AW14" i="25"/>
  <c r="AY14" i="25" s="1"/>
  <c r="AE18" i="25"/>
  <c r="AG18" i="25" s="1"/>
  <c r="AD84" i="25"/>
  <c r="AF84" i="25" s="1"/>
  <c r="AH84" i="25" s="1"/>
  <c r="AE24" i="25"/>
  <c r="AG24" i="25" s="1"/>
  <c r="AD86" i="25"/>
  <c r="AF86" i="25" s="1"/>
  <c r="AH86" i="25" s="1"/>
  <c r="AE15" i="25"/>
  <c r="AG15" i="25" s="1"/>
  <c r="AE16" i="25"/>
  <c r="AG16" i="25" s="1"/>
  <c r="AD78" i="25"/>
  <c r="AF78" i="25" s="1"/>
  <c r="AH78" i="25" s="1"/>
  <c r="AE12" i="25"/>
  <c r="AG12" i="25" s="1"/>
  <c r="AD83" i="25"/>
  <c r="AF83" i="25" s="1"/>
  <c r="AH83" i="25" s="1"/>
  <c r="AE3" i="25"/>
  <c r="AD91" i="25"/>
  <c r="AF91" i="25" s="1"/>
  <c r="AH91" i="25" s="1"/>
  <c r="BH80" i="25"/>
  <c r="BJ80" i="25" s="1"/>
  <c r="BL80" i="25" s="1"/>
  <c r="BI15" i="25"/>
  <c r="BK15" i="25" s="1"/>
  <c r="BN76" i="25"/>
  <c r="BP76" i="25" s="1"/>
  <c r="BR76" i="25" s="1"/>
  <c r="BO13" i="25"/>
  <c r="BQ13" i="25" s="1"/>
  <c r="BN93" i="25"/>
  <c r="BP93" i="25" s="1"/>
  <c r="BN78" i="25"/>
  <c r="BP78" i="25" s="1"/>
  <c r="BR78" i="25" s="1"/>
  <c r="BO17" i="25"/>
  <c r="BQ17" i="25" s="1"/>
  <c r="BO30" i="25"/>
  <c r="BQ30" i="25" s="1"/>
  <c r="BN79" i="25"/>
  <c r="BP79" i="25" s="1"/>
  <c r="BR79" i="25" s="1"/>
  <c r="BO5" i="25"/>
  <c r="BQ5" i="25" s="1"/>
  <c r="BO29" i="25"/>
  <c r="BQ29" i="25" s="1"/>
  <c r="AW30" i="25"/>
  <c r="AY30" i="25" s="1"/>
  <c r="AW19" i="25"/>
  <c r="AY19" i="25" s="1"/>
  <c r="AV82" i="25"/>
  <c r="AX82" i="25" s="1"/>
  <c r="AZ82" i="25" s="1"/>
  <c r="AV89" i="25"/>
  <c r="AX89" i="25" s="1"/>
  <c r="AZ89" i="25" s="1"/>
  <c r="AW93" i="25"/>
  <c r="AY93" i="25" s="1"/>
  <c r="AW8" i="25"/>
  <c r="AY8" i="25" s="1"/>
  <c r="AW11" i="25"/>
  <c r="AY11" i="25" s="1"/>
  <c r="AW27" i="25"/>
  <c r="AY27" i="25" s="1"/>
  <c r="AV77" i="25"/>
  <c r="AX77" i="25" s="1"/>
  <c r="AZ77" i="25" s="1"/>
  <c r="AP76" i="25"/>
  <c r="AR76" i="25" s="1"/>
  <c r="AT76" i="25" s="1"/>
  <c r="BC4" i="25"/>
  <c r="BE4" i="25" s="1"/>
  <c r="BB79" i="25"/>
  <c r="BD79" i="25" s="1"/>
  <c r="BF79" i="25" s="1"/>
  <c r="BC93" i="25"/>
  <c r="BE93" i="25" s="1"/>
  <c r="AW13" i="25"/>
  <c r="AY13" i="25" s="1"/>
  <c r="Y10" i="25"/>
  <c r="AA10" i="25" s="1"/>
  <c r="BO19" i="25"/>
  <c r="BQ19" i="25" s="1"/>
  <c r="AV80" i="25"/>
  <c r="AX80" i="25" s="1"/>
  <c r="AZ80" i="25" s="1"/>
  <c r="AW16" i="25"/>
  <c r="AY16" i="25" s="1"/>
  <c r="AW20" i="25"/>
  <c r="AY20" i="25" s="1"/>
  <c r="AW18" i="25"/>
  <c r="AY18" i="25" s="1"/>
  <c r="AW31" i="25"/>
  <c r="AY31" i="25" s="1"/>
  <c r="AW10" i="25"/>
  <c r="AY10" i="25" s="1"/>
  <c r="AW23" i="25"/>
  <c r="AY23" i="25" s="1"/>
  <c r="AV87" i="25"/>
  <c r="AX87" i="25" s="1"/>
  <c r="AZ87" i="25" s="1"/>
  <c r="AW25" i="25"/>
  <c r="AY25" i="25" s="1"/>
  <c r="AW21" i="25"/>
  <c r="AY21" i="25" s="1"/>
  <c r="AV75" i="25"/>
  <c r="AX75" i="25" s="1"/>
  <c r="AZ75" i="25" s="1"/>
  <c r="AW26" i="25"/>
  <c r="AY26" i="25" s="1"/>
  <c r="AW9" i="25"/>
  <c r="AY9" i="25" s="1"/>
  <c r="AV83" i="25"/>
  <c r="AX83" i="25" s="1"/>
  <c r="AZ83" i="25" s="1"/>
  <c r="BH90" i="25"/>
  <c r="BJ90" i="25" s="1"/>
  <c r="BL90" i="25" s="1"/>
  <c r="BO3" i="25"/>
  <c r="BO18" i="25"/>
  <c r="BQ18" i="25" s="1"/>
  <c r="Y24" i="25"/>
  <c r="AA24" i="25" s="1"/>
  <c r="AK22" i="25"/>
  <c r="AM22" i="25" s="1"/>
  <c r="AK8" i="25"/>
  <c r="AM8" i="25" s="1"/>
  <c r="AJ88" i="25"/>
  <c r="AL88" i="25" s="1"/>
  <c r="AN88" i="25" s="1"/>
  <c r="AJ76" i="25"/>
  <c r="AL76" i="25" s="1"/>
  <c r="AN76" i="25" s="1"/>
  <c r="AJ89" i="25"/>
  <c r="AL89" i="25" s="1"/>
  <c r="AN89" i="25" s="1"/>
  <c r="AK23" i="25"/>
  <c r="AM23" i="25" s="1"/>
  <c r="AK18" i="25"/>
  <c r="AM18" i="25" s="1"/>
  <c r="AK6" i="25"/>
  <c r="AM6" i="25" s="1"/>
  <c r="AK28" i="25"/>
  <c r="AM28" i="25" s="1"/>
  <c r="AJ93" i="25"/>
  <c r="AL93" i="25" s="1"/>
  <c r="AN93" i="25" s="1"/>
  <c r="AK3" i="25"/>
  <c r="AJ75" i="25"/>
  <c r="AL75" i="25" s="1"/>
  <c r="AN75" i="25" s="1"/>
  <c r="V93" i="25"/>
  <c r="AK7" i="25"/>
  <c r="AM7" i="25" s="1"/>
  <c r="AJ77" i="25"/>
  <c r="AL77" i="25" s="1"/>
  <c r="AN77" i="25" s="1"/>
  <c r="AK21" i="25"/>
  <c r="AM21" i="25" s="1"/>
  <c r="AJ86" i="25"/>
  <c r="AL86" i="25" s="1"/>
  <c r="AN86" i="25" s="1"/>
  <c r="AK29" i="25"/>
  <c r="AM29" i="25" s="1"/>
  <c r="AJ79" i="25"/>
  <c r="AL79" i="25" s="1"/>
  <c r="AN79" i="25" s="1"/>
  <c r="AK15" i="25"/>
  <c r="AM15" i="25" s="1"/>
  <c r="AJ85" i="25"/>
  <c r="AL85" i="25" s="1"/>
  <c r="AN85" i="25" s="1"/>
  <c r="AK25" i="25"/>
  <c r="AM25" i="25" s="1"/>
  <c r="AK20" i="25"/>
  <c r="AM20" i="25" s="1"/>
  <c r="AJ84" i="25"/>
  <c r="AL84" i="25" s="1"/>
  <c r="AN84" i="25" s="1"/>
  <c r="BR93" i="25"/>
  <c r="AK14" i="25"/>
  <c r="AM14" i="25" s="1"/>
  <c r="AQ4" i="25"/>
  <c r="AS4" i="25" s="1"/>
  <c r="BN80" i="25"/>
  <c r="BP80" i="25" s="1"/>
  <c r="BR80" i="25" s="1"/>
  <c r="Y22" i="25"/>
  <c r="AA22" i="25" s="1"/>
  <c r="X83" i="25"/>
  <c r="Z83" i="25" s="1"/>
  <c r="AB83" i="25" s="1"/>
  <c r="Y30" i="25"/>
  <c r="AA30" i="25" s="1"/>
  <c r="BI4" i="25"/>
  <c r="BK4" i="25" s="1"/>
  <c r="BO23" i="25"/>
  <c r="BQ23" i="25" s="1"/>
  <c r="BN91" i="25"/>
  <c r="BP91" i="25" s="1"/>
  <c r="BR91" i="25" s="1"/>
  <c r="AP75" i="25"/>
  <c r="AR75" i="25" s="1"/>
  <c r="AT75" i="25" s="1"/>
  <c r="AQ28" i="25"/>
  <c r="AS28" i="25" s="1"/>
  <c r="AQ25" i="25"/>
  <c r="AS25" i="25" s="1"/>
  <c r="Y12" i="25"/>
  <c r="AA12" i="25" s="1"/>
  <c r="Y29" i="25"/>
  <c r="AA29" i="25" s="1"/>
  <c r="P12" i="25"/>
  <c r="X85" i="25"/>
  <c r="Z85" i="25" s="1"/>
  <c r="AB85" i="25" s="1"/>
  <c r="AP82" i="25"/>
  <c r="AR82" i="25" s="1"/>
  <c r="AT82" i="25" s="1"/>
  <c r="AP85" i="25"/>
  <c r="AR85" i="25" s="1"/>
  <c r="AT85" i="25" s="1"/>
  <c r="AP84" i="25"/>
  <c r="AR84" i="25" s="1"/>
  <c r="AT84" i="25" s="1"/>
  <c r="Y7" i="25"/>
  <c r="AA7" i="25" s="1"/>
  <c r="X93" i="25"/>
  <c r="Z93" i="25" s="1"/>
  <c r="BH91" i="25"/>
  <c r="BJ91" i="25" s="1"/>
  <c r="BL91" i="25" s="1"/>
  <c r="BI29" i="25"/>
  <c r="BK29" i="25" s="1"/>
  <c r="BI18" i="25"/>
  <c r="BK18" i="25" s="1"/>
  <c r="BI27" i="25"/>
  <c r="BK27" i="25" s="1"/>
  <c r="BH76" i="25"/>
  <c r="BJ76" i="25" s="1"/>
  <c r="BL76" i="25" s="1"/>
  <c r="BI20" i="25"/>
  <c r="BK20" i="25" s="1"/>
  <c r="BI30" i="25"/>
  <c r="BK30" i="25" s="1"/>
  <c r="BH82" i="25"/>
  <c r="BJ82" i="25" s="1"/>
  <c r="BL82" i="25" s="1"/>
  <c r="BI8" i="25"/>
  <c r="BK8" i="25" s="1"/>
  <c r="BI19" i="25"/>
  <c r="BK19" i="25" s="1"/>
  <c r="BI21" i="25"/>
  <c r="BK21" i="25" s="1"/>
  <c r="BH75" i="25"/>
  <c r="BJ75" i="25" s="1"/>
  <c r="BL75" i="25" s="1"/>
  <c r="P72" i="25"/>
  <c r="BI93" i="25"/>
  <c r="BK93" i="25" s="1"/>
  <c r="BH79" i="25"/>
  <c r="BJ79" i="25" s="1"/>
  <c r="BL79" i="25" s="1"/>
  <c r="BI3" i="25"/>
  <c r="BH81" i="25"/>
  <c r="BJ81" i="25" s="1"/>
  <c r="BL81" i="25" s="1"/>
  <c r="BI5" i="25"/>
  <c r="BK5" i="25" s="1"/>
  <c r="BH92" i="25"/>
  <c r="BJ92" i="25" s="1"/>
  <c r="BL92" i="25" s="1"/>
  <c r="BI16" i="25"/>
  <c r="BK16" i="25" s="1"/>
  <c r="BI6" i="25"/>
  <c r="BK6" i="25" s="1"/>
  <c r="BI26" i="25"/>
  <c r="BK26" i="25" s="1"/>
  <c r="BH83" i="25"/>
  <c r="BJ83" i="25" s="1"/>
  <c r="BL83" i="25" s="1"/>
  <c r="BH78" i="25"/>
  <c r="BJ78" i="25" s="1"/>
  <c r="BL78" i="25" s="1"/>
  <c r="BH86" i="25"/>
  <c r="BJ86" i="25" s="1"/>
  <c r="BL86" i="25" s="1"/>
  <c r="BI12" i="25"/>
  <c r="BK12" i="25" s="1"/>
  <c r="BI7" i="25"/>
  <c r="BK7" i="25" s="1"/>
  <c r="BH87" i="25"/>
  <c r="BJ87" i="25" s="1"/>
  <c r="BL87" i="25" s="1"/>
  <c r="BI14" i="25"/>
  <c r="BK14" i="25" s="1"/>
  <c r="BI9" i="25"/>
  <c r="BK9" i="25" s="1"/>
  <c r="BH89" i="25"/>
  <c r="BJ89" i="25" s="1"/>
  <c r="BL89" i="25" s="1"/>
  <c r="BI25" i="25"/>
  <c r="BK25" i="25" s="1"/>
  <c r="BI23" i="25"/>
  <c r="BK23" i="25" s="1"/>
  <c r="BI28" i="25"/>
  <c r="BK28" i="25" s="1"/>
  <c r="BI10" i="25"/>
  <c r="BK10" i="25" s="1"/>
  <c r="BI13" i="25"/>
  <c r="BK13" i="25" s="1"/>
  <c r="BH74" i="25"/>
  <c r="BJ74" i="25" s="1"/>
  <c r="BL74" i="25" s="1"/>
  <c r="AP83" i="25"/>
  <c r="AR83" i="25" s="1"/>
  <c r="AT83" i="25" s="1"/>
  <c r="AP74" i="25"/>
  <c r="AR74" i="25" s="1"/>
  <c r="AT74" i="25" s="1"/>
  <c r="AQ10" i="25"/>
  <c r="AS10" i="25" s="1"/>
  <c r="AQ93" i="25"/>
  <c r="AS93" i="25" s="1"/>
  <c r="AQ15" i="25"/>
  <c r="AS15" i="25" s="1"/>
  <c r="AQ24" i="25"/>
  <c r="AS24" i="25" s="1"/>
  <c r="AP91" i="25"/>
  <c r="AR91" i="25" s="1"/>
  <c r="AT91" i="25" s="1"/>
  <c r="AP77" i="25"/>
  <c r="AR77" i="25" s="1"/>
  <c r="AT77" i="25" s="1"/>
  <c r="AQ3" i="25"/>
  <c r="AQ22" i="25"/>
  <c r="AS22" i="25" s="1"/>
  <c r="AP90" i="25"/>
  <c r="AR90" i="25" s="1"/>
  <c r="AT90" i="25" s="1"/>
  <c r="AQ9" i="25"/>
  <c r="AS9" i="25" s="1"/>
  <c r="Y9" i="25"/>
  <c r="AA9" i="25" s="1"/>
  <c r="Y93" i="25"/>
  <c r="AA93" i="25" s="1"/>
  <c r="Y3" i="25"/>
  <c r="X76" i="25"/>
  <c r="Z76" i="25" s="1"/>
  <c r="AB76" i="25" s="1"/>
  <c r="X75" i="25"/>
  <c r="Z75" i="25" s="1"/>
  <c r="AB75" i="25" s="1"/>
  <c r="Y15" i="25"/>
  <c r="AA15" i="25" s="1"/>
  <c r="Y18" i="25"/>
  <c r="AA18" i="25" s="1"/>
  <c r="X84" i="25"/>
  <c r="Z84" i="25" s="1"/>
  <c r="AB84" i="25" s="1"/>
  <c r="Y23" i="25"/>
  <c r="AA23" i="25" s="1"/>
  <c r="Y25" i="25"/>
  <c r="AA25" i="25" s="1"/>
  <c r="Y13" i="25"/>
  <c r="AA13" i="25" s="1"/>
  <c r="X89" i="25"/>
  <c r="Z89" i="25" s="1"/>
  <c r="AB89" i="25" s="1"/>
  <c r="X77" i="25"/>
  <c r="Z77" i="25" s="1"/>
  <c r="AB77" i="25" s="1"/>
  <c r="AD74" i="25"/>
  <c r="AF74" i="25" s="1"/>
  <c r="AH74" i="25" s="1"/>
  <c r="BF93" i="25"/>
  <c r="AJ74" i="25"/>
  <c r="AL74" i="25" s="1"/>
  <c r="AN74" i="25" s="1"/>
  <c r="AQ23" i="25"/>
  <c r="AS23" i="25" s="1"/>
  <c r="AQ11" i="25"/>
  <c r="AS11" i="25" s="1"/>
  <c r="AQ20" i="25"/>
  <c r="AS20" i="25" s="1"/>
  <c r="AQ30" i="25"/>
  <c r="AS30" i="25" s="1"/>
  <c r="AQ29" i="25"/>
  <c r="AS29" i="25" s="1"/>
  <c r="AQ16" i="25"/>
  <c r="AS16" i="25" s="1"/>
  <c r="AP80" i="25"/>
  <c r="AR80" i="25" s="1"/>
  <c r="AT80" i="25" s="1"/>
  <c r="AQ14" i="25"/>
  <c r="AS14" i="25" s="1"/>
  <c r="AQ8" i="25"/>
  <c r="AS8" i="25" s="1"/>
  <c r="P42" i="25"/>
  <c r="AP93" i="25"/>
  <c r="AR93" i="25" s="1"/>
  <c r="AQ26" i="25"/>
  <c r="AS26" i="25" s="1"/>
  <c r="AP79" i="25"/>
  <c r="AR79" i="25" s="1"/>
  <c r="AT79" i="25" s="1"/>
  <c r="AP92" i="25"/>
  <c r="AR92" i="25" s="1"/>
  <c r="AT92" i="25" s="1"/>
  <c r="X88" i="25"/>
  <c r="Z88" i="25" s="1"/>
  <c r="AB88" i="25" s="1"/>
  <c r="Y27" i="25"/>
  <c r="AA27" i="25" s="1"/>
  <c r="X78" i="25"/>
  <c r="Z78" i="25" s="1"/>
  <c r="AB78" i="25" s="1"/>
  <c r="Y26" i="25"/>
  <c r="AA26" i="25" s="1"/>
  <c r="Y21" i="25"/>
  <c r="AA21" i="25" s="1"/>
  <c r="X86" i="25"/>
  <c r="Z86" i="25" s="1"/>
  <c r="AB86" i="25" s="1"/>
  <c r="Y17" i="25"/>
  <c r="AA17" i="25" s="1"/>
  <c r="Y4" i="25"/>
  <c r="AA4" i="25" s="1"/>
  <c r="Y5" i="25"/>
  <c r="AA5" i="25" s="1"/>
  <c r="X82" i="25"/>
  <c r="Z82" i="25" s="1"/>
  <c r="AB82" i="25" s="1"/>
  <c r="BB74" i="25"/>
  <c r="BD74" i="25" s="1"/>
  <c r="BF74" i="25" s="1"/>
  <c r="AQ5" i="25"/>
  <c r="AS5" i="25" s="1"/>
  <c r="AQ6" i="25"/>
  <c r="AS6" i="25" s="1"/>
  <c r="AP86" i="25"/>
  <c r="AR86" i="25" s="1"/>
  <c r="AT86" i="25" s="1"/>
  <c r="AQ12" i="25"/>
  <c r="AS12" i="25" s="1"/>
  <c r="AP87" i="25"/>
  <c r="AR87" i="25" s="1"/>
  <c r="AT87" i="25" s="1"/>
  <c r="AQ27" i="25"/>
  <c r="AS27" i="25" s="1"/>
  <c r="AP78" i="25"/>
  <c r="AR78" i="25" s="1"/>
  <c r="AT78" i="25" s="1"/>
  <c r="AP88" i="25"/>
  <c r="AR88" i="25" s="1"/>
  <c r="AT88" i="25" s="1"/>
  <c r="AP81" i="25"/>
  <c r="AR81" i="25" s="1"/>
  <c r="AT81" i="25" s="1"/>
  <c r="AQ18" i="25"/>
  <c r="AS18" i="25" s="1"/>
  <c r="AP89" i="25"/>
  <c r="AR89" i="25" s="1"/>
  <c r="AT89" i="25" s="1"/>
  <c r="AQ17" i="25"/>
  <c r="AS17" i="25" s="1"/>
  <c r="Y11" i="25"/>
  <c r="AA11" i="25" s="1"/>
  <c r="X81" i="25"/>
  <c r="Z81" i="25" s="1"/>
  <c r="AB81" i="25" s="1"/>
  <c r="Y19" i="25"/>
  <c r="AA19" i="25" s="1"/>
  <c r="Y8" i="25"/>
  <c r="AA8" i="25" s="1"/>
  <c r="X91" i="25"/>
  <c r="Z91" i="25" s="1"/>
  <c r="AB91" i="25" s="1"/>
  <c r="X92" i="25"/>
  <c r="Z92" i="25" s="1"/>
  <c r="AB92" i="25" s="1"/>
  <c r="Y16" i="25"/>
  <c r="AA16" i="25" s="1"/>
  <c r="Y6" i="25"/>
  <c r="AA6" i="25" s="1"/>
  <c r="X79" i="25"/>
  <c r="Z79" i="25" s="1"/>
  <c r="AB79" i="25" s="1"/>
  <c r="X87" i="25"/>
  <c r="Z87" i="25" s="1"/>
  <c r="AB87" i="25" s="1"/>
  <c r="Y28" i="25"/>
  <c r="AA28" i="25" s="1"/>
  <c r="Y14" i="25"/>
  <c r="AA14" i="25" s="1"/>
  <c r="BL93" i="25"/>
  <c r="BU4" i="25"/>
  <c r="BW4" i="25" s="1"/>
  <c r="BU28" i="25"/>
  <c r="BW28" i="25" s="1"/>
  <c r="BU6" i="25"/>
  <c r="BW6" i="25" s="1"/>
  <c r="BU13" i="25"/>
  <c r="BW13" i="25" s="1"/>
  <c r="BU27" i="25"/>
  <c r="BW27" i="25" s="1"/>
  <c r="BU26" i="25"/>
  <c r="BW26" i="25" s="1"/>
  <c r="BU93" i="25"/>
  <c r="BW93" i="25" s="1"/>
  <c r="BX93" i="25" s="1"/>
  <c r="BU12" i="25"/>
  <c r="BW12" i="25" s="1"/>
  <c r="BU25" i="25"/>
  <c r="BW25" i="25" s="1"/>
  <c r="BU9" i="25"/>
  <c r="BW9" i="25" s="1"/>
  <c r="BU18" i="25"/>
  <c r="BW18" i="25" s="1"/>
  <c r="BU17" i="25"/>
  <c r="BW17" i="25" s="1"/>
  <c r="BU32" i="25"/>
  <c r="BW32" i="25" s="1"/>
  <c r="BU7" i="25"/>
  <c r="BW7" i="25" s="1"/>
  <c r="BU15" i="25"/>
  <c r="BW15" i="25" s="1"/>
  <c r="BU31" i="25"/>
  <c r="BW31" i="25" s="1"/>
  <c r="BU30" i="25"/>
  <c r="BW30" i="25" s="1"/>
  <c r="BU5" i="25"/>
  <c r="BW5" i="25" s="1"/>
  <c r="BU14" i="25"/>
  <c r="BW14" i="25" s="1"/>
  <c r="BU29" i="25"/>
  <c r="BW29" i="25" s="1"/>
  <c r="P92" i="25"/>
  <c r="BU3" i="25"/>
  <c r="BU24" i="25"/>
  <c r="BW24" i="25" s="1"/>
  <c r="BU11" i="25"/>
  <c r="BW11" i="25" s="1"/>
  <c r="BU19" i="25"/>
  <c r="BW19" i="25" s="1"/>
  <c r="BU23" i="25"/>
  <c r="BW23" i="25" s="1"/>
  <c r="BU10" i="25"/>
  <c r="BW10" i="25" s="1"/>
  <c r="BU21" i="25"/>
  <c r="BW21" i="25" s="1"/>
  <c r="BU20" i="25"/>
  <c r="BW20" i="25" s="1"/>
  <c r="BU16" i="25"/>
  <c r="BW16" i="25" s="1"/>
  <c r="BU22" i="25"/>
  <c r="BW22" i="25" s="1"/>
  <c r="BU8" i="25"/>
  <c r="BW8" i="25" s="1"/>
  <c r="G73" i="25"/>
  <c r="BT74" i="25"/>
  <c r="BV74" i="25" s="1"/>
  <c r="BX74" i="25" s="1"/>
  <c r="X74" i="25"/>
  <c r="Z74" i="25" s="1"/>
  <c r="AB74" i="25" s="1"/>
  <c r="AV74" i="25"/>
  <c r="AX74" i="25" s="1"/>
  <c r="AZ74" i="25" s="1"/>
  <c r="AZ93" i="25"/>
  <c r="AH75" i="25"/>
  <c r="BT5" i="27"/>
  <c r="BV5" i="27" s="1"/>
  <c r="BX5" i="27" s="1"/>
  <c r="T5" i="27"/>
  <c r="V5" i="27" s="1"/>
  <c r="BB5" i="27"/>
  <c r="BD5" i="27" s="1"/>
  <c r="BF5" i="27" s="1"/>
  <c r="AF5" i="27"/>
  <c r="AH5" i="27" s="1"/>
  <c r="BH5" i="27"/>
  <c r="BJ5" i="27" s="1"/>
  <c r="BL5" i="27" s="1"/>
  <c r="BN5" i="27"/>
  <c r="BP5" i="27" s="1"/>
  <c r="BR5" i="27" s="1"/>
  <c r="Z5" i="27"/>
  <c r="AB5" i="27" s="1"/>
  <c r="AV5" i="27"/>
  <c r="AX5" i="27" s="1"/>
  <c r="AZ5" i="27" s="1"/>
  <c r="AP5" i="27"/>
  <c r="AR5" i="27" s="1"/>
  <c r="AT5" i="27" s="1"/>
  <c r="AJ5" i="27"/>
  <c r="AL5" i="27" s="1"/>
  <c r="AN5" i="27" s="1"/>
  <c r="X78" i="26"/>
  <c r="Z78" i="26" s="1"/>
  <c r="AB78" i="26" s="1"/>
  <c r="BT78" i="26"/>
  <c r="BV78" i="26" s="1"/>
  <c r="BX78" i="26" s="1"/>
  <c r="R78" i="26"/>
  <c r="T78" i="26" s="1"/>
  <c r="V78" i="26" s="1"/>
  <c r="AP78" i="26"/>
  <c r="AR78" i="26" s="1"/>
  <c r="AT78" i="26" s="1"/>
  <c r="BB78" i="26"/>
  <c r="BD78" i="26" s="1"/>
  <c r="BF78" i="26" s="1"/>
  <c r="AD78" i="26"/>
  <c r="AF78" i="26" s="1"/>
  <c r="AH78" i="26" s="1"/>
  <c r="BH78" i="26"/>
  <c r="BJ78" i="26" s="1"/>
  <c r="BL78" i="26" s="1"/>
  <c r="BN78" i="26"/>
  <c r="BP78" i="26" s="1"/>
  <c r="BR78" i="26" s="1"/>
  <c r="AV78" i="26"/>
  <c r="AX78" i="26" s="1"/>
  <c r="AZ78" i="26" s="1"/>
  <c r="AJ78" i="26"/>
  <c r="AL78" i="26" s="1"/>
  <c r="AN78" i="26" s="1"/>
  <c r="AB93" i="25" l="1"/>
  <c r="AT93" i="25"/>
  <c r="G72" i="25"/>
  <c r="X73" i="25"/>
  <c r="Z73" i="25" s="1"/>
  <c r="AB73" i="25" s="1"/>
  <c r="BN73" i="25"/>
  <c r="BP73" i="25" s="1"/>
  <c r="BR73" i="25" s="1"/>
  <c r="AV73" i="25"/>
  <c r="AX73" i="25" s="1"/>
  <c r="AZ73" i="25" s="1"/>
  <c r="BT73" i="25"/>
  <c r="BV73" i="25" s="1"/>
  <c r="BX73" i="25" s="1"/>
  <c r="AJ73" i="25"/>
  <c r="AL73" i="25" s="1"/>
  <c r="AN73" i="25" s="1"/>
  <c r="BB73" i="25"/>
  <c r="BD73" i="25" s="1"/>
  <c r="BF73" i="25" s="1"/>
  <c r="AD73" i="25"/>
  <c r="AF73" i="25" s="1"/>
  <c r="AH73" i="25" s="1"/>
  <c r="AP73" i="25"/>
  <c r="AR73" i="25" s="1"/>
  <c r="AT73" i="25" s="1"/>
  <c r="R73" i="25"/>
  <c r="T73" i="25" s="1"/>
  <c r="V73" i="25" s="1"/>
  <c r="BH73" i="25"/>
  <c r="BJ73" i="25" s="1"/>
  <c r="BL73" i="25" s="1"/>
  <c r="BT4" i="27"/>
  <c r="BV4" i="27" s="1"/>
  <c r="BX4" i="27" s="1"/>
  <c r="BB4" i="27"/>
  <c r="BD4" i="27" s="1"/>
  <c r="BF4" i="27" s="1"/>
  <c r="AF4" i="27"/>
  <c r="AH4" i="27" s="1"/>
  <c r="T4" i="27"/>
  <c r="V4" i="27" s="1"/>
  <c r="BH4" i="27"/>
  <c r="BJ4" i="27" s="1"/>
  <c r="BL4" i="27" s="1"/>
  <c r="BN4" i="27"/>
  <c r="BP4" i="27" s="1"/>
  <c r="BR4" i="27" s="1"/>
  <c r="AP4" i="27"/>
  <c r="AR4" i="27" s="1"/>
  <c r="AT4" i="27" s="1"/>
  <c r="AV4" i="27"/>
  <c r="AX4" i="27" s="1"/>
  <c r="AZ4" i="27" s="1"/>
  <c r="Z4" i="27"/>
  <c r="AB4" i="27" s="1"/>
  <c r="AJ4" i="27"/>
  <c r="AL4" i="27" s="1"/>
  <c r="AN4" i="27" s="1"/>
  <c r="X77" i="26"/>
  <c r="Z77" i="26" s="1"/>
  <c r="AB77" i="26" s="1"/>
  <c r="BT77" i="26"/>
  <c r="BV77" i="26" s="1"/>
  <c r="BX77" i="26" s="1"/>
  <c r="BH77" i="26"/>
  <c r="BJ77" i="26" s="1"/>
  <c r="BL77" i="26" s="1"/>
  <c r="BB77" i="26"/>
  <c r="BD77" i="26" s="1"/>
  <c r="BF77" i="26" s="1"/>
  <c r="AV77" i="26"/>
  <c r="AX77" i="26" s="1"/>
  <c r="AZ77" i="26" s="1"/>
  <c r="AD77" i="26"/>
  <c r="AF77" i="26" s="1"/>
  <c r="AH77" i="26" s="1"/>
  <c r="AP77" i="26"/>
  <c r="AR77" i="26" s="1"/>
  <c r="AT77" i="26" s="1"/>
  <c r="R77" i="26"/>
  <c r="T77" i="26" s="1"/>
  <c r="V77" i="26" s="1"/>
  <c r="AJ77" i="26"/>
  <c r="AL77" i="26" s="1"/>
  <c r="AN77" i="26" s="1"/>
  <c r="BN77" i="26"/>
  <c r="BP77" i="26" s="1"/>
  <c r="BR77" i="26" s="1"/>
  <c r="G71" i="25" l="1"/>
  <c r="X72" i="25"/>
  <c r="Z72" i="25" s="1"/>
  <c r="AB72" i="25" s="1"/>
  <c r="BT72" i="25"/>
  <c r="BV72" i="25" s="1"/>
  <c r="BX72" i="25" s="1"/>
  <c r="BH72" i="25"/>
  <c r="BJ72" i="25" s="1"/>
  <c r="BL72" i="25" s="1"/>
  <c r="AD72" i="25"/>
  <c r="AF72" i="25" s="1"/>
  <c r="AH72" i="25" s="1"/>
  <c r="AP72" i="25"/>
  <c r="AR72" i="25" s="1"/>
  <c r="AT72" i="25" s="1"/>
  <c r="AJ72" i="25"/>
  <c r="AL72" i="25" s="1"/>
  <c r="AN72" i="25" s="1"/>
  <c r="BB72" i="25"/>
  <c r="BD72" i="25" s="1"/>
  <c r="BF72" i="25" s="1"/>
  <c r="AV72" i="25"/>
  <c r="AX72" i="25" s="1"/>
  <c r="AZ72" i="25" s="1"/>
  <c r="R72" i="25"/>
  <c r="T72" i="25" s="1"/>
  <c r="V72" i="25" s="1"/>
  <c r="BN72" i="25"/>
  <c r="BP72" i="25" s="1"/>
  <c r="BR72" i="25" s="1"/>
  <c r="BT3" i="27"/>
  <c r="BH3" i="27"/>
  <c r="BB3" i="27"/>
  <c r="AJ3" i="27"/>
  <c r="BN3" i="27"/>
  <c r="AV3" i="27"/>
  <c r="AP3" i="27"/>
  <c r="X76" i="26"/>
  <c r="Z76" i="26" s="1"/>
  <c r="AB76" i="26" s="1"/>
  <c r="BT76" i="26"/>
  <c r="BV76" i="26" s="1"/>
  <c r="BX76" i="26" s="1"/>
  <c r="BH76" i="26"/>
  <c r="BJ76" i="26" s="1"/>
  <c r="BL76" i="26" s="1"/>
  <c r="BN76" i="26"/>
  <c r="BP76" i="26" s="1"/>
  <c r="BR76" i="26" s="1"/>
  <c r="AV76" i="26"/>
  <c r="AX76" i="26" s="1"/>
  <c r="AZ76" i="26" s="1"/>
  <c r="BB76" i="26"/>
  <c r="BD76" i="26" s="1"/>
  <c r="BF76" i="26" s="1"/>
  <c r="R76" i="26"/>
  <c r="T76" i="26" s="1"/>
  <c r="V76" i="26" s="1"/>
  <c r="AJ76" i="26"/>
  <c r="AL76" i="26" s="1"/>
  <c r="AN76" i="26" s="1"/>
  <c r="AD76" i="26"/>
  <c r="AF76" i="26" s="1"/>
  <c r="AH76" i="26" s="1"/>
  <c r="AP76" i="26"/>
  <c r="AR76" i="26" s="1"/>
  <c r="AT76" i="26" s="1"/>
  <c r="G70" i="25" l="1"/>
  <c r="AV71" i="25"/>
  <c r="AX71" i="25" s="1"/>
  <c r="AZ71" i="25" s="1"/>
  <c r="AD71" i="25"/>
  <c r="AF71" i="25" s="1"/>
  <c r="AH71" i="25" s="1"/>
  <c r="BN71" i="25"/>
  <c r="BP71" i="25" s="1"/>
  <c r="BR71" i="25" s="1"/>
  <c r="AJ71" i="25"/>
  <c r="AL71" i="25" s="1"/>
  <c r="AN71" i="25" s="1"/>
  <c r="BH71" i="25"/>
  <c r="BJ71" i="25" s="1"/>
  <c r="BL71" i="25" s="1"/>
  <c r="BT71" i="25"/>
  <c r="BV71" i="25" s="1"/>
  <c r="BX71" i="25" s="1"/>
  <c r="BB71" i="25"/>
  <c r="BD71" i="25" s="1"/>
  <c r="BF71" i="25" s="1"/>
  <c r="AP71" i="25"/>
  <c r="AR71" i="25" s="1"/>
  <c r="AT71" i="25" s="1"/>
  <c r="R71" i="25"/>
  <c r="T71" i="25" s="1"/>
  <c r="V71" i="25" s="1"/>
  <c r="X71" i="25"/>
  <c r="Z71" i="25" s="1"/>
  <c r="AB71" i="25" s="1"/>
  <c r="X75" i="26"/>
  <c r="Z75" i="26" s="1"/>
  <c r="AB75" i="26" s="1"/>
  <c r="BT75" i="26"/>
  <c r="BV75" i="26" s="1"/>
  <c r="BX75" i="26" s="1"/>
  <c r="AV75" i="26"/>
  <c r="AX75" i="26" s="1"/>
  <c r="AZ75" i="26" s="1"/>
  <c r="AJ75" i="26"/>
  <c r="AL75" i="26" s="1"/>
  <c r="AN75" i="26" s="1"/>
  <c r="R75" i="26"/>
  <c r="T75" i="26" s="1"/>
  <c r="V75" i="26" s="1"/>
  <c r="BB75" i="26"/>
  <c r="BD75" i="26" s="1"/>
  <c r="BF75" i="26" s="1"/>
  <c r="AD75" i="26"/>
  <c r="AF75" i="26" s="1"/>
  <c r="AH75" i="26" s="1"/>
  <c r="BH75" i="26"/>
  <c r="BJ75" i="26" s="1"/>
  <c r="BL75" i="26" s="1"/>
  <c r="BN75" i="26"/>
  <c r="BP75" i="26" s="1"/>
  <c r="BR75" i="26" s="1"/>
  <c r="AP75" i="26"/>
  <c r="AR75" i="26" s="1"/>
  <c r="AT75" i="26" s="1"/>
  <c r="G69" i="25" l="1"/>
  <c r="AP70" i="25"/>
  <c r="AR70" i="25" s="1"/>
  <c r="AT70" i="25" s="1"/>
  <c r="X70" i="25"/>
  <c r="Z70" i="25" s="1"/>
  <c r="AB70" i="25" s="1"/>
  <c r="AD70" i="25"/>
  <c r="AF70" i="25" s="1"/>
  <c r="AH70" i="25" s="1"/>
  <c r="BN70" i="25"/>
  <c r="BP70" i="25" s="1"/>
  <c r="BR70" i="25" s="1"/>
  <c r="R70" i="25"/>
  <c r="T70" i="25" s="1"/>
  <c r="V70" i="25" s="1"/>
  <c r="BT70" i="25"/>
  <c r="BV70" i="25" s="1"/>
  <c r="BX70" i="25" s="1"/>
  <c r="BH70" i="25"/>
  <c r="BJ70" i="25" s="1"/>
  <c r="BL70" i="25" s="1"/>
  <c r="AJ70" i="25"/>
  <c r="AL70" i="25" s="1"/>
  <c r="AN70" i="25" s="1"/>
  <c r="BB70" i="25"/>
  <c r="BD70" i="25" s="1"/>
  <c r="BF70" i="25" s="1"/>
  <c r="AV70" i="25"/>
  <c r="AX70" i="25" s="1"/>
  <c r="AZ70" i="25" s="1"/>
  <c r="X74" i="26"/>
  <c r="Z74" i="26" s="1"/>
  <c r="AB74" i="26" s="1"/>
  <c r="BT74" i="26"/>
  <c r="BV74" i="26" s="1"/>
  <c r="BX74" i="26" s="1"/>
  <c r="AP74" i="26"/>
  <c r="AR74" i="26" s="1"/>
  <c r="AT74" i="26" s="1"/>
  <c r="AJ74" i="26"/>
  <c r="AL74" i="26" s="1"/>
  <c r="AN74" i="26" s="1"/>
  <c r="BN74" i="26"/>
  <c r="BP74" i="26" s="1"/>
  <c r="BR74" i="26" s="1"/>
  <c r="BH74" i="26"/>
  <c r="BJ74" i="26" s="1"/>
  <c r="BL74" i="26" s="1"/>
  <c r="BB74" i="26"/>
  <c r="BD74" i="26" s="1"/>
  <c r="BF74" i="26" s="1"/>
  <c r="AD74" i="26"/>
  <c r="AF74" i="26" s="1"/>
  <c r="AH74" i="26" s="1"/>
  <c r="AV74" i="26"/>
  <c r="AX74" i="26" s="1"/>
  <c r="AZ74" i="26" s="1"/>
  <c r="R74" i="26"/>
  <c r="T74" i="26" s="1"/>
  <c r="V74" i="26" s="1"/>
  <c r="G68" i="25" l="1"/>
  <c r="AP69" i="25"/>
  <c r="AR69" i="25" s="1"/>
  <c r="AT69" i="25" s="1"/>
  <c r="AD69" i="25"/>
  <c r="AF69" i="25" s="1"/>
  <c r="AH69" i="25" s="1"/>
  <c r="AV69" i="25"/>
  <c r="AX69" i="25" s="1"/>
  <c r="AZ69" i="25" s="1"/>
  <c r="BT69" i="25"/>
  <c r="BV69" i="25" s="1"/>
  <c r="BX69" i="25" s="1"/>
  <c r="X69" i="25"/>
  <c r="Z69" i="25" s="1"/>
  <c r="AB69" i="25" s="1"/>
  <c r="BB69" i="25"/>
  <c r="BD69" i="25" s="1"/>
  <c r="BF69" i="25" s="1"/>
  <c r="R69" i="25"/>
  <c r="T69" i="25" s="1"/>
  <c r="V69" i="25" s="1"/>
  <c r="BH69" i="25"/>
  <c r="BJ69" i="25" s="1"/>
  <c r="BL69" i="25" s="1"/>
  <c r="BN69" i="25"/>
  <c r="BP69" i="25" s="1"/>
  <c r="BR69" i="25" s="1"/>
  <c r="AJ69" i="25"/>
  <c r="AL69" i="25" s="1"/>
  <c r="AN69" i="25" s="1"/>
  <c r="X73" i="26"/>
  <c r="Z73" i="26" s="1"/>
  <c r="AB73" i="26" s="1"/>
  <c r="BH73" i="26"/>
  <c r="BJ73" i="26" s="1"/>
  <c r="BL73" i="26" s="1"/>
  <c r="AD73" i="26"/>
  <c r="AF73" i="26" s="1"/>
  <c r="AH73" i="26" s="1"/>
  <c r="BB73" i="26"/>
  <c r="BD73" i="26" s="1"/>
  <c r="BF73" i="26" s="1"/>
  <c r="R73" i="26"/>
  <c r="T73" i="26" s="1"/>
  <c r="V73" i="26" s="1"/>
  <c r="BN73" i="26"/>
  <c r="BP73" i="26" s="1"/>
  <c r="BR73" i="26" s="1"/>
  <c r="AP73" i="26"/>
  <c r="AR73" i="26" s="1"/>
  <c r="AT73" i="26" s="1"/>
  <c r="BT73" i="26"/>
  <c r="BV73" i="26" s="1"/>
  <c r="BX73" i="26" s="1"/>
  <c r="AV73" i="26"/>
  <c r="AX73" i="26" s="1"/>
  <c r="AZ73" i="26" s="1"/>
  <c r="AJ73" i="26"/>
  <c r="AL73" i="26" s="1"/>
  <c r="AN73" i="26" s="1"/>
  <c r="G67" i="25" l="1"/>
  <c r="AV68" i="25"/>
  <c r="AX68" i="25" s="1"/>
  <c r="AZ68" i="25" s="1"/>
  <c r="AD68" i="25"/>
  <c r="AF68" i="25" s="1"/>
  <c r="AH68" i="25" s="1"/>
  <c r="BH68" i="25"/>
  <c r="BJ68" i="25" s="1"/>
  <c r="BL68" i="25" s="1"/>
  <c r="BT68" i="25"/>
  <c r="BV68" i="25" s="1"/>
  <c r="BX68" i="25" s="1"/>
  <c r="AP68" i="25"/>
  <c r="AR68" i="25" s="1"/>
  <c r="AT68" i="25" s="1"/>
  <c r="BB68" i="25"/>
  <c r="BD68" i="25" s="1"/>
  <c r="BF68" i="25" s="1"/>
  <c r="AJ68" i="25"/>
  <c r="AL68" i="25" s="1"/>
  <c r="AN68" i="25" s="1"/>
  <c r="BN68" i="25"/>
  <c r="BP68" i="25" s="1"/>
  <c r="BR68" i="25" s="1"/>
  <c r="R68" i="25"/>
  <c r="T68" i="25" s="1"/>
  <c r="V68" i="25" s="1"/>
  <c r="X68" i="25"/>
  <c r="Z68" i="25" s="1"/>
  <c r="AB68" i="25" s="1"/>
  <c r="X72" i="26"/>
  <c r="Z72" i="26" s="1"/>
  <c r="AB72" i="26" s="1"/>
  <c r="AJ72" i="26"/>
  <c r="AL72" i="26" s="1"/>
  <c r="AN72" i="26" s="1"/>
  <c r="BN72" i="26"/>
  <c r="BP72" i="26" s="1"/>
  <c r="BR72" i="26" s="1"/>
  <c r="AD72" i="26"/>
  <c r="AF72" i="26" s="1"/>
  <c r="AH72" i="26" s="1"/>
  <c r="AV72" i="26"/>
  <c r="AX72" i="26" s="1"/>
  <c r="AZ72" i="26" s="1"/>
  <c r="BB72" i="26"/>
  <c r="BD72" i="26" s="1"/>
  <c r="BF72" i="26" s="1"/>
  <c r="BT72" i="26"/>
  <c r="BV72" i="26" s="1"/>
  <c r="BX72" i="26" s="1"/>
  <c r="BH72" i="26"/>
  <c r="BJ72" i="26" s="1"/>
  <c r="BL72" i="26" s="1"/>
  <c r="AP72" i="26"/>
  <c r="AR72" i="26" s="1"/>
  <c r="AT72" i="26" s="1"/>
  <c r="R72" i="26"/>
  <c r="T72" i="26" s="1"/>
  <c r="V72" i="26" s="1"/>
  <c r="G66" i="25" l="1"/>
  <c r="AP67" i="25"/>
  <c r="AR67" i="25" s="1"/>
  <c r="AT67" i="25" s="1"/>
  <c r="AV67" i="25"/>
  <c r="AX67" i="25" s="1"/>
  <c r="AZ67" i="25" s="1"/>
  <c r="BH67" i="25"/>
  <c r="BJ67" i="25" s="1"/>
  <c r="BL67" i="25" s="1"/>
  <c r="BB67" i="25"/>
  <c r="BD67" i="25" s="1"/>
  <c r="BF67" i="25" s="1"/>
  <c r="X67" i="25"/>
  <c r="Z67" i="25" s="1"/>
  <c r="AB67" i="25" s="1"/>
  <c r="AJ67" i="25"/>
  <c r="AL67" i="25" s="1"/>
  <c r="AN67" i="25" s="1"/>
  <c r="BT67" i="25"/>
  <c r="BV67" i="25" s="1"/>
  <c r="BX67" i="25" s="1"/>
  <c r="AD67" i="25"/>
  <c r="AF67" i="25" s="1"/>
  <c r="AH67" i="25" s="1"/>
  <c r="BN67" i="25"/>
  <c r="BP67" i="25" s="1"/>
  <c r="BR67" i="25" s="1"/>
  <c r="R67" i="25"/>
  <c r="T67" i="25" s="1"/>
  <c r="V67" i="25" s="1"/>
  <c r="X71" i="26"/>
  <c r="Z71" i="26" s="1"/>
  <c r="AB71" i="26" s="1"/>
  <c r="BB71" i="26"/>
  <c r="BD71" i="26" s="1"/>
  <c r="BF71" i="26" s="1"/>
  <c r="BH71" i="26"/>
  <c r="BJ71" i="26" s="1"/>
  <c r="BL71" i="26" s="1"/>
  <c r="BT71" i="26"/>
  <c r="BV71" i="26" s="1"/>
  <c r="BX71" i="26" s="1"/>
  <c r="AV71" i="26"/>
  <c r="AX71" i="26" s="1"/>
  <c r="AZ71" i="26" s="1"/>
  <c r="AJ71" i="26"/>
  <c r="AL71" i="26" s="1"/>
  <c r="AN71" i="26" s="1"/>
  <c r="AP71" i="26"/>
  <c r="AR71" i="26" s="1"/>
  <c r="AT71" i="26" s="1"/>
  <c r="AD71" i="26"/>
  <c r="AF71" i="26" s="1"/>
  <c r="AH71" i="26" s="1"/>
  <c r="BN71" i="26"/>
  <c r="BP71" i="26" s="1"/>
  <c r="BR71" i="26" s="1"/>
  <c r="R71" i="26"/>
  <c r="T71" i="26" s="1"/>
  <c r="V71" i="26" s="1"/>
  <c r="G65" i="25" l="1"/>
  <c r="AD66" i="25"/>
  <c r="AF66" i="25" s="1"/>
  <c r="AH66" i="25" s="1"/>
  <c r="AJ66" i="25"/>
  <c r="AL66" i="25" s="1"/>
  <c r="AN66" i="25" s="1"/>
  <c r="BN66" i="25"/>
  <c r="BP66" i="25" s="1"/>
  <c r="BR66" i="25" s="1"/>
  <c r="X66" i="25"/>
  <c r="Z66" i="25" s="1"/>
  <c r="AB66" i="25" s="1"/>
  <c r="BT66" i="25"/>
  <c r="BV66" i="25" s="1"/>
  <c r="BX66" i="25" s="1"/>
  <c r="BB66" i="25"/>
  <c r="BD66" i="25" s="1"/>
  <c r="BF66" i="25" s="1"/>
  <c r="AV66" i="25"/>
  <c r="AX66" i="25" s="1"/>
  <c r="AZ66" i="25" s="1"/>
  <c r="AP66" i="25"/>
  <c r="AR66" i="25" s="1"/>
  <c r="AT66" i="25" s="1"/>
  <c r="BH66" i="25"/>
  <c r="BJ66" i="25" s="1"/>
  <c r="BL66" i="25" s="1"/>
  <c r="R66" i="25"/>
  <c r="T66" i="25" s="1"/>
  <c r="V66" i="25" s="1"/>
  <c r="X70" i="26"/>
  <c r="Z70" i="26" s="1"/>
  <c r="AB70" i="26" s="1"/>
  <c r="BT70" i="26"/>
  <c r="BV70" i="26" s="1"/>
  <c r="BX70" i="26" s="1"/>
  <c r="AD70" i="26"/>
  <c r="AF70" i="26" s="1"/>
  <c r="AH70" i="26" s="1"/>
  <c r="R70" i="26"/>
  <c r="T70" i="26" s="1"/>
  <c r="V70" i="26" s="1"/>
  <c r="AV70" i="26"/>
  <c r="AX70" i="26" s="1"/>
  <c r="AZ70" i="26" s="1"/>
  <c r="AP70" i="26"/>
  <c r="AR70" i="26" s="1"/>
  <c r="AT70" i="26" s="1"/>
  <c r="BH70" i="26"/>
  <c r="BJ70" i="26" s="1"/>
  <c r="BL70" i="26" s="1"/>
  <c r="BN70" i="26"/>
  <c r="BP70" i="26" s="1"/>
  <c r="BR70" i="26" s="1"/>
  <c r="AJ70" i="26"/>
  <c r="AL70" i="26" s="1"/>
  <c r="AN70" i="26" s="1"/>
  <c r="BB70" i="26"/>
  <c r="BD70" i="26" s="1"/>
  <c r="BF70" i="26" s="1"/>
  <c r="G64" i="25" l="1"/>
  <c r="R65" i="25"/>
  <c r="T65" i="25" s="1"/>
  <c r="V65" i="25" s="1"/>
  <c r="AJ65" i="25"/>
  <c r="AL65" i="25" s="1"/>
  <c r="AN65" i="25" s="1"/>
  <c r="BH65" i="25"/>
  <c r="BJ65" i="25" s="1"/>
  <c r="BL65" i="25" s="1"/>
  <c r="BB65" i="25"/>
  <c r="BD65" i="25" s="1"/>
  <c r="BF65" i="25" s="1"/>
  <c r="AP65" i="25"/>
  <c r="AR65" i="25" s="1"/>
  <c r="AT65" i="25" s="1"/>
  <c r="AV65" i="25"/>
  <c r="AX65" i="25" s="1"/>
  <c r="AZ65" i="25" s="1"/>
  <c r="BN65" i="25"/>
  <c r="BP65" i="25" s="1"/>
  <c r="BR65" i="25" s="1"/>
  <c r="BT65" i="25"/>
  <c r="BV65" i="25" s="1"/>
  <c r="BX65" i="25" s="1"/>
  <c r="AD65" i="25"/>
  <c r="AF65" i="25" s="1"/>
  <c r="AH65" i="25" s="1"/>
  <c r="X65" i="25"/>
  <c r="Z65" i="25" s="1"/>
  <c r="AB65" i="25" s="1"/>
  <c r="X69" i="26"/>
  <c r="Z69" i="26" s="1"/>
  <c r="AB69" i="26" s="1"/>
  <c r="AD69" i="26"/>
  <c r="AF69" i="26" s="1"/>
  <c r="AH69" i="26" s="1"/>
  <c r="R69" i="26"/>
  <c r="T69" i="26" s="1"/>
  <c r="V69" i="26" s="1"/>
  <c r="AP69" i="26"/>
  <c r="AR69" i="26" s="1"/>
  <c r="AT69" i="26" s="1"/>
  <c r="AJ69" i="26"/>
  <c r="AL69" i="26" s="1"/>
  <c r="AN69" i="26" s="1"/>
  <c r="BH69" i="26"/>
  <c r="BJ69" i="26" s="1"/>
  <c r="BL69" i="26" s="1"/>
  <c r="BN69" i="26"/>
  <c r="BP69" i="26" s="1"/>
  <c r="BR69" i="26" s="1"/>
  <c r="BT69" i="26"/>
  <c r="BV69" i="26" s="1"/>
  <c r="BX69" i="26" s="1"/>
  <c r="BB69" i="26"/>
  <c r="BD69" i="26" s="1"/>
  <c r="BF69" i="26" s="1"/>
  <c r="AV69" i="26"/>
  <c r="AX69" i="26" s="1"/>
  <c r="AZ69" i="26" s="1"/>
  <c r="G63" i="25" l="1"/>
  <c r="AP64" i="25"/>
  <c r="AR64" i="25" s="1"/>
  <c r="AT64" i="25" s="1"/>
  <c r="AJ64" i="25"/>
  <c r="AL64" i="25" s="1"/>
  <c r="AN64" i="25" s="1"/>
  <c r="BN64" i="25"/>
  <c r="BP64" i="25" s="1"/>
  <c r="BR64" i="25" s="1"/>
  <c r="AD64" i="25"/>
  <c r="AF64" i="25" s="1"/>
  <c r="AH64" i="25" s="1"/>
  <c r="AV64" i="25"/>
  <c r="AX64" i="25" s="1"/>
  <c r="AZ64" i="25" s="1"/>
  <c r="BB64" i="25"/>
  <c r="BD64" i="25" s="1"/>
  <c r="BF64" i="25" s="1"/>
  <c r="BH64" i="25"/>
  <c r="BJ64" i="25" s="1"/>
  <c r="BL64" i="25" s="1"/>
  <c r="BT64" i="25"/>
  <c r="BV64" i="25" s="1"/>
  <c r="BX64" i="25" s="1"/>
  <c r="R64" i="25"/>
  <c r="T64" i="25" s="1"/>
  <c r="V64" i="25" s="1"/>
  <c r="X64" i="25"/>
  <c r="Z64" i="25" s="1"/>
  <c r="AB64" i="25" s="1"/>
  <c r="X68" i="26"/>
  <c r="Z68" i="26" s="1"/>
  <c r="AB68" i="26" s="1"/>
  <c r="BN68" i="26"/>
  <c r="BP68" i="26" s="1"/>
  <c r="BR68" i="26" s="1"/>
  <c r="AD68" i="26"/>
  <c r="AF68" i="26" s="1"/>
  <c r="AH68" i="26" s="1"/>
  <c r="BT68" i="26"/>
  <c r="BV68" i="26" s="1"/>
  <c r="BX68" i="26" s="1"/>
  <c r="AJ68" i="26"/>
  <c r="AL68" i="26" s="1"/>
  <c r="AN68" i="26" s="1"/>
  <c r="AV68" i="26"/>
  <c r="AX68" i="26" s="1"/>
  <c r="AZ68" i="26" s="1"/>
  <c r="AP68" i="26"/>
  <c r="AR68" i="26" s="1"/>
  <c r="AT68" i="26" s="1"/>
  <c r="BB68" i="26"/>
  <c r="BD68" i="26" s="1"/>
  <c r="BF68" i="26" s="1"/>
  <c r="BH68" i="26"/>
  <c r="BJ68" i="26" s="1"/>
  <c r="BL68" i="26" s="1"/>
  <c r="R68" i="26"/>
  <c r="T68" i="26" s="1"/>
  <c r="V68" i="26" s="1"/>
  <c r="G62" i="25" l="1"/>
  <c r="AP63" i="25"/>
  <c r="AR63" i="25" s="1"/>
  <c r="AT63" i="25" s="1"/>
  <c r="AV63" i="25"/>
  <c r="AX63" i="25" s="1"/>
  <c r="AZ63" i="25" s="1"/>
  <c r="X63" i="25"/>
  <c r="Z63" i="25" s="1"/>
  <c r="AB63" i="25" s="1"/>
  <c r="AD63" i="25"/>
  <c r="AF63" i="25" s="1"/>
  <c r="AH63" i="25" s="1"/>
  <c r="BB63" i="25"/>
  <c r="BD63" i="25" s="1"/>
  <c r="BF63" i="25" s="1"/>
  <c r="BN63" i="25"/>
  <c r="BP63" i="25" s="1"/>
  <c r="BR63" i="25" s="1"/>
  <c r="AJ63" i="25"/>
  <c r="AL63" i="25" s="1"/>
  <c r="AN63" i="25" s="1"/>
  <c r="BT63" i="25"/>
  <c r="BV63" i="25" s="1"/>
  <c r="BX63" i="25" s="1"/>
  <c r="R63" i="25"/>
  <c r="T63" i="25" s="1"/>
  <c r="V63" i="25" s="1"/>
  <c r="BH63" i="25"/>
  <c r="BJ63" i="25" s="1"/>
  <c r="BL63" i="25" s="1"/>
  <c r="X67" i="26"/>
  <c r="Z67" i="26" s="1"/>
  <c r="AB67" i="26" s="1"/>
  <c r="AP67" i="26"/>
  <c r="AR67" i="26" s="1"/>
  <c r="AT67" i="26" s="1"/>
  <c r="R67" i="26"/>
  <c r="T67" i="26" s="1"/>
  <c r="V67" i="26" s="1"/>
  <c r="BN67" i="26"/>
  <c r="BP67" i="26" s="1"/>
  <c r="BR67" i="26" s="1"/>
  <c r="BT67" i="26"/>
  <c r="BV67" i="26" s="1"/>
  <c r="BX67" i="26" s="1"/>
  <c r="BB67" i="26"/>
  <c r="BD67" i="26" s="1"/>
  <c r="BF67" i="26" s="1"/>
  <c r="AD67" i="26"/>
  <c r="AF67" i="26" s="1"/>
  <c r="AH67" i="26" s="1"/>
  <c r="BH67" i="26"/>
  <c r="BJ67" i="26" s="1"/>
  <c r="BL67" i="26" s="1"/>
  <c r="AJ67" i="26"/>
  <c r="AL67" i="26" s="1"/>
  <c r="AN67" i="26" s="1"/>
  <c r="AV67" i="26"/>
  <c r="AX67" i="26" s="1"/>
  <c r="AZ67" i="26" s="1"/>
  <c r="G61" i="25" l="1"/>
  <c r="AD62" i="25"/>
  <c r="AF62" i="25" s="1"/>
  <c r="AH62" i="25" s="1"/>
  <c r="BB62" i="25"/>
  <c r="BD62" i="25" s="1"/>
  <c r="BF62" i="25" s="1"/>
  <c r="BH62" i="25"/>
  <c r="BJ62" i="25" s="1"/>
  <c r="BL62" i="25" s="1"/>
  <c r="R62" i="25"/>
  <c r="T62" i="25" s="1"/>
  <c r="V62" i="25" s="1"/>
  <c r="AJ62" i="25"/>
  <c r="AL62" i="25" s="1"/>
  <c r="AN62" i="25" s="1"/>
  <c r="AP62" i="25"/>
  <c r="AR62" i="25" s="1"/>
  <c r="AT62" i="25" s="1"/>
  <c r="BT62" i="25"/>
  <c r="BV62" i="25" s="1"/>
  <c r="BX62" i="25" s="1"/>
  <c r="AV62" i="25"/>
  <c r="AX62" i="25" s="1"/>
  <c r="AZ62" i="25" s="1"/>
  <c r="BN62" i="25"/>
  <c r="BP62" i="25" s="1"/>
  <c r="BR62" i="25" s="1"/>
  <c r="X62" i="25"/>
  <c r="Z62" i="25" s="1"/>
  <c r="AB62" i="25" s="1"/>
  <c r="X66" i="26"/>
  <c r="Z66" i="26" s="1"/>
  <c r="AB66" i="26" s="1"/>
  <c r="BN66" i="26"/>
  <c r="BP66" i="26" s="1"/>
  <c r="BR66" i="26" s="1"/>
  <c r="AD66" i="26"/>
  <c r="AF66" i="26" s="1"/>
  <c r="AH66" i="26" s="1"/>
  <c r="BT66" i="26"/>
  <c r="BV66" i="26" s="1"/>
  <c r="BX66" i="26" s="1"/>
  <c r="BH66" i="26"/>
  <c r="BJ66" i="26" s="1"/>
  <c r="BL66" i="26" s="1"/>
  <c r="AJ66" i="26"/>
  <c r="AL66" i="26" s="1"/>
  <c r="AN66" i="26" s="1"/>
  <c r="AV66" i="26"/>
  <c r="AX66" i="26" s="1"/>
  <c r="AZ66" i="26" s="1"/>
  <c r="AP66" i="26"/>
  <c r="AR66" i="26" s="1"/>
  <c r="AT66" i="26" s="1"/>
  <c r="R66" i="26"/>
  <c r="T66" i="26" s="1"/>
  <c r="V66" i="26" s="1"/>
  <c r="BB66" i="26"/>
  <c r="BD66" i="26" s="1"/>
  <c r="BF66" i="26" s="1"/>
  <c r="G60" i="25" l="1"/>
  <c r="BB61" i="25"/>
  <c r="BD61" i="25" s="1"/>
  <c r="BF61" i="25" s="1"/>
  <c r="R61" i="25"/>
  <c r="T61" i="25" s="1"/>
  <c r="V61" i="25" s="1"/>
  <c r="X61" i="25"/>
  <c r="Z61" i="25" s="1"/>
  <c r="AB61" i="25" s="1"/>
  <c r="AJ61" i="25"/>
  <c r="AL61" i="25" s="1"/>
  <c r="AN61" i="25" s="1"/>
  <c r="AD61" i="25"/>
  <c r="AF61" i="25" s="1"/>
  <c r="AH61" i="25" s="1"/>
  <c r="BH61" i="25"/>
  <c r="BJ61" i="25" s="1"/>
  <c r="BL61" i="25" s="1"/>
  <c r="AP61" i="25"/>
  <c r="AR61" i="25" s="1"/>
  <c r="AT61" i="25" s="1"/>
  <c r="BT61" i="25"/>
  <c r="BV61" i="25" s="1"/>
  <c r="BX61" i="25" s="1"/>
  <c r="AV61" i="25"/>
  <c r="AX61" i="25" s="1"/>
  <c r="AZ61" i="25" s="1"/>
  <c r="BN61" i="25"/>
  <c r="BP61" i="25" s="1"/>
  <c r="BR61" i="25" s="1"/>
  <c r="X65" i="26"/>
  <c r="Z65" i="26" s="1"/>
  <c r="AB65" i="26" s="1"/>
  <c r="BB65" i="26"/>
  <c r="BD65" i="26" s="1"/>
  <c r="BF65" i="26" s="1"/>
  <c r="BT65" i="26"/>
  <c r="BV65" i="26" s="1"/>
  <c r="BX65" i="26" s="1"/>
  <c r="AV65" i="26"/>
  <c r="AX65" i="26" s="1"/>
  <c r="AZ65" i="26" s="1"/>
  <c r="BH65" i="26"/>
  <c r="BJ65" i="26" s="1"/>
  <c r="BL65" i="26" s="1"/>
  <c r="R65" i="26"/>
  <c r="T65" i="26" s="1"/>
  <c r="V65" i="26" s="1"/>
  <c r="AD65" i="26"/>
  <c r="AF65" i="26" s="1"/>
  <c r="AH65" i="26" s="1"/>
  <c r="BN65" i="26"/>
  <c r="BP65" i="26" s="1"/>
  <c r="BR65" i="26" s="1"/>
  <c r="AJ65" i="26"/>
  <c r="AL65" i="26" s="1"/>
  <c r="AN65" i="26" s="1"/>
  <c r="AP65" i="26"/>
  <c r="AR65" i="26" s="1"/>
  <c r="AT65" i="26" s="1"/>
  <c r="G59" i="25" l="1"/>
  <c r="BB60" i="25"/>
  <c r="BD60" i="25" s="1"/>
  <c r="BF60" i="25" s="1"/>
  <c r="AP60" i="25"/>
  <c r="AR60" i="25" s="1"/>
  <c r="AT60" i="25" s="1"/>
  <c r="BN60" i="25"/>
  <c r="BP60" i="25" s="1"/>
  <c r="BR60" i="25" s="1"/>
  <c r="AD60" i="25"/>
  <c r="AF60" i="25" s="1"/>
  <c r="AH60" i="25" s="1"/>
  <c r="AV60" i="25"/>
  <c r="AX60" i="25" s="1"/>
  <c r="AZ60" i="25" s="1"/>
  <c r="AJ60" i="25"/>
  <c r="AL60" i="25" s="1"/>
  <c r="AN60" i="25" s="1"/>
  <c r="R60" i="25"/>
  <c r="T60" i="25" s="1"/>
  <c r="V60" i="25" s="1"/>
  <c r="BT60" i="25"/>
  <c r="BV60" i="25" s="1"/>
  <c r="BX60" i="25" s="1"/>
  <c r="BH60" i="25"/>
  <c r="BJ60" i="25" s="1"/>
  <c r="BL60" i="25" s="1"/>
  <c r="X60" i="25"/>
  <c r="Z60" i="25" s="1"/>
  <c r="AB60" i="25" s="1"/>
  <c r="X64" i="26"/>
  <c r="Z64" i="26" s="1"/>
  <c r="AB64" i="26" s="1"/>
  <c r="BH64" i="26"/>
  <c r="BJ64" i="26" s="1"/>
  <c r="BL64" i="26" s="1"/>
  <c r="BB64" i="26"/>
  <c r="BD64" i="26" s="1"/>
  <c r="BF64" i="26" s="1"/>
  <c r="R64" i="26"/>
  <c r="T64" i="26" s="1"/>
  <c r="V64" i="26" s="1"/>
  <c r="BN64" i="26"/>
  <c r="BP64" i="26" s="1"/>
  <c r="BR64" i="26" s="1"/>
  <c r="AD64" i="26"/>
  <c r="AF64" i="26" s="1"/>
  <c r="AH64" i="26" s="1"/>
  <c r="AV64" i="26"/>
  <c r="AX64" i="26" s="1"/>
  <c r="AZ64" i="26" s="1"/>
  <c r="BT64" i="26"/>
  <c r="BV64" i="26" s="1"/>
  <c r="BX64" i="26" s="1"/>
  <c r="AJ64" i="26"/>
  <c r="AL64" i="26" s="1"/>
  <c r="AN64" i="26" s="1"/>
  <c r="AP64" i="26"/>
  <c r="AR64" i="26" s="1"/>
  <c r="AT64" i="26" s="1"/>
  <c r="G58" i="25" l="1"/>
  <c r="AV59" i="25"/>
  <c r="AX59" i="25" s="1"/>
  <c r="AZ59" i="25" s="1"/>
  <c r="R59" i="25"/>
  <c r="T59" i="25" s="1"/>
  <c r="V59" i="25" s="1"/>
  <c r="X59" i="25"/>
  <c r="Z59" i="25" s="1"/>
  <c r="AB59" i="25" s="1"/>
  <c r="BB59" i="25"/>
  <c r="BD59" i="25" s="1"/>
  <c r="BF59" i="25" s="1"/>
  <c r="AJ59" i="25"/>
  <c r="AL59" i="25" s="1"/>
  <c r="AN59" i="25" s="1"/>
  <c r="AD59" i="25"/>
  <c r="AF59" i="25" s="1"/>
  <c r="AH59" i="25" s="1"/>
  <c r="BH59" i="25"/>
  <c r="BJ59" i="25" s="1"/>
  <c r="BL59" i="25" s="1"/>
  <c r="BT59" i="25"/>
  <c r="BV59" i="25" s="1"/>
  <c r="BX59" i="25" s="1"/>
  <c r="AP59" i="25"/>
  <c r="AR59" i="25" s="1"/>
  <c r="AT59" i="25" s="1"/>
  <c r="BN59" i="25"/>
  <c r="BP59" i="25" s="1"/>
  <c r="BR59" i="25" s="1"/>
  <c r="X63" i="26"/>
  <c r="Z63" i="26" s="1"/>
  <c r="AB63" i="26" s="1"/>
  <c r="AV63" i="26"/>
  <c r="AX63" i="26" s="1"/>
  <c r="AZ63" i="26" s="1"/>
  <c r="AP63" i="26"/>
  <c r="AR63" i="26" s="1"/>
  <c r="AT63" i="26" s="1"/>
  <c r="R63" i="26"/>
  <c r="T63" i="26" s="1"/>
  <c r="V63" i="26" s="1"/>
  <c r="BH63" i="26"/>
  <c r="BJ63" i="26" s="1"/>
  <c r="BL63" i="26" s="1"/>
  <c r="AD63" i="26"/>
  <c r="AF63" i="26" s="1"/>
  <c r="AH63" i="26" s="1"/>
  <c r="BN63" i="26"/>
  <c r="BP63" i="26" s="1"/>
  <c r="BR63" i="26" s="1"/>
  <c r="BT63" i="26"/>
  <c r="BV63" i="26" s="1"/>
  <c r="BX63" i="26" s="1"/>
  <c r="AJ63" i="26"/>
  <c r="AL63" i="26" s="1"/>
  <c r="AN63" i="26" s="1"/>
  <c r="BB63" i="26"/>
  <c r="BD63" i="26" s="1"/>
  <c r="BF63" i="26" s="1"/>
  <c r="G57" i="25" l="1"/>
  <c r="R58" i="25"/>
  <c r="T58" i="25" s="1"/>
  <c r="V58" i="25" s="1"/>
  <c r="AV58" i="25"/>
  <c r="AX58" i="25" s="1"/>
  <c r="AZ58" i="25" s="1"/>
  <c r="BN58" i="25"/>
  <c r="BP58" i="25" s="1"/>
  <c r="BR58" i="25" s="1"/>
  <c r="AP58" i="25"/>
  <c r="AR58" i="25" s="1"/>
  <c r="AT58" i="25" s="1"/>
  <c r="AD58" i="25"/>
  <c r="AF58" i="25" s="1"/>
  <c r="AH58" i="25" s="1"/>
  <c r="BB58" i="25"/>
  <c r="BD58" i="25" s="1"/>
  <c r="BF58" i="25" s="1"/>
  <c r="BH58" i="25"/>
  <c r="BJ58" i="25" s="1"/>
  <c r="BL58" i="25" s="1"/>
  <c r="BT58" i="25"/>
  <c r="BV58" i="25" s="1"/>
  <c r="BX58" i="25" s="1"/>
  <c r="AJ58" i="25"/>
  <c r="AL58" i="25" s="1"/>
  <c r="AN58" i="25" s="1"/>
  <c r="X58" i="25"/>
  <c r="Z58" i="25" s="1"/>
  <c r="AB58" i="25" s="1"/>
  <c r="X62" i="26"/>
  <c r="Z62" i="26" s="1"/>
  <c r="AB62" i="26" s="1"/>
  <c r="AP62" i="26"/>
  <c r="AR62" i="26" s="1"/>
  <c r="AT62" i="26" s="1"/>
  <c r="AD62" i="26"/>
  <c r="AF62" i="26" s="1"/>
  <c r="AH62" i="26" s="1"/>
  <c r="BT62" i="26"/>
  <c r="BV62" i="26" s="1"/>
  <c r="BX62" i="26" s="1"/>
  <c r="BB62" i="26"/>
  <c r="BD62" i="26" s="1"/>
  <c r="BF62" i="26" s="1"/>
  <c r="BH62" i="26"/>
  <c r="BJ62" i="26" s="1"/>
  <c r="BL62" i="26" s="1"/>
  <c r="BN62" i="26"/>
  <c r="BP62" i="26" s="1"/>
  <c r="BR62" i="26" s="1"/>
  <c r="AV62" i="26"/>
  <c r="AX62" i="26" s="1"/>
  <c r="AZ62" i="26" s="1"/>
  <c r="AJ62" i="26"/>
  <c r="AL62" i="26" s="1"/>
  <c r="AN62" i="26" s="1"/>
  <c r="R62" i="26"/>
  <c r="T62" i="26" s="1"/>
  <c r="V62" i="26" s="1"/>
  <c r="G56" i="25" l="1"/>
  <c r="AV57" i="25"/>
  <c r="AX57" i="25" s="1"/>
  <c r="AZ57" i="25" s="1"/>
  <c r="BB57" i="25"/>
  <c r="BD57" i="25" s="1"/>
  <c r="BF57" i="25" s="1"/>
  <c r="BH57" i="25"/>
  <c r="BJ57" i="25" s="1"/>
  <c r="BL57" i="25" s="1"/>
  <c r="R57" i="25"/>
  <c r="T57" i="25" s="1"/>
  <c r="V57" i="25" s="1"/>
  <c r="AJ57" i="25"/>
  <c r="AL57" i="25" s="1"/>
  <c r="AN57" i="25" s="1"/>
  <c r="BN57" i="25"/>
  <c r="BP57" i="25" s="1"/>
  <c r="BR57" i="25" s="1"/>
  <c r="AP57" i="25"/>
  <c r="AR57" i="25" s="1"/>
  <c r="AT57" i="25" s="1"/>
  <c r="AD57" i="25"/>
  <c r="AF57" i="25" s="1"/>
  <c r="AH57" i="25" s="1"/>
  <c r="BT57" i="25"/>
  <c r="BV57" i="25" s="1"/>
  <c r="BX57" i="25" s="1"/>
  <c r="X57" i="25"/>
  <c r="Z57" i="25" s="1"/>
  <c r="AB57" i="25" s="1"/>
  <c r="X61" i="26"/>
  <c r="Z61" i="26" s="1"/>
  <c r="AB61" i="26" s="1"/>
  <c r="BT61" i="26"/>
  <c r="BV61" i="26" s="1"/>
  <c r="BX61" i="26" s="1"/>
  <c r="AP61" i="26"/>
  <c r="AR61" i="26" s="1"/>
  <c r="AT61" i="26" s="1"/>
  <c r="AD61" i="26"/>
  <c r="AF61" i="26" s="1"/>
  <c r="AH61" i="26" s="1"/>
  <c r="BB61" i="26"/>
  <c r="BD61" i="26" s="1"/>
  <c r="BF61" i="26" s="1"/>
  <c r="AV61" i="26"/>
  <c r="AX61" i="26" s="1"/>
  <c r="AZ61" i="26" s="1"/>
  <c r="BN61" i="26"/>
  <c r="BP61" i="26" s="1"/>
  <c r="BR61" i="26" s="1"/>
  <c r="BH61" i="26"/>
  <c r="BJ61" i="26" s="1"/>
  <c r="BL61" i="26" s="1"/>
  <c r="AJ61" i="26"/>
  <c r="AL61" i="26" s="1"/>
  <c r="AN61" i="26" s="1"/>
  <c r="R61" i="26"/>
  <c r="T61" i="26" s="1"/>
  <c r="V61" i="26" s="1"/>
  <c r="G55" i="25" l="1"/>
  <c r="AJ56" i="25"/>
  <c r="AL56" i="25" s="1"/>
  <c r="AN56" i="25" s="1"/>
  <c r="BH56" i="25"/>
  <c r="BJ56" i="25" s="1"/>
  <c r="BL56" i="25" s="1"/>
  <c r="AV56" i="25"/>
  <c r="AX56" i="25" s="1"/>
  <c r="AZ56" i="25" s="1"/>
  <c r="X56" i="25"/>
  <c r="Z56" i="25" s="1"/>
  <c r="AB56" i="25" s="1"/>
  <c r="BT56" i="25"/>
  <c r="BV56" i="25" s="1"/>
  <c r="BX56" i="25" s="1"/>
  <c r="BB56" i="25"/>
  <c r="BD56" i="25" s="1"/>
  <c r="BF56" i="25" s="1"/>
  <c r="AD56" i="25"/>
  <c r="AF56" i="25" s="1"/>
  <c r="AH56" i="25" s="1"/>
  <c r="BN56" i="25"/>
  <c r="BP56" i="25" s="1"/>
  <c r="BR56" i="25" s="1"/>
  <c r="AP56" i="25"/>
  <c r="AR56" i="25" s="1"/>
  <c r="AT56" i="25" s="1"/>
  <c r="R56" i="25"/>
  <c r="T56" i="25" s="1"/>
  <c r="V56" i="25" s="1"/>
  <c r="X60" i="26"/>
  <c r="Z60" i="26" s="1"/>
  <c r="AB60" i="26" s="1"/>
  <c r="AV60" i="26"/>
  <c r="AX60" i="26" s="1"/>
  <c r="AZ60" i="26" s="1"/>
  <c r="BB60" i="26"/>
  <c r="BD60" i="26" s="1"/>
  <c r="BF60" i="26" s="1"/>
  <c r="AJ60" i="26"/>
  <c r="AL60" i="26" s="1"/>
  <c r="AN60" i="26" s="1"/>
  <c r="BN60" i="26"/>
  <c r="BP60" i="26" s="1"/>
  <c r="BR60" i="26" s="1"/>
  <c r="BT60" i="26"/>
  <c r="BV60" i="26" s="1"/>
  <c r="BX60" i="26" s="1"/>
  <c r="AD60" i="26"/>
  <c r="AF60" i="26" s="1"/>
  <c r="AH60" i="26" s="1"/>
  <c r="BH60" i="26"/>
  <c r="BJ60" i="26" s="1"/>
  <c r="BL60" i="26" s="1"/>
  <c r="AP60" i="26"/>
  <c r="AR60" i="26" s="1"/>
  <c r="AT60" i="26" s="1"/>
  <c r="R60" i="26"/>
  <c r="T60" i="26" s="1"/>
  <c r="V60" i="26" s="1"/>
  <c r="G54" i="25" l="1"/>
  <c r="BN55" i="25"/>
  <c r="BP55" i="25" s="1"/>
  <c r="BR55" i="25" s="1"/>
  <c r="X55" i="25"/>
  <c r="Z55" i="25" s="1"/>
  <c r="AB55" i="25" s="1"/>
  <c r="BB55" i="25"/>
  <c r="BD55" i="25" s="1"/>
  <c r="BF55" i="25" s="1"/>
  <c r="AD55" i="25"/>
  <c r="AF55" i="25" s="1"/>
  <c r="AH55" i="25" s="1"/>
  <c r="AJ55" i="25"/>
  <c r="AL55" i="25" s="1"/>
  <c r="AN55" i="25" s="1"/>
  <c r="BT55" i="25"/>
  <c r="BV55" i="25" s="1"/>
  <c r="BX55" i="25" s="1"/>
  <c r="AP55" i="25"/>
  <c r="AR55" i="25" s="1"/>
  <c r="AT55" i="25" s="1"/>
  <c r="AV55" i="25"/>
  <c r="AX55" i="25" s="1"/>
  <c r="AZ55" i="25" s="1"/>
  <c r="R55" i="25"/>
  <c r="T55" i="25" s="1"/>
  <c r="V55" i="25" s="1"/>
  <c r="BH55" i="25"/>
  <c r="BJ55" i="25" s="1"/>
  <c r="BL55" i="25" s="1"/>
  <c r="X59" i="26"/>
  <c r="Z59" i="26" s="1"/>
  <c r="AB59" i="26" s="1"/>
  <c r="AV59" i="26"/>
  <c r="AX59" i="26" s="1"/>
  <c r="AZ59" i="26" s="1"/>
  <c r="BT59" i="26"/>
  <c r="BV59" i="26" s="1"/>
  <c r="BX59" i="26" s="1"/>
  <c r="BH59" i="26"/>
  <c r="BJ59" i="26" s="1"/>
  <c r="BL59" i="26" s="1"/>
  <c r="BB59" i="26"/>
  <c r="BD59" i="26" s="1"/>
  <c r="BF59" i="26" s="1"/>
  <c r="R59" i="26"/>
  <c r="T59" i="26" s="1"/>
  <c r="V59" i="26" s="1"/>
  <c r="AD59" i="26"/>
  <c r="AF59" i="26" s="1"/>
  <c r="AH59" i="26" s="1"/>
  <c r="AP59" i="26"/>
  <c r="AR59" i="26" s="1"/>
  <c r="AT59" i="26" s="1"/>
  <c r="AJ59" i="26"/>
  <c r="AL59" i="26" s="1"/>
  <c r="AN59" i="26" s="1"/>
  <c r="BN59" i="26"/>
  <c r="BP59" i="26" s="1"/>
  <c r="BR59" i="26" s="1"/>
  <c r="G53" i="25" l="1"/>
  <c r="X54" i="25"/>
  <c r="Z54" i="25" s="1"/>
  <c r="AB54" i="25" s="1"/>
  <c r="R54" i="25"/>
  <c r="T54" i="25" s="1"/>
  <c r="V54" i="25" s="1"/>
  <c r="AP54" i="25"/>
  <c r="AR54" i="25" s="1"/>
  <c r="AT54" i="25" s="1"/>
  <c r="BN54" i="25"/>
  <c r="BP54" i="25" s="1"/>
  <c r="BR54" i="25" s="1"/>
  <c r="BT54" i="25"/>
  <c r="BV54" i="25" s="1"/>
  <c r="BX54" i="25" s="1"/>
  <c r="BB54" i="25"/>
  <c r="BD54" i="25" s="1"/>
  <c r="BF54" i="25" s="1"/>
  <c r="AD54" i="25"/>
  <c r="AF54" i="25" s="1"/>
  <c r="AH54" i="25" s="1"/>
  <c r="AJ54" i="25"/>
  <c r="AL54" i="25" s="1"/>
  <c r="AN54" i="25" s="1"/>
  <c r="BH54" i="25"/>
  <c r="BJ54" i="25" s="1"/>
  <c r="BL54" i="25" s="1"/>
  <c r="AV54" i="25"/>
  <c r="AX54" i="25" s="1"/>
  <c r="AZ54" i="25" s="1"/>
  <c r="X58" i="26"/>
  <c r="Z58" i="26" s="1"/>
  <c r="AB58" i="26" s="1"/>
  <c r="AV58" i="26"/>
  <c r="AX58" i="26" s="1"/>
  <c r="AZ58" i="26" s="1"/>
  <c r="R58" i="26"/>
  <c r="T58" i="26" s="1"/>
  <c r="V58" i="26" s="1"/>
  <c r="BH58" i="26"/>
  <c r="BJ58" i="26" s="1"/>
  <c r="BL58" i="26" s="1"/>
  <c r="BB58" i="26"/>
  <c r="BD58" i="26" s="1"/>
  <c r="BF58" i="26" s="1"/>
  <c r="BT58" i="26"/>
  <c r="BV58" i="26" s="1"/>
  <c r="BX58" i="26" s="1"/>
  <c r="AD58" i="26"/>
  <c r="AF58" i="26" s="1"/>
  <c r="AH58" i="26" s="1"/>
  <c r="AP58" i="26"/>
  <c r="AR58" i="26" s="1"/>
  <c r="AT58" i="26" s="1"/>
  <c r="AJ58" i="26"/>
  <c r="AL58" i="26" s="1"/>
  <c r="AN58" i="26" s="1"/>
  <c r="BN58" i="26"/>
  <c r="BP58" i="26" s="1"/>
  <c r="BR58" i="26" s="1"/>
  <c r="G52" i="25" l="1"/>
  <c r="AJ53" i="25"/>
  <c r="AL53" i="25" s="1"/>
  <c r="AN53" i="25" s="1"/>
  <c r="BT53" i="25"/>
  <c r="BV53" i="25" s="1"/>
  <c r="BX53" i="25" s="1"/>
  <c r="BN53" i="25"/>
  <c r="BP53" i="25" s="1"/>
  <c r="BR53" i="25" s="1"/>
  <c r="BH53" i="25"/>
  <c r="BJ53" i="25" s="1"/>
  <c r="BL53" i="25" s="1"/>
  <c r="X53" i="25"/>
  <c r="Z53" i="25" s="1"/>
  <c r="AB53" i="25" s="1"/>
  <c r="AP53" i="25"/>
  <c r="AR53" i="25" s="1"/>
  <c r="AT53" i="25" s="1"/>
  <c r="BB53" i="25"/>
  <c r="BD53" i="25" s="1"/>
  <c r="BF53" i="25" s="1"/>
  <c r="R53" i="25"/>
  <c r="T53" i="25" s="1"/>
  <c r="V53" i="25" s="1"/>
  <c r="AD53" i="25"/>
  <c r="AF53" i="25" s="1"/>
  <c r="AH53" i="25" s="1"/>
  <c r="AV53" i="25"/>
  <c r="AX53" i="25" s="1"/>
  <c r="AZ53" i="25" s="1"/>
  <c r="X57" i="26"/>
  <c r="Z57" i="26" s="1"/>
  <c r="AB57" i="26" s="1"/>
  <c r="BN57" i="26"/>
  <c r="BP57" i="26" s="1"/>
  <c r="BR57" i="26" s="1"/>
  <c r="AV57" i="26"/>
  <c r="AX57" i="26" s="1"/>
  <c r="AZ57" i="26" s="1"/>
  <c r="BT57" i="26"/>
  <c r="BV57" i="26" s="1"/>
  <c r="BX57" i="26" s="1"/>
  <c r="AJ57" i="26"/>
  <c r="AL57" i="26" s="1"/>
  <c r="AN57" i="26" s="1"/>
  <c r="R57" i="26"/>
  <c r="T57" i="26" s="1"/>
  <c r="V57" i="26" s="1"/>
  <c r="AD57" i="26"/>
  <c r="AF57" i="26" s="1"/>
  <c r="AH57" i="26" s="1"/>
  <c r="BB57" i="26"/>
  <c r="BD57" i="26" s="1"/>
  <c r="BF57" i="26" s="1"/>
  <c r="AP57" i="26"/>
  <c r="AR57" i="26" s="1"/>
  <c r="AT57" i="26" s="1"/>
  <c r="BH57" i="26"/>
  <c r="BJ57" i="26" s="1"/>
  <c r="BL57" i="26" s="1"/>
  <c r="G51" i="25" l="1"/>
  <c r="X52" i="25"/>
  <c r="Z52" i="25" s="1"/>
  <c r="AB52" i="25" s="1"/>
  <c r="R52" i="25"/>
  <c r="T52" i="25" s="1"/>
  <c r="V52" i="25" s="1"/>
  <c r="AJ52" i="25"/>
  <c r="AL52" i="25" s="1"/>
  <c r="AN52" i="25" s="1"/>
  <c r="BN52" i="25"/>
  <c r="BP52" i="25" s="1"/>
  <c r="BR52" i="25" s="1"/>
  <c r="BT52" i="25"/>
  <c r="BV52" i="25" s="1"/>
  <c r="BX52" i="25" s="1"/>
  <c r="AD52" i="25"/>
  <c r="AF52" i="25" s="1"/>
  <c r="AH52" i="25" s="1"/>
  <c r="BB52" i="25"/>
  <c r="BD52" i="25" s="1"/>
  <c r="BF52" i="25" s="1"/>
  <c r="AV52" i="25"/>
  <c r="AX52" i="25" s="1"/>
  <c r="AZ52" i="25" s="1"/>
  <c r="BH52" i="25"/>
  <c r="BJ52" i="25" s="1"/>
  <c r="BL52" i="25" s="1"/>
  <c r="AP52" i="25"/>
  <c r="AR52" i="25" s="1"/>
  <c r="AT52" i="25" s="1"/>
  <c r="X56" i="26"/>
  <c r="Z56" i="26" s="1"/>
  <c r="AB56" i="26" s="1"/>
  <c r="AV56" i="26"/>
  <c r="AX56" i="26" s="1"/>
  <c r="AZ56" i="26" s="1"/>
  <c r="AD56" i="26"/>
  <c r="AF56" i="26" s="1"/>
  <c r="AH56" i="26" s="1"/>
  <c r="R56" i="26"/>
  <c r="T56" i="26" s="1"/>
  <c r="V56" i="26" s="1"/>
  <c r="BN56" i="26"/>
  <c r="BP56" i="26" s="1"/>
  <c r="BR56" i="26" s="1"/>
  <c r="BH56" i="26"/>
  <c r="BJ56" i="26" s="1"/>
  <c r="BL56" i="26" s="1"/>
  <c r="AP56" i="26"/>
  <c r="AR56" i="26" s="1"/>
  <c r="AT56" i="26" s="1"/>
  <c r="BB56" i="26"/>
  <c r="BD56" i="26" s="1"/>
  <c r="BF56" i="26" s="1"/>
  <c r="BT56" i="26"/>
  <c r="BV56" i="26" s="1"/>
  <c r="BX56" i="26" s="1"/>
  <c r="AJ56" i="26"/>
  <c r="AL56" i="26" s="1"/>
  <c r="AN56" i="26" s="1"/>
  <c r="G50" i="25" l="1"/>
  <c r="AV51" i="25"/>
  <c r="AX51" i="25" s="1"/>
  <c r="AZ51" i="25" s="1"/>
  <c r="X51" i="25"/>
  <c r="Z51" i="25" s="1"/>
  <c r="AB51" i="25" s="1"/>
  <c r="BN51" i="25"/>
  <c r="BP51" i="25" s="1"/>
  <c r="BR51" i="25" s="1"/>
  <c r="BH51" i="25"/>
  <c r="BJ51" i="25" s="1"/>
  <c r="BL51" i="25" s="1"/>
  <c r="AD51" i="25"/>
  <c r="AF51" i="25" s="1"/>
  <c r="AH51" i="25" s="1"/>
  <c r="BB51" i="25"/>
  <c r="BD51" i="25" s="1"/>
  <c r="BF51" i="25" s="1"/>
  <c r="AJ51" i="25"/>
  <c r="AL51" i="25" s="1"/>
  <c r="AN51" i="25" s="1"/>
  <c r="AP51" i="25"/>
  <c r="AR51" i="25" s="1"/>
  <c r="AT51" i="25" s="1"/>
  <c r="BT51" i="25"/>
  <c r="BV51" i="25" s="1"/>
  <c r="BX51" i="25" s="1"/>
  <c r="R51" i="25"/>
  <c r="T51" i="25" s="1"/>
  <c r="V51" i="25" s="1"/>
  <c r="X55" i="26"/>
  <c r="Z55" i="26" s="1"/>
  <c r="AB55" i="26" s="1"/>
  <c r="BN55" i="26"/>
  <c r="BP55" i="26" s="1"/>
  <c r="BR55" i="26" s="1"/>
  <c r="BB55" i="26"/>
  <c r="BD55" i="26" s="1"/>
  <c r="BF55" i="26" s="1"/>
  <c r="R55" i="26"/>
  <c r="T55" i="26" s="1"/>
  <c r="V55" i="26" s="1"/>
  <c r="AP55" i="26"/>
  <c r="AR55" i="26" s="1"/>
  <c r="AT55" i="26" s="1"/>
  <c r="BH55" i="26"/>
  <c r="BJ55" i="26" s="1"/>
  <c r="BL55" i="26" s="1"/>
  <c r="AD55" i="26"/>
  <c r="AF55" i="26" s="1"/>
  <c r="AH55" i="26" s="1"/>
  <c r="BT55" i="26"/>
  <c r="BV55" i="26" s="1"/>
  <c r="BX55" i="26" s="1"/>
  <c r="AV55" i="26"/>
  <c r="AX55" i="26" s="1"/>
  <c r="AZ55" i="26" s="1"/>
  <c r="AJ55" i="26"/>
  <c r="AL55" i="26" s="1"/>
  <c r="AN55" i="26" s="1"/>
  <c r="G49" i="25" l="1"/>
  <c r="X50" i="25"/>
  <c r="Z50" i="25" s="1"/>
  <c r="AB50" i="25" s="1"/>
  <c r="AP50" i="25"/>
  <c r="AR50" i="25" s="1"/>
  <c r="AT50" i="25" s="1"/>
  <c r="BB50" i="25"/>
  <c r="BD50" i="25" s="1"/>
  <c r="BF50" i="25" s="1"/>
  <c r="BN50" i="25"/>
  <c r="BP50" i="25" s="1"/>
  <c r="BR50" i="25" s="1"/>
  <c r="BT50" i="25"/>
  <c r="BV50" i="25" s="1"/>
  <c r="BX50" i="25" s="1"/>
  <c r="AJ50" i="25"/>
  <c r="AL50" i="25" s="1"/>
  <c r="AN50" i="25" s="1"/>
  <c r="R50" i="25"/>
  <c r="T50" i="25" s="1"/>
  <c r="V50" i="25" s="1"/>
  <c r="AV50" i="25"/>
  <c r="AX50" i="25" s="1"/>
  <c r="AZ50" i="25" s="1"/>
  <c r="BH50" i="25"/>
  <c r="BJ50" i="25" s="1"/>
  <c r="BL50" i="25" s="1"/>
  <c r="AD50" i="25"/>
  <c r="AF50" i="25" s="1"/>
  <c r="AH50" i="25" s="1"/>
  <c r="X54" i="26"/>
  <c r="Z54" i="26" s="1"/>
  <c r="AB54" i="26" s="1"/>
  <c r="R54" i="26"/>
  <c r="T54" i="26" s="1"/>
  <c r="V54" i="26" s="1"/>
  <c r="BN54" i="26"/>
  <c r="BP54" i="26" s="1"/>
  <c r="BR54" i="26" s="1"/>
  <c r="BT54" i="26"/>
  <c r="BV54" i="26" s="1"/>
  <c r="BX54" i="26" s="1"/>
  <c r="AJ54" i="26"/>
  <c r="AL54" i="26" s="1"/>
  <c r="AN54" i="26" s="1"/>
  <c r="AP54" i="26"/>
  <c r="AR54" i="26" s="1"/>
  <c r="AT54" i="26" s="1"/>
  <c r="BH54" i="26"/>
  <c r="BJ54" i="26" s="1"/>
  <c r="BL54" i="26" s="1"/>
  <c r="AV54" i="26"/>
  <c r="AX54" i="26" s="1"/>
  <c r="AZ54" i="26" s="1"/>
  <c r="BB54" i="26"/>
  <c r="BD54" i="26" s="1"/>
  <c r="BF54" i="26" s="1"/>
  <c r="AD54" i="26"/>
  <c r="AF54" i="26" s="1"/>
  <c r="AH54" i="26" s="1"/>
  <c r="G48" i="25" l="1"/>
  <c r="AP49" i="25"/>
  <c r="AR49" i="25" s="1"/>
  <c r="AT49" i="25" s="1"/>
  <c r="BT49" i="25"/>
  <c r="BV49" i="25" s="1"/>
  <c r="BX49" i="25" s="1"/>
  <c r="BB49" i="25"/>
  <c r="BD49" i="25" s="1"/>
  <c r="BF49" i="25" s="1"/>
  <c r="X49" i="25"/>
  <c r="Z49" i="25" s="1"/>
  <c r="AB49" i="25" s="1"/>
  <c r="AD49" i="25"/>
  <c r="AF49" i="25" s="1"/>
  <c r="AH49" i="25" s="1"/>
  <c r="AJ49" i="25"/>
  <c r="AL49" i="25" s="1"/>
  <c r="AN49" i="25" s="1"/>
  <c r="AV49" i="25"/>
  <c r="AX49" i="25" s="1"/>
  <c r="AZ49" i="25" s="1"/>
  <c r="BN49" i="25"/>
  <c r="BP49" i="25" s="1"/>
  <c r="BR49" i="25" s="1"/>
  <c r="BH49" i="25"/>
  <c r="BJ49" i="25" s="1"/>
  <c r="BL49" i="25" s="1"/>
  <c r="R49" i="25"/>
  <c r="T49" i="25" s="1"/>
  <c r="V49" i="25" s="1"/>
  <c r="X53" i="26"/>
  <c r="Z53" i="26" s="1"/>
  <c r="AB53" i="26" s="1"/>
  <c r="BN53" i="26"/>
  <c r="BP53" i="26" s="1"/>
  <c r="BR53" i="26" s="1"/>
  <c r="BH53" i="26"/>
  <c r="BJ53" i="26" s="1"/>
  <c r="BL53" i="26" s="1"/>
  <c r="BT53" i="26"/>
  <c r="BV53" i="26" s="1"/>
  <c r="BX53" i="26" s="1"/>
  <c r="AJ53" i="26"/>
  <c r="AL53" i="26" s="1"/>
  <c r="AN53" i="26" s="1"/>
  <c r="BB53" i="26"/>
  <c r="BD53" i="26" s="1"/>
  <c r="BF53" i="26" s="1"/>
  <c r="AD53" i="26"/>
  <c r="AF53" i="26" s="1"/>
  <c r="AH53" i="26" s="1"/>
  <c r="AV53" i="26"/>
  <c r="AX53" i="26" s="1"/>
  <c r="AZ53" i="26" s="1"/>
  <c r="AP53" i="26"/>
  <c r="AR53" i="26" s="1"/>
  <c r="AT53" i="26" s="1"/>
  <c r="R53" i="26"/>
  <c r="T53" i="26" s="1"/>
  <c r="V53" i="26" s="1"/>
  <c r="G47" i="25" l="1"/>
  <c r="R48" i="25"/>
  <c r="T48" i="25" s="1"/>
  <c r="V48" i="25" s="1"/>
  <c r="AV48" i="25"/>
  <c r="AX48" i="25" s="1"/>
  <c r="AZ48" i="25" s="1"/>
  <c r="AJ48" i="25"/>
  <c r="AL48" i="25" s="1"/>
  <c r="AN48" i="25" s="1"/>
  <c r="AD48" i="25"/>
  <c r="AF48" i="25" s="1"/>
  <c r="AH48" i="25" s="1"/>
  <c r="AP48" i="25"/>
  <c r="AR48" i="25" s="1"/>
  <c r="AT48" i="25" s="1"/>
  <c r="BT48" i="25"/>
  <c r="BV48" i="25" s="1"/>
  <c r="BX48" i="25" s="1"/>
  <c r="X48" i="25"/>
  <c r="Z48" i="25" s="1"/>
  <c r="AB48" i="25" s="1"/>
  <c r="BN48" i="25"/>
  <c r="BP48" i="25" s="1"/>
  <c r="BR48" i="25" s="1"/>
  <c r="BB48" i="25"/>
  <c r="BD48" i="25" s="1"/>
  <c r="BF48" i="25" s="1"/>
  <c r="BH48" i="25"/>
  <c r="BJ48" i="25" s="1"/>
  <c r="BL48" i="25" s="1"/>
  <c r="X52" i="26"/>
  <c r="Z52" i="26" s="1"/>
  <c r="AB52" i="26" s="1"/>
  <c r="AD52" i="26"/>
  <c r="AF52" i="26" s="1"/>
  <c r="AH52" i="26" s="1"/>
  <c r="AV52" i="26"/>
  <c r="AX52" i="26" s="1"/>
  <c r="AZ52" i="26" s="1"/>
  <c r="BH52" i="26"/>
  <c r="BJ52" i="26" s="1"/>
  <c r="BL52" i="26" s="1"/>
  <c r="R52" i="26"/>
  <c r="T52" i="26" s="1"/>
  <c r="V52" i="26" s="1"/>
  <c r="BN52" i="26"/>
  <c r="BP52" i="26" s="1"/>
  <c r="BR52" i="26" s="1"/>
  <c r="BB52" i="26"/>
  <c r="BD52" i="26" s="1"/>
  <c r="BF52" i="26" s="1"/>
  <c r="BT52" i="26"/>
  <c r="BV52" i="26" s="1"/>
  <c r="BX52" i="26" s="1"/>
  <c r="AP52" i="26"/>
  <c r="AR52" i="26" s="1"/>
  <c r="AT52" i="26" s="1"/>
  <c r="AJ52" i="26"/>
  <c r="AL52" i="26" s="1"/>
  <c r="AN52" i="26" s="1"/>
  <c r="G46" i="25" l="1"/>
  <c r="AD47" i="25"/>
  <c r="AF47" i="25" s="1"/>
  <c r="AH47" i="25" s="1"/>
  <c r="BN47" i="25"/>
  <c r="BP47" i="25" s="1"/>
  <c r="BR47" i="25" s="1"/>
  <c r="R47" i="25"/>
  <c r="T47" i="25" s="1"/>
  <c r="V47" i="25" s="1"/>
  <c r="BB47" i="25"/>
  <c r="BD47" i="25" s="1"/>
  <c r="BF47" i="25" s="1"/>
  <c r="AV47" i="25"/>
  <c r="AX47" i="25" s="1"/>
  <c r="AZ47" i="25" s="1"/>
  <c r="BT47" i="25"/>
  <c r="BV47" i="25" s="1"/>
  <c r="BX47" i="25" s="1"/>
  <c r="AJ47" i="25"/>
  <c r="AL47" i="25" s="1"/>
  <c r="AN47" i="25" s="1"/>
  <c r="AP47" i="25"/>
  <c r="AR47" i="25" s="1"/>
  <c r="AT47" i="25" s="1"/>
  <c r="X47" i="25"/>
  <c r="Z47" i="25" s="1"/>
  <c r="AB47" i="25" s="1"/>
  <c r="BH47" i="25"/>
  <c r="BJ47" i="25" s="1"/>
  <c r="BL47" i="25" s="1"/>
  <c r="X51" i="26"/>
  <c r="Z51" i="26" s="1"/>
  <c r="AB51" i="26" s="1"/>
  <c r="AP51" i="26"/>
  <c r="AR51" i="26" s="1"/>
  <c r="AT51" i="26" s="1"/>
  <c r="BN51" i="26"/>
  <c r="BP51" i="26" s="1"/>
  <c r="BR51" i="26" s="1"/>
  <c r="AJ51" i="26"/>
  <c r="AL51" i="26" s="1"/>
  <c r="AN51" i="26" s="1"/>
  <c r="AD51" i="26"/>
  <c r="AF51" i="26" s="1"/>
  <c r="AH51" i="26" s="1"/>
  <c r="R51" i="26"/>
  <c r="T51" i="26" s="1"/>
  <c r="V51" i="26" s="1"/>
  <c r="AV51" i="26"/>
  <c r="AX51" i="26" s="1"/>
  <c r="AZ51" i="26" s="1"/>
  <c r="BT51" i="26"/>
  <c r="BV51" i="26" s="1"/>
  <c r="BX51" i="26" s="1"/>
  <c r="BH51" i="26"/>
  <c r="BJ51" i="26" s="1"/>
  <c r="BL51" i="26" s="1"/>
  <c r="BB51" i="26"/>
  <c r="BD51" i="26" s="1"/>
  <c r="BF51" i="26" s="1"/>
  <c r="G45" i="25" l="1"/>
  <c r="AV46" i="25"/>
  <c r="AX46" i="25" s="1"/>
  <c r="AZ46" i="25" s="1"/>
  <c r="BH46" i="25"/>
  <c r="BJ46" i="25" s="1"/>
  <c r="BL46" i="25" s="1"/>
  <c r="BN46" i="25"/>
  <c r="BP46" i="25" s="1"/>
  <c r="BR46" i="25" s="1"/>
  <c r="BB46" i="25"/>
  <c r="BD46" i="25" s="1"/>
  <c r="BF46" i="25" s="1"/>
  <c r="X46" i="25"/>
  <c r="Z46" i="25" s="1"/>
  <c r="AB46" i="25" s="1"/>
  <c r="AP46" i="25"/>
  <c r="AR46" i="25" s="1"/>
  <c r="AT46" i="25" s="1"/>
  <c r="AD46" i="25"/>
  <c r="AF46" i="25" s="1"/>
  <c r="AH46" i="25" s="1"/>
  <c r="BT46" i="25"/>
  <c r="BV46" i="25" s="1"/>
  <c r="BX46" i="25" s="1"/>
  <c r="AJ46" i="25"/>
  <c r="AL46" i="25" s="1"/>
  <c r="AN46" i="25" s="1"/>
  <c r="R46" i="25"/>
  <c r="T46" i="25" s="1"/>
  <c r="V46" i="25" s="1"/>
  <c r="X50" i="26"/>
  <c r="Z50" i="26" s="1"/>
  <c r="AB50" i="26" s="1"/>
  <c r="AV50" i="26"/>
  <c r="AX50" i="26" s="1"/>
  <c r="AZ50" i="26" s="1"/>
  <c r="AP50" i="26"/>
  <c r="AR50" i="26" s="1"/>
  <c r="AT50" i="26" s="1"/>
  <c r="AJ50" i="26"/>
  <c r="AL50" i="26" s="1"/>
  <c r="AN50" i="26" s="1"/>
  <c r="BB50" i="26"/>
  <c r="BD50" i="26" s="1"/>
  <c r="BF50" i="26" s="1"/>
  <c r="BT50" i="26"/>
  <c r="BV50" i="26" s="1"/>
  <c r="BX50" i="26" s="1"/>
  <c r="R50" i="26"/>
  <c r="T50" i="26" s="1"/>
  <c r="V50" i="26" s="1"/>
  <c r="BH50" i="26"/>
  <c r="BJ50" i="26" s="1"/>
  <c r="BL50" i="26" s="1"/>
  <c r="AD50" i="26"/>
  <c r="AF50" i="26" s="1"/>
  <c r="AH50" i="26" s="1"/>
  <c r="BN50" i="26"/>
  <c r="BP50" i="26" s="1"/>
  <c r="BR50" i="26" s="1"/>
  <c r="G44" i="25" l="1"/>
  <c r="BH45" i="25"/>
  <c r="BJ45" i="25" s="1"/>
  <c r="BL45" i="25" s="1"/>
  <c r="R45" i="25"/>
  <c r="T45" i="25" s="1"/>
  <c r="V45" i="25" s="1"/>
  <c r="X45" i="25"/>
  <c r="Z45" i="25" s="1"/>
  <c r="AB45" i="25" s="1"/>
  <c r="BT45" i="25"/>
  <c r="BV45" i="25" s="1"/>
  <c r="BX45" i="25" s="1"/>
  <c r="AP45" i="25"/>
  <c r="AR45" i="25" s="1"/>
  <c r="AT45" i="25" s="1"/>
  <c r="AV45" i="25"/>
  <c r="AX45" i="25" s="1"/>
  <c r="AZ45" i="25" s="1"/>
  <c r="AD45" i="25"/>
  <c r="AF45" i="25" s="1"/>
  <c r="AH45" i="25" s="1"/>
  <c r="BB45" i="25"/>
  <c r="BD45" i="25" s="1"/>
  <c r="BF45" i="25" s="1"/>
  <c r="BN45" i="25"/>
  <c r="BP45" i="25" s="1"/>
  <c r="BR45" i="25" s="1"/>
  <c r="AJ45" i="25"/>
  <c r="AL45" i="25" s="1"/>
  <c r="AN45" i="25" s="1"/>
  <c r="X49" i="26"/>
  <c r="Z49" i="26" s="1"/>
  <c r="AB49" i="26" s="1"/>
  <c r="BH49" i="26"/>
  <c r="BJ49" i="26" s="1"/>
  <c r="BL49" i="26" s="1"/>
  <c r="AJ49" i="26"/>
  <c r="AL49" i="26" s="1"/>
  <c r="AN49" i="26" s="1"/>
  <c r="AV49" i="26"/>
  <c r="AX49" i="26" s="1"/>
  <c r="AZ49" i="26" s="1"/>
  <c r="BB49" i="26"/>
  <c r="BD49" i="26" s="1"/>
  <c r="BF49" i="26" s="1"/>
  <c r="BN49" i="26"/>
  <c r="BP49" i="26" s="1"/>
  <c r="BR49" i="26" s="1"/>
  <c r="BT49" i="26"/>
  <c r="BV49" i="26" s="1"/>
  <c r="BX49" i="26" s="1"/>
  <c r="R49" i="26"/>
  <c r="T49" i="26" s="1"/>
  <c r="V49" i="26" s="1"/>
  <c r="AP49" i="26"/>
  <c r="AR49" i="26" s="1"/>
  <c r="AT49" i="26" s="1"/>
  <c r="AD49" i="26"/>
  <c r="AF49" i="26" s="1"/>
  <c r="AH49" i="26" s="1"/>
  <c r="G43" i="25" l="1"/>
  <c r="AD44" i="25"/>
  <c r="AF44" i="25" s="1"/>
  <c r="AH44" i="25" s="1"/>
  <c r="R44" i="25"/>
  <c r="T44" i="25" s="1"/>
  <c r="V44" i="25" s="1"/>
  <c r="BH44" i="25"/>
  <c r="BJ44" i="25" s="1"/>
  <c r="BL44" i="25" s="1"/>
  <c r="BN44" i="25"/>
  <c r="BP44" i="25" s="1"/>
  <c r="BR44" i="25" s="1"/>
  <c r="AJ44" i="25"/>
  <c r="AL44" i="25" s="1"/>
  <c r="AN44" i="25" s="1"/>
  <c r="AV44" i="25"/>
  <c r="AX44" i="25" s="1"/>
  <c r="AZ44" i="25" s="1"/>
  <c r="BB44" i="25"/>
  <c r="BD44" i="25" s="1"/>
  <c r="BF44" i="25" s="1"/>
  <c r="AP44" i="25"/>
  <c r="AR44" i="25" s="1"/>
  <c r="AT44" i="25" s="1"/>
  <c r="BT44" i="25"/>
  <c r="BV44" i="25" s="1"/>
  <c r="BX44" i="25" s="1"/>
  <c r="X44" i="25"/>
  <c r="Z44" i="25" s="1"/>
  <c r="AB44" i="25" s="1"/>
  <c r="X48" i="26"/>
  <c r="Z48" i="26" s="1"/>
  <c r="AB48" i="26" s="1"/>
  <c r="BT48" i="26"/>
  <c r="BV48" i="26" s="1"/>
  <c r="BX48" i="26" s="1"/>
  <c r="AD48" i="26"/>
  <c r="AF48" i="26" s="1"/>
  <c r="AH48" i="26" s="1"/>
  <c r="AV48" i="26"/>
  <c r="AX48" i="26" s="1"/>
  <c r="AZ48" i="26" s="1"/>
  <c r="BH48" i="26"/>
  <c r="BJ48" i="26" s="1"/>
  <c r="BL48" i="26" s="1"/>
  <c r="BB48" i="26"/>
  <c r="BD48" i="26" s="1"/>
  <c r="BF48" i="26" s="1"/>
  <c r="AP48" i="26"/>
  <c r="AR48" i="26" s="1"/>
  <c r="AT48" i="26" s="1"/>
  <c r="BN48" i="26"/>
  <c r="BP48" i="26" s="1"/>
  <c r="BR48" i="26" s="1"/>
  <c r="AJ48" i="26"/>
  <c r="AL48" i="26" s="1"/>
  <c r="AN48" i="26" s="1"/>
  <c r="R48" i="26"/>
  <c r="T48" i="26" s="1"/>
  <c r="V48" i="26" s="1"/>
  <c r="G42" i="25" l="1"/>
  <c r="BH43" i="25"/>
  <c r="BJ43" i="25" s="1"/>
  <c r="BL43" i="25" s="1"/>
  <c r="AP43" i="25"/>
  <c r="AR43" i="25" s="1"/>
  <c r="AT43" i="25" s="1"/>
  <c r="BB43" i="25"/>
  <c r="BD43" i="25" s="1"/>
  <c r="BF43" i="25" s="1"/>
  <c r="BN43" i="25"/>
  <c r="BP43" i="25" s="1"/>
  <c r="BR43" i="25" s="1"/>
  <c r="BT43" i="25"/>
  <c r="BV43" i="25" s="1"/>
  <c r="BX43" i="25" s="1"/>
  <c r="AD43" i="25"/>
  <c r="AF43" i="25" s="1"/>
  <c r="AH43" i="25" s="1"/>
  <c r="R43" i="25"/>
  <c r="T43" i="25" s="1"/>
  <c r="V43" i="25" s="1"/>
  <c r="AJ43" i="25"/>
  <c r="AL43" i="25" s="1"/>
  <c r="AN43" i="25" s="1"/>
  <c r="X43" i="25"/>
  <c r="Z43" i="25" s="1"/>
  <c r="AB43" i="25" s="1"/>
  <c r="AV43" i="25"/>
  <c r="AX43" i="25" s="1"/>
  <c r="AZ43" i="25" s="1"/>
  <c r="X47" i="26"/>
  <c r="Z47" i="26" s="1"/>
  <c r="AB47" i="26" s="1"/>
  <c r="AD47" i="26"/>
  <c r="AF47" i="26" s="1"/>
  <c r="AH47" i="26" s="1"/>
  <c r="BN47" i="26"/>
  <c r="BP47" i="26" s="1"/>
  <c r="BR47" i="26" s="1"/>
  <c r="BT47" i="26"/>
  <c r="BV47" i="26" s="1"/>
  <c r="BX47" i="26" s="1"/>
  <c r="R47" i="26"/>
  <c r="T47" i="26" s="1"/>
  <c r="V47" i="26" s="1"/>
  <c r="BB47" i="26"/>
  <c r="BD47" i="26" s="1"/>
  <c r="BF47" i="26" s="1"/>
  <c r="AV47" i="26"/>
  <c r="AX47" i="26" s="1"/>
  <c r="AZ47" i="26" s="1"/>
  <c r="AP47" i="26"/>
  <c r="AR47" i="26" s="1"/>
  <c r="AT47" i="26" s="1"/>
  <c r="BH47" i="26"/>
  <c r="BJ47" i="26" s="1"/>
  <c r="BL47" i="26" s="1"/>
  <c r="AJ47" i="26"/>
  <c r="AL47" i="26" s="1"/>
  <c r="AN47" i="26" s="1"/>
  <c r="G41" i="25" l="1"/>
  <c r="AV42" i="25"/>
  <c r="AX42" i="25" s="1"/>
  <c r="AZ42" i="25" s="1"/>
  <c r="BT42" i="25"/>
  <c r="BV42" i="25" s="1"/>
  <c r="BX42" i="25" s="1"/>
  <c r="X42" i="25"/>
  <c r="Z42" i="25" s="1"/>
  <c r="AB42" i="25" s="1"/>
  <c r="BH42" i="25"/>
  <c r="BJ42" i="25" s="1"/>
  <c r="BL42" i="25" s="1"/>
  <c r="BN42" i="25"/>
  <c r="BP42" i="25" s="1"/>
  <c r="BR42" i="25" s="1"/>
  <c r="AP42" i="25"/>
  <c r="AR42" i="25" s="1"/>
  <c r="AT42" i="25" s="1"/>
  <c r="AD42" i="25"/>
  <c r="AF42" i="25" s="1"/>
  <c r="AH42" i="25" s="1"/>
  <c r="R42" i="25"/>
  <c r="T42" i="25" s="1"/>
  <c r="V42" i="25" s="1"/>
  <c r="BB42" i="25"/>
  <c r="BD42" i="25" s="1"/>
  <c r="BF42" i="25" s="1"/>
  <c r="AJ42" i="25"/>
  <c r="AL42" i="25" s="1"/>
  <c r="AN42" i="25" s="1"/>
  <c r="X46" i="26"/>
  <c r="Z46" i="26" s="1"/>
  <c r="AB46" i="26" s="1"/>
  <c r="AP46" i="26"/>
  <c r="AR46" i="26" s="1"/>
  <c r="AT46" i="26" s="1"/>
  <c r="R46" i="26"/>
  <c r="T46" i="26" s="1"/>
  <c r="V46" i="26" s="1"/>
  <c r="AD46" i="26"/>
  <c r="AF46" i="26" s="1"/>
  <c r="AH46" i="26" s="1"/>
  <c r="BN46" i="26"/>
  <c r="BP46" i="26" s="1"/>
  <c r="BR46" i="26" s="1"/>
  <c r="BH46" i="26"/>
  <c r="BJ46" i="26" s="1"/>
  <c r="BL46" i="26" s="1"/>
  <c r="BT46" i="26"/>
  <c r="BV46" i="26" s="1"/>
  <c r="BX46" i="26" s="1"/>
  <c r="AV46" i="26"/>
  <c r="AX46" i="26" s="1"/>
  <c r="AZ46" i="26" s="1"/>
  <c r="BB46" i="26"/>
  <c r="BD46" i="26" s="1"/>
  <c r="BF46" i="26" s="1"/>
  <c r="AJ46" i="26"/>
  <c r="AL46" i="26" s="1"/>
  <c r="AN46" i="26" s="1"/>
  <c r="G40" i="25" l="1"/>
  <c r="AP41" i="25"/>
  <c r="AR41" i="25" s="1"/>
  <c r="AT41" i="25" s="1"/>
  <c r="AD41" i="25"/>
  <c r="AF41" i="25" s="1"/>
  <c r="AH41" i="25" s="1"/>
  <c r="R41" i="25"/>
  <c r="T41" i="25" s="1"/>
  <c r="V41" i="25" s="1"/>
  <c r="X41" i="25"/>
  <c r="Z41" i="25" s="1"/>
  <c r="AB41" i="25" s="1"/>
  <c r="AJ41" i="25"/>
  <c r="AL41" i="25" s="1"/>
  <c r="AN41" i="25" s="1"/>
  <c r="AV41" i="25"/>
  <c r="AX41" i="25" s="1"/>
  <c r="AZ41" i="25" s="1"/>
  <c r="BH41" i="25"/>
  <c r="BJ41" i="25" s="1"/>
  <c r="BL41" i="25" s="1"/>
  <c r="BT41" i="25"/>
  <c r="BV41" i="25" s="1"/>
  <c r="BX41" i="25" s="1"/>
  <c r="BN41" i="25"/>
  <c r="BP41" i="25" s="1"/>
  <c r="BR41" i="25" s="1"/>
  <c r="BB41" i="25"/>
  <c r="BD41" i="25" s="1"/>
  <c r="BF41" i="25" s="1"/>
  <c r="X45" i="26"/>
  <c r="Z45" i="26" s="1"/>
  <c r="AB45" i="26" s="1"/>
  <c r="R45" i="26"/>
  <c r="T45" i="26" s="1"/>
  <c r="V45" i="26" s="1"/>
  <c r="BN45" i="26"/>
  <c r="BP45" i="26" s="1"/>
  <c r="BR45" i="26" s="1"/>
  <c r="AP45" i="26"/>
  <c r="AR45" i="26" s="1"/>
  <c r="AT45" i="26" s="1"/>
  <c r="AD45" i="26"/>
  <c r="AF45" i="26" s="1"/>
  <c r="AH45" i="26" s="1"/>
  <c r="BB45" i="26"/>
  <c r="BD45" i="26" s="1"/>
  <c r="BF45" i="26" s="1"/>
  <c r="AV45" i="26"/>
  <c r="AX45" i="26" s="1"/>
  <c r="AZ45" i="26" s="1"/>
  <c r="BT45" i="26"/>
  <c r="BV45" i="26" s="1"/>
  <c r="BX45" i="26" s="1"/>
  <c r="AJ45" i="26"/>
  <c r="AL45" i="26" s="1"/>
  <c r="AN45" i="26" s="1"/>
  <c r="BH45" i="26"/>
  <c r="BJ45" i="26" s="1"/>
  <c r="BL45" i="26" s="1"/>
  <c r="G39" i="25" l="1"/>
  <c r="BT40" i="25"/>
  <c r="BV40" i="25" s="1"/>
  <c r="BX40" i="25" s="1"/>
  <c r="X40" i="25"/>
  <c r="Z40" i="25" s="1"/>
  <c r="AB40" i="25" s="1"/>
  <c r="BN40" i="25"/>
  <c r="BP40" i="25" s="1"/>
  <c r="BR40" i="25" s="1"/>
  <c r="BH40" i="25"/>
  <c r="BJ40" i="25" s="1"/>
  <c r="BL40" i="25" s="1"/>
  <c r="AJ40" i="25"/>
  <c r="AL40" i="25" s="1"/>
  <c r="AN40" i="25" s="1"/>
  <c r="AV40" i="25"/>
  <c r="AX40" i="25" s="1"/>
  <c r="AZ40" i="25" s="1"/>
  <c r="BB40" i="25"/>
  <c r="BD40" i="25" s="1"/>
  <c r="BF40" i="25" s="1"/>
  <c r="AP40" i="25"/>
  <c r="AR40" i="25" s="1"/>
  <c r="AT40" i="25" s="1"/>
  <c r="AD40" i="25"/>
  <c r="AF40" i="25" s="1"/>
  <c r="AH40" i="25" s="1"/>
  <c r="R40" i="25"/>
  <c r="T40" i="25" s="1"/>
  <c r="V40" i="25" s="1"/>
  <c r="X44" i="26"/>
  <c r="Z44" i="26" s="1"/>
  <c r="AB44" i="26" s="1"/>
  <c r="BH44" i="26"/>
  <c r="BJ44" i="26" s="1"/>
  <c r="BL44" i="26" s="1"/>
  <c r="BN44" i="26"/>
  <c r="BP44" i="26" s="1"/>
  <c r="BR44" i="26" s="1"/>
  <c r="R44" i="26"/>
  <c r="T44" i="26" s="1"/>
  <c r="V44" i="26" s="1"/>
  <c r="AJ44" i="26"/>
  <c r="AL44" i="26" s="1"/>
  <c r="AN44" i="26" s="1"/>
  <c r="BB44" i="26"/>
  <c r="BD44" i="26" s="1"/>
  <c r="BF44" i="26" s="1"/>
  <c r="AV44" i="26"/>
  <c r="AX44" i="26" s="1"/>
  <c r="AZ44" i="26" s="1"/>
  <c r="AP44" i="26"/>
  <c r="AR44" i="26" s="1"/>
  <c r="AT44" i="26" s="1"/>
  <c r="BT44" i="26"/>
  <c r="BV44" i="26" s="1"/>
  <c r="BX44" i="26" s="1"/>
  <c r="AD44" i="26"/>
  <c r="AF44" i="26" s="1"/>
  <c r="AH44" i="26" s="1"/>
  <c r="G38" i="25" l="1"/>
  <c r="AJ39" i="25"/>
  <c r="AL39" i="25" s="1"/>
  <c r="AN39" i="25" s="1"/>
  <c r="X39" i="25"/>
  <c r="Z39" i="25" s="1"/>
  <c r="AB39" i="25" s="1"/>
  <c r="AP39" i="25"/>
  <c r="AR39" i="25" s="1"/>
  <c r="AT39" i="25" s="1"/>
  <c r="BT39" i="25"/>
  <c r="BV39" i="25" s="1"/>
  <c r="BX39" i="25" s="1"/>
  <c r="R39" i="25"/>
  <c r="T39" i="25" s="1"/>
  <c r="V39" i="25" s="1"/>
  <c r="BN39" i="25"/>
  <c r="BP39" i="25" s="1"/>
  <c r="BR39" i="25" s="1"/>
  <c r="AV39" i="25"/>
  <c r="AX39" i="25" s="1"/>
  <c r="AZ39" i="25" s="1"/>
  <c r="BB39" i="25"/>
  <c r="BD39" i="25" s="1"/>
  <c r="BF39" i="25" s="1"/>
  <c r="AD39" i="25"/>
  <c r="AF39" i="25" s="1"/>
  <c r="AH39" i="25" s="1"/>
  <c r="BH39" i="25"/>
  <c r="BJ39" i="25" s="1"/>
  <c r="BL39" i="25" s="1"/>
  <c r="X43" i="26"/>
  <c r="Z43" i="26" s="1"/>
  <c r="AB43" i="26" s="1"/>
  <c r="BH43" i="26"/>
  <c r="BJ43" i="26" s="1"/>
  <c r="BL43" i="26" s="1"/>
  <c r="BN43" i="26"/>
  <c r="BP43" i="26" s="1"/>
  <c r="BR43" i="26" s="1"/>
  <c r="R43" i="26"/>
  <c r="T43" i="26" s="1"/>
  <c r="V43" i="26" s="1"/>
  <c r="AJ43" i="26"/>
  <c r="AL43" i="26" s="1"/>
  <c r="AN43" i="26" s="1"/>
  <c r="AD43" i="26"/>
  <c r="AF43" i="26" s="1"/>
  <c r="AH43" i="26" s="1"/>
  <c r="AV43" i="26"/>
  <c r="AX43" i="26" s="1"/>
  <c r="AZ43" i="26" s="1"/>
  <c r="BT43" i="26"/>
  <c r="BV43" i="26" s="1"/>
  <c r="BX43" i="26" s="1"/>
  <c r="BB43" i="26"/>
  <c r="BD43" i="26" s="1"/>
  <c r="BF43" i="26" s="1"/>
  <c r="AP43" i="26"/>
  <c r="AR43" i="26" s="1"/>
  <c r="AT43" i="26" s="1"/>
  <c r="G37" i="25" l="1"/>
  <c r="BT38" i="25"/>
  <c r="BV38" i="25" s="1"/>
  <c r="BX38" i="25" s="1"/>
  <c r="BN38" i="25"/>
  <c r="BP38" i="25" s="1"/>
  <c r="BR38" i="25" s="1"/>
  <c r="AP38" i="25"/>
  <c r="AR38" i="25" s="1"/>
  <c r="AT38" i="25" s="1"/>
  <c r="BH38" i="25"/>
  <c r="BJ38" i="25" s="1"/>
  <c r="BL38" i="25" s="1"/>
  <c r="AV38" i="25"/>
  <c r="AX38" i="25" s="1"/>
  <c r="AZ38" i="25" s="1"/>
  <c r="X38" i="25"/>
  <c r="Z38" i="25" s="1"/>
  <c r="AB38" i="25" s="1"/>
  <c r="AD38" i="25"/>
  <c r="AF38" i="25" s="1"/>
  <c r="AH38" i="25" s="1"/>
  <c r="BB38" i="25"/>
  <c r="BD38" i="25" s="1"/>
  <c r="BF38" i="25" s="1"/>
  <c r="AJ38" i="25"/>
  <c r="AL38" i="25" s="1"/>
  <c r="AN38" i="25" s="1"/>
  <c r="R38" i="25"/>
  <c r="T38" i="25" s="1"/>
  <c r="V38" i="25" s="1"/>
  <c r="X42" i="26"/>
  <c r="Z42" i="26" s="1"/>
  <c r="AB42" i="26" s="1"/>
  <c r="BT42" i="26"/>
  <c r="BV42" i="26" s="1"/>
  <c r="BX42" i="26" s="1"/>
  <c r="BH42" i="26"/>
  <c r="BJ42" i="26" s="1"/>
  <c r="BL42" i="26" s="1"/>
  <c r="R42" i="26"/>
  <c r="T42" i="26" s="1"/>
  <c r="V42" i="26" s="1"/>
  <c r="BB42" i="26"/>
  <c r="BD42" i="26" s="1"/>
  <c r="BF42" i="26" s="1"/>
  <c r="AP42" i="26"/>
  <c r="AR42" i="26" s="1"/>
  <c r="AT42" i="26" s="1"/>
  <c r="BN42" i="26"/>
  <c r="BP42" i="26" s="1"/>
  <c r="BR42" i="26" s="1"/>
  <c r="AD42" i="26"/>
  <c r="AF42" i="26" s="1"/>
  <c r="AH42" i="26" s="1"/>
  <c r="AV42" i="26"/>
  <c r="AX42" i="26" s="1"/>
  <c r="AZ42" i="26" s="1"/>
  <c r="AJ42" i="26"/>
  <c r="AL42" i="26" s="1"/>
  <c r="AN42" i="26" s="1"/>
  <c r="G36" i="25" l="1"/>
  <c r="AJ37" i="25"/>
  <c r="AL37" i="25" s="1"/>
  <c r="AN37" i="25" s="1"/>
  <c r="BN37" i="25"/>
  <c r="BP37" i="25" s="1"/>
  <c r="BR37" i="25" s="1"/>
  <c r="AP37" i="25"/>
  <c r="AR37" i="25" s="1"/>
  <c r="AT37" i="25" s="1"/>
  <c r="X37" i="25"/>
  <c r="Z37" i="25" s="1"/>
  <c r="AB37" i="25" s="1"/>
  <c r="AV37" i="25"/>
  <c r="AX37" i="25" s="1"/>
  <c r="AZ37" i="25" s="1"/>
  <c r="R37" i="25"/>
  <c r="T37" i="25" s="1"/>
  <c r="V37" i="25" s="1"/>
  <c r="BT37" i="25"/>
  <c r="BV37" i="25" s="1"/>
  <c r="BX37" i="25" s="1"/>
  <c r="BB37" i="25"/>
  <c r="BD37" i="25" s="1"/>
  <c r="BF37" i="25" s="1"/>
  <c r="AD37" i="25"/>
  <c r="AF37" i="25" s="1"/>
  <c r="AH37" i="25" s="1"/>
  <c r="BH37" i="25"/>
  <c r="BJ37" i="25" s="1"/>
  <c r="BL37" i="25" s="1"/>
  <c r="X41" i="26"/>
  <c r="Z41" i="26" s="1"/>
  <c r="AB41" i="26" s="1"/>
  <c r="BB41" i="26"/>
  <c r="BD41" i="26" s="1"/>
  <c r="BF41" i="26" s="1"/>
  <c r="AP41" i="26"/>
  <c r="AR41" i="26" s="1"/>
  <c r="AT41" i="26" s="1"/>
  <c r="BT41" i="26"/>
  <c r="BV41" i="26" s="1"/>
  <c r="BX41" i="26" s="1"/>
  <c r="AV41" i="26"/>
  <c r="AX41" i="26" s="1"/>
  <c r="AZ41" i="26" s="1"/>
  <c r="AD41" i="26"/>
  <c r="AF41" i="26" s="1"/>
  <c r="AH41" i="26" s="1"/>
  <c r="BN41" i="26"/>
  <c r="BP41" i="26" s="1"/>
  <c r="BR41" i="26" s="1"/>
  <c r="BH41" i="26"/>
  <c r="BJ41" i="26" s="1"/>
  <c r="BL41" i="26" s="1"/>
  <c r="R41" i="26"/>
  <c r="T41" i="26" s="1"/>
  <c r="V41" i="26" s="1"/>
  <c r="AJ41" i="26"/>
  <c r="AL41" i="26" s="1"/>
  <c r="AN41" i="26" s="1"/>
  <c r="G35" i="25" l="1"/>
  <c r="X36" i="25"/>
  <c r="Z36" i="25" s="1"/>
  <c r="AB36" i="25" s="1"/>
  <c r="R36" i="25"/>
  <c r="T36" i="25" s="1"/>
  <c r="V36" i="25" s="1"/>
  <c r="AV36" i="25"/>
  <c r="AX36" i="25" s="1"/>
  <c r="AZ36" i="25" s="1"/>
  <c r="AP36" i="25"/>
  <c r="AR36" i="25" s="1"/>
  <c r="AT36" i="25" s="1"/>
  <c r="BB36" i="25"/>
  <c r="BD36" i="25" s="1"/>
  <c r="BF36" i="25" s="1"/>
  <c r="BN36" i="25"/>
  <c r="BP36" i="25" s="1"/>
  <c r="BR36" i="25" s="1"/>
  <c r="BH36" i="25"/>
  <c r="BJ36" i="25" s="1"/>
  <c r="BL36" i="25" s="1"/>
  <c r="AD36" i="25"/>
  <c r="AF36" i="25" s="1"/>
  <c r="AH36" i="25" s="1"/>
  <c r="AJ36" i="25"/>
  <c r="AL36" i="25" s="1"/>
  <c r="AN36" i="25" s="1"/>
  <c r="BT36" i="25"/>
  <c r="BV36" i="25" s="1"/>
  <c r="BX36" i="25" s="1"/>
  <c r="X40" i="26"/>
  <c r="Z40" i="26" s="1"/>
  <c r="AB40" i="26" s="1"/>
  <c r="BH40" i="26"/>
  <c r="BJ40" i="26" s="1"/>
  <c r="BL40" i="26" s="1"/>
  <c r="BN40" i="26"/>
  <c r="BP40" i="26" s="1"/>
  <c r="BR40" i="26" s="1"/>
  <c r="AD40" i="26"/>
  <c r="AF40" i="26" s="1"/>
  <c r="AH40" i="26" s="1"/>
  <c r="AJ40" i="26"/>
  <c r="AL40" i="26" s="1"/>
  <c r="AN40" i="26" s="1"/>
  <c r="R40" i="26"/>
  <c r="T40" i="26" s="1"/>
  <c r="V40" i="26" s="1"/>
  <c r="BB40" i="26"/>
  <c r="BD40" i="26" s="1"/>
  <c r="BF40" i="26" s="1"/>
  <c r="BT40" i="26"/>
  <c r="BV40" i="26" s="1"/>
  <c r="BX40" i="26" s="1"/>
  <c r="AV40" i="26"/>
  <c r="AX40" i="26" s="1"/>
  <c r="AZ40" i="26" s="1"/>
  <c r="AP40" i="26"/>
  <c r="AR40" i="26" s="1"/>
  <c r="AT40" i="26" s="1"/>
  <c r="G34" i="25" l="1"/>
  <c r="AJ35" i="25"/>
  <c r="AL35" i="25" s="1"/>
  <c r="AN35" i="25" s="1"/>
  <c r="BT35" i="25"/>
  <c r="BV35" i="25" s="1"/>
  <c r="BX35" i="25" s="1"/>
  <c r="BN35" i="25"/>
  <c r="BP35" i="25" s="1"/>
  <c r="BR35" i="25" s="1"/>
  <c r="X35" i="25"/>
  <c r="Z35" i="25" s="1"/>
  <c r="AB35" i="25" s="1"/>
  <c r="BH35" i="25"/>
  <c r="BJ35" i="25" s="1"/>
  <c r="BL35" i="25" s="1"/>
  <c r="R35" i="25"/>
  <c r="T35" i="25" s="1"/>
  <c r="V35" i="25" s="1"/>
  <c r="AP35" i="25"/>
  <c r="AR35" i="25" s="1"/>
  <c r="AT35" i="25" s="1"/>
  <c r="AD35" i="25"/>
  <c r="AF35" i="25" s="1"/>
  <c r="AH35" i="25" s="1"/>
  <c r="AV35" i="25"/>
  <c r="AX35" i="25" s="1"/>
  <c r="AZ35" i="25" s="1"/>
  <c r="BB35" i="25"/>
  <c r="BD35" i="25" s="1"/>
  <c r="BF35" i="25" s="1"/>
  <c r="X39" i="26"/>
  <c r="Z39" i="26" s="1"/>
  <c r="AB39" i="26" s="1"/>
  <c r="AJ39" i="26"/>
  <c r="AL39" i="26" s="1"/>
  <c r="AN39" i="26" s="1"/>
  <c r="BB39" i="26"/>
  <c r="BD39" i="26" s="1"/>
  <c r="BF39" i="26" s="1"/>
  <c r="AV39" i="26"/>
  <c r="AX39" i="26" s="1"/>
  <c r="AZ39" i="26" s="1"/>
  <c r="AD39" i="26"/>
  <c r="AF39" i="26" s="1"/>
  <c r="AH39" i="26" s="1"/>
  <c r="BT39" i="26"/>
  <c r="BV39" i="26" s="1"/>
  <c r="BX39" i="26" s="1"/>
  <c r="BN39" i="26"/>
  <c r="BP39" i="26" s="1"/>
  <c r="BR39" i="26" s="1"/>
  <c r="AP39" i="26"/>
  <c r="AR39" i="26" s="1"/>
  <c r="AT39" i="26" s="1"/>
  <c r="BH39" i="26"/>
  <c r="BJ39" i="26" s="1"/>
  <c r="BL39" i="26" s="1"/>
  <c r="R39" i="26"/>
  <c r="T39" i="26" s="1"/>
  <c r="V39" i="26" s="1"/>
  <c r="G33" i="25" l="1"/>
  <c r="X34" i="25"/>
  <c r="Z34" i="25" s="1"/>
  <c r="AB34" i="25" s="1"/>
  <c r="BH34" i="25"/>
  <c r="BJ34" i="25" s="1"/>
  <c r="BL34" i="25" s="1"/>
  <c r="BT34" i="25"/>
  <c r="BV34" i="25" s="1"/>
  <c r="BX34" i="25" s="1"/>
  <c r="AV34" i="25"/>
  <c r="AX34" i="25" s="1"/>
  <c r="AZ34" i="25" s="1"/>
  <c r="AJ34" i="25"/>
  <c r="AL34" i="25" s="1"/>
  <c r="AN34" i="25" s="1"/>
  <c r="BN34" i="25"/>
  <c r="BP34" i="25" s="1"/>
  <c r="BR34" i="25" s="1"/>
  <c r="BB34" i="25"/>
  <c r="BD34" i="25" s="1"/>
  <c r="BF34" i="25" s="1"/>
  <c r="AP34" i="25"/>
  <c r="AR34" i="25" s="1"/>
  <c r="AT34" i="25" s="1"/>
  <c r="R34" i="25"/>
  <c r="T34" i="25" s="1"/>
  <c r="V34" i="25" s="1"/>
  <c r="AD34" i="25"/>
  <c r="AF34" i="25" s="1"/>
  <c r="AH34" i="25" s="1"/>
  <c r="X38" i="26"/>
  <c r="Z38" i="26" s="1"/>
  <c r="AB38" i="26" s="1"/>
  <c r="BT38" i="26"/>
  <c r="BV38" i="26" s="1"/>
  <c r="BX38" i="26" s="1"/>
  <c r="BH38" i="26"/>
  <c r="BJ38" i="26" s="1"/>
  <c r="BL38" i="26" s="1"/>
  <c r="AV38" i="26"/>
  <c r="AX38" i="26" s="1"/>
  <c r="AZ38" i="26" s="1"/>
  <c r="R38" i="26"/>
  <c r="T38" i="26" s="1"/>
  <c r="V38" i="26" s="1"/>
  <c r="BB38" i="26"/>
  <c r="BD38" i="26" s="1"/>
  <c r="BF38" i="26" s="1"/>
  <c r="AD38" i="26"/>
  <c r="AF38" i="26" s="1"/>
  <c r="AH38" i="26" s="1"/>
  <c r="AP38" i="26"/>
  <c r="AR38" i="26" s="1"/>
  <c r="AT38" i="26" s="1"/>
  <c r="AJ38" i="26"/>
  <c r="AL38" i="26" s="1"/>
  <c r="AN38" i="26" s="1"/>
  <c r="BN38" i="26"/>
  <c r="BP38" i="26" s="1"/>
  <c r="BR38" i="26" s="1"/>
  <c r="G32" i="25" l="1"/>
  <c r="BN33" i="25"/>
  <c r="BP33" i="25" s="1"/>
  <c r="BR33" i="25" s="1"/>
  <c r="AD33" i="25"/>
  <c r="AF33" i="25" s="1"/>
  <c r="AH33" i="25" s="1"/>
  <c r="BT33" i="25"/>
  <c r="BV33" i="25" s="1"/>
  <c r="BX33" i="25" s="1"/>
  <c r="AJ33" i="25"/>
  <c r="AL33" i="25" s="1"/>
  <c r="AN33" i="25" s="1"/>
  <c r="R33" i="25"/>
  <c r="T33" i="25" s="1"/>
  <c r="V33" i="25" s="1"/>
  <c r="AV33" i="25"/>
  <c r="AX33" i="25" s="1"/>
  <c r="AZ33" i="25" s="1"/>
  <c r="BB33" i="25"/>
  <c r="BD33" i="25" s="1"/>
  <c r="BF33" i="25" s="1"/>
  <c r="BH33" i="25"/>
  <c r="BJ33" i="25" s="1"/>
  <c r="BL33" i="25" s="1"/>
  <c r="AP33" i="25"/>
  <c r="AR33" i="25" s="1"/>
  <c r="AT33" i="25" s="1"/>
  <c r="X33" i="25"/>
  <c r="Z33" i="25" s="1"/>
  <c r="AB33" i="25" s="1"/>
  <c r="X37" i="26"/>
  <c r="Z37" i="26" s="1"/>
  <c r="AB37" i="26" s="1"/>
  <c r="AD37" i="26"/>
  <c r="AF37" i="26" s="1"/>
  <c r="AH37" i="26" s="1"/>
  <c r="BB37" i="26"/>
  <c r="BD37" i="26" s="1"/>
  <c r="BF37" i="26" s="1"/>
  <c r="AV37" i="26"/>
  <c r="AX37" i="26" s="1"/>
  <c r="AZ37" i="26" s="1"/>
  <c r="BN37" i="26"/>
  <c r="BP37" i="26" s="1"/>
  <c r="BR37" i="26" s="1"/>
  <c r="R37" i="26"/>
  <c r="T37" i="26" s="1"/>
  <c r="V37" i="26" s="1"/>
  <c r="AJ37" i="26"/>
  <c r="AL37" i="26" s="1"/>
  <c r="AN37" i="26" s="1"/>
  <c r="BH37" i="26"/>
  <c r="BJ37" i="26" s="1"/>
  <c r="BL37" i="26" s="1"/>
  <c r="BT37" i="26"/>
  <c r="BV37" i="26" s="1"/>
  <c r="BX37" i="26" s="1"/>
  <c r="AP37" i="26"/>
  <c r="AR37" i="26" s="1"/>
  <c r="AT37" i="26" s="1"/>
  <c r="G31" i="25" l="1"/>
  <c r="BN32" i="25"/>
  <c r="BP32" i="25" s="1"/>
  <c r="BR32" i="25" s="1"/>
  <c r="BH32" i="25"/>
  <c r="BJ32" i="25" s="1"/>
  <c r="BL32" i="25" s="1"/>
  <c r="AP32" i="25"/>
  <c r="AR32" i="25" s="1"/>
  <c r="AT32" i="25" s="1"/>
  <c r="AV32" i="25"/>
  <c r="AX32" i="25" s="1"/>
  <c r="AZ32" i="25" s="1"/>
  <c r="BT32" i="25"/>
  <c r="BV32" i="25" s="1"/>
  <c r="BX32" i="25" s="1"/>
  <c r="AJ32" i="25"/>
  <c r="AL32" i="25" s="1"/>
  <c r="AN32" i="25" s="1"/>
  <c r="R32" i="25"/>
  <c r="T32" i="25" s="1"/>
  <c r="V32" i="25" s="1"/>
  <c r="AD32" i="25"/>
  <c r="AF32" i="25" s="1"/>
  <c r="AH32" i="25" s="1"/>
  <c r="X32" i="25"/>
  <c r="Z32" i="25" s="1"/>
  <c r="AB32" i="25" s="1"/>
  <c r="BB32" i="25"/>
  <c r="BD32" i="25" s="1"/>
  <c r="BF32" i="25" s="1"/>
  <c r="X36" i="26"/>
  <c r="Z36" i="26" s="1"/>
  <c r="AB36" i="26" s="1"/>
  <c r="BT36" i="26"/>
  <c r="BV36" i="26" s="1"/>
  <c r="BX36" i="26" s="1"/>
  <c r="BN36" i="26"/>
  <c r="BP36" i="26" s="1"/>
  <c r="BR36" i="26" s="1"/>
  <c r="BB36" i="26"/>
  <c r="BD36" i="26" s="1"/>
  <c r="BF36" i="26" s="1"/>
  <c r="AV36" i="26"/>
  <c r="AX36" i="26" s="1"/>
  <c r="AZ36" i="26" s="1"/>
  <c r="AD36" i="26"/>
  <c r="AF36" i="26" s="1"/>
  <c r="AH36" i="26" s="1"/>
  <c r="BH36" i="26"/>
  <c r="BJ36" i="26" s="1"/>
  <c r="BL36" i="26" s="1"/>
  <c r="R36" i="26"/>
  <c r="T36" i="26" s="1"/>
  <c r="V36" i="26" s="1"/>
  <c r="AJ36" i="26"/>
  <c r="AL36" i="26" s="1"/>
  <c r="AN36" i="26" s="1"/>
  <c r="AP36" i="26"/>
  <c r="AR36" i="26" s="1"/>
  <c r="AT36" i="26" s="1"/>
  <c r="G30" i="25" l="1"/>
  <c r="X31" i="25"/>
  <c r="Z31" i="25" s="1"/>
  <c r="AB31" i="25" s="1"/>
  <c r="AD31" i="25"/>
  <c r="AF31" i="25" s="1"/>
  <c r="AH31" i="25" s="1"/>
  <c r="BH31" i="25"/>
  <c r="BJ31" i="25" s="1"/>
  <c r="BL31" i="25" s="1"/>
  <c r="AJ31" i="25"/>
  <c r="AL31" i="25" s="1"/>
  <c r="AN31" i="25" s="1"/>
  <c r="BN31" i="25"/>
  <c r="BP31" i="25" s="1"/>
  <c r="BR31" i="25" s="1"/>
  <c r="BB31" i="25"/>
  <c r="BD31" i="25" s="1"/>
  <c r="BF31" i="25" s="1"/>
  <c r="R31" i="25"/>
  <c r="T31" i="25" s="1"/>
  <c r="V31" i="25" s="1"/>
  <c r="BT31" i="25"/>
  <c r="BV31" i="25" s="1"/>
  <c r="BX31" i="25" s="1"/>
  <c r="AP31" i="25"/>
  <c r="AR31" i="25" s="1"/>
  <c r="AT31" i="25" s="1"/>
  <c r="AV31" i="25"/>
  <c r="AX31" i="25" s="1"/>
  <c r="AZ31" i="25" s="1"/>
  <c r="X35" i="26"/>
  <c r="Z35" i="26" s="1"/>
  <c r="AB35" i="26" s="1"/>
  <c r="BT35" i="26"/>
  <c r="BV35" i="26" s="1"/>
  <c r="BX35" i="26" s="1"/>
  <c r="AD35" i="26"/>
  <c r="AF35" i="26" s="1"/>
  <c r="AH35" i="26" s="1"/>
  <c r="BB35" i="26"/>
  <c r="BD35" i="26" s="1"/>
  <c r="BF35" i="26" s="1"/>
  <c r="AP35" i="26"/>
  <c r="AR35" i="26" s="1"/>
  <c r="AT35" i="26" s="1"/>
  <c r="AJ35" i="26"/>
  <c r="AL35" i="26" s="1"/>
  <c r="AN35" i="26" s="1"/>
  <c r="R35" i="26"/>
  <c r="T35" i="26" s="1"/>
  <c r="V35" i="26" s="1"/>
  <c r="AV35" i="26"/>
  <c r="AX35" i="26" s="1"/>
  <c r="AZ35" i="26" s="1"/>
  <c r="BH35" i="26"/>
  <c r="BJ35" i="26" s="1"/>
  <c r="BL35" i="26" s="1"/>
  <c r="BN35" i="26"/>
  <c r="BP35" i="26" s="1"/>
  <c r="BR35" i="26" s="1"/>
  <c r="G29" i="25" l="1"/>
  <c r="BB30" i="25"/>
  <c r="BD30" i="25" s="1"/>
  <c r="BF30" i="25" s="1"/>
  <c r="AV30" i="25"/>
  <c r="AX30" i="25" s="1"/>
  <c r="AZ30" i="25" s="1"/>
  <c r="BH30" i="25"/>
  <c r="BJ30" i="25" s="1"/>
  <c r="BL30" i="25" s="1"/>
  <c r="BN30" i="25"/>
  <c r="BP30" i="25" s="1"/>
  <c r="BR30" i="25" s="1"/>
  <c r="BT30" i="25"/>
  <c r="BV30" i="25" s="1"/>
  <c r="BX30" i="25" s="1"/>
  <c r="R30" i="25"/>
  <c r="T30" i="25" s="1"/>
  <c r="V30" i="25" s="1"/>
  <c r="AP30" i="25"/>
  <c r="AR30" i="25" s="1"/>
  <c r="AT30" i="25" s="1"/>
  <c r="AJ30" i="25"/>
  <c r="AL30" i="25" s="1"/>
  <c r="AN30" i="25" s="1"/>
  <c r="X30" i="25"/>
  <c r="Z30" i="25" s="1"/>
  <c r="AB30" i="25" s="1"/>
  <c r="AD30" i="25"/>
  <c r="AF30" i="25" s="1"/>
  <c r="AH30" i="25" s="1"/>
  <c r="X34" i="26"/>
  <c r="Z34" i="26" s="1"/>
  <c r="AB34" i="26" s="1"/>
  <c r="BB34" i="26"/>
  <c r="BD34" i="26" s="1"/>
  <c r="BF34" i="26" s="1"/>
  <c r="BT34" i="26"/>
  <c r="BV34" i="26" s="1"/>
  <c r="BX34" i="26" s="1"/>
  <c r="BH34" i="26"/>
  <c r="BJ34" i="26" s="1"/>
  <c r="BL34" i="26" s="1"/>
  <c r="R34" i="26"/>
  <c r="T34" i="26" s="1"/>
  <c r="V34" i="26" s="1"/>
  <c r="AJ34" i="26"/>
  <c r="AL34" i="26" s="1"/>
  <c r="AN34" i="26" s="1"/>
  <c r="AP34" i="26"/>
  <c r="AR34" i="26" s="1"/>
  <c r="AT34" i="26" s="1"/>
  <c r="AV34" i="26"/>
  <c r="AX34" i="26" s="1"/>
  <c r="AZ34" i="26" s="1"/>
  <c r="AD34" i="26"/>
  <c r="AF34" i="26" s="1"/>
  <c r="AH34" i="26" s="1"/>
  <c r="BN34" i="26"/>
  <c r="BP34" i="26" s="1"/>
  <c r="BR34" i="26" s="1"/>
  <c r="G28" i="25" l="1"/>
  <c r="AJ29" i="25"/>
  <c r="AL29" i="25" s="1"/>
  <c r="AN29" i="25" s="1"/>
  <c r="AV29" i="25"/>
  <c r="AX29" i="25" s="1"/>
  <c r="AZ29" i="25" s="1"/>
  <c r="R29" i="25"/>
  <c r="T29" i="25" s="1"/>
  <c r="V29" i="25" s="1"/>
  <c r="BB29" i="25"/>
  <c r="BD29" i="25" s="1"/>
  <c r="BF29" i="25" s="1"/>
  <c r="BN29" i="25"/>
  <c r="BP29" i="25" s="1"/>
  <c r="BR29" i="25" s="1"/>
  <c r="X29" i="25"/>
  <c r="Z29" i="25" s="1"/>
  <c r="AB29" i="25" s="1"/>
  <c r="AD29" i="25"/>
  <c r="AF29" i="25" s="1"/>
  <c r="AH29" i="25" s="1"/>
  <c r="AP29" i="25"/>
  <c r="AR29" i="25" s="1"/>
  <c r="AT29" i="25" s="1"/>
  <c r="BH29" i="25"/>
  <c r="BJ29" i="25" s="1"/>
  <c r="BL29" i="25" s="1"/>
  <c r="BT29" i="25"/>
  <c r="BV29" i="25" s="1"/>
  <c r="BX29" i="25" s="1"/>
  <c r="X33" i="26"/>
  <c r="Z33" i="26" s="1"/>
  <c r="AB33" i="26" s="1"/>
  <c r="BH33" i="26"/>
  <c r="BJ33" i="26" s="1"/>
  <c r="BL33" i="26" s="1"/>
  <c r="AD33" i="26"/>
  <c r="AF33" i="26" s="1"/>
  <c r="AH33" i="26" s="1"/>
  <c r="AP33" i="26"/>
  <c r="AR33" i="26" s="1"/>
  <c r="AT33" i="26" s="1"/>
  <c r="AV33" i="26"/>
  <c r="AX33" i="26" s="1"/>
  <c r="AZ33" i="26" s="1"/>
  <c r="BN33" i="26"/>
  <c r="BP33" i="26" s="1"/>
  <c r="BR33" i="26" s="1"/>
  <c r="AJ33" i="26"/>
  <c r="AL33" i="26" s="1"/>
  <c r="AN33" i="26" s="1"/>
  <c r="R33" i="26"/>
  <c r="T33" i="26" s="1"/>
  <c r="V33" i="26" s="1"/>
  <c r="BT33" i="26"/>
  <c r="BV33" i="26" s="1"/>
  <c r="BX33" i="26" s="1"/>
  <c r="BB33" i="26"/>
  <c r="BD33" i="26" s="1"/>
  <c r="BF33" i="26" s="1"/>
  <c r="G27" i="25" l="1"/>
  <c r="AP28" i="25"/>
  <c r="AR28" i="25" s="1"/>
  <c r="AT28" i="25" s="1"/>
  <c r="AJ28" i="25"/>
  <c r="AL28" i="25" s="1"/>
  <c r="AN28" i="25" s="1"/>
  <c r="BB28" i="25"/>
  <c r="BD28" i="25" s="1"/>
  <c r="BF28" i="25" s="1"/>
  <c r="BN28" i="25"/>
  <c r="BP28" i="25" s="1"/>
  <c r="BR28" i="25" s="1"/>
  <c r="BH28" i="25"/>
  <c r="BJ28" i="25" s="1"/>
  <c r="BL28" i="25" s="1"/>
  <c r="AV28" i="25"/>
  <c r="AX28" i="25" s="1"/>
  <c r="AZ28" i="25" s="1"/>
  <c r="BT28" i="25"/>
  <c r="BV28" i="25" s="1"/>
  <c r="BX28" i="25" s="1"/>
  <c r="R28" i="25"/>
  <c r="T28" i="25" s="1"/>
  <c r="V28" i="25" s="1"/>
  <c r="X28" i="25"/>
  <c r="Z28" i="25" s="1"/>
  <c r="AB28" i="25" s="1"/>
  <c r="AD28" i="25"/>
  <c r="AF28" i="25" s="1"/>
  <c r="AH28" i="25" s="1"/>
  <c r="X32" i="26"/>
  <c r="Z32" i="26" s="1"/>
  <c r="AB32" i="26" s="1"/>
  <c r="BH32" i="26"/>
  <c r="BJ32" i="26" s="1"/>
  <c r="BL32" i="26" s="1"/>
  <c r="AJ32" i="26"/>
  <c r="AL32" i="26" s="1"/>
  <c r="AN32" i="26" s="1"/>
  <c r="BB32" i="26"/>
  <c r="BD32" i="26" s="1"/>
  <c r="BF32" i="26" s="1"/>
  <c r="BT32" i="26"/>
  <c r="BV32" i="26" s="1"/>
  <c r="BX32" i="26" s="1"/>
  <c r="AV32" i="26"/>
  <c r="AX32" i="26" s="1"/>
  <c r="AZ32" i="26" s="1"/>
  <c r="R32" i="26"/>
  <c r="T32" i="26" s="1"/>
  <c r="V32" i="26" s="1"/>
  <c r="AP32" i="26"/>
  <c r="AR32" i="26" s="1"/>
  <c r="AT32" i="26" s="1"/>
  <c r="AD32" i="26"/>
  <c r="AF32" i="26" s="1"/>
  <c r="AH32" i="26" s="1"/>
  <c r="BN32" i="26"/>
  <c r="BP32" i="26" s="1"/>
  <c r="BR32" i="26" s="1"/>
  <c r="G26" i="25" l="1"/>
  <c r="BN27" i="25"/>
  <c r="BP27" i="25" s="1"/>
  <c r="BR27" i="25" s="1"/>
  <c r="AP27" i="25"/>
  <c r="AR27" i="25" s="1"/>
  <c r="AT27" i="25" s="1"/>
  <c r="AV27" i="25"/>
  <c r="AX27" i="25" s="1"/>
  <c r="AZ27" i="25" s="1"/>
  <c r="BT27" i="25"/>
  <c r="BV27" i="25" s="1"/>
  <c r="BX27" i="25" s="1"/>
  <c r="R27" i="25"/>
  <c r="T27" i="25" s="1"/>
  <c r="V27" i="25" s="1"/>
  <c r="X27" i="25"/>
  <c r="Z27" i="25" s="1"/>
  <c r="AB27" i="25" s="1"/>
  <c r="AJ27" i="25"/>
  <c r="AL27" i="25" s="1"/>
  <c r="AN27" i="25" s="1"/>
  <c r="AD27" i="25"/>
  <c r="AF27" i="25" s="1"/>
  <c r="AH27" i="25" s="1"/>
  <c r="BB27" i="25"/>
  <c r="BD27" i="25" s="1"/>
  <c r="BF27" i="25" s="1"/>
  <c r="BH27" i="25"/>
  <c r="BJ27" i="25" s="1"/>
  <c r="BL27" i="25" s="1"/>
  <c r="X31" i="26"/>
  <c r="Z31" i="26" s="1"/>
  <c r="AB31" i="26" s="1"/>
  <c r="BT31" i="26"/>
  <c r="BV31" i="26" s="1"/>
  <c r="BX31" i="26" s="1"/>
  <c r="AD31" i="26"/>
  <c r="AF31" i="26" s="1"/>
  <c r="AH31" i="26" s="1"/>
  <c r="AV31" i="26"/>
  <c r="AX31" i="26" s="1"/>
  <c r="AZ31" i="26" s="1"/>
  <c r="BH31" i="26"/>
  <c r="BJ31" i="26" s="1"/>
  <c r="BL31" i="26" s="1"/>
  <c r="AP31" i="26"/>
  <c r="AR31" i="26" s="1"/>
  <c r="AT31" i="26" s="1"/>
  <c r="BB31" i="26"/>
  <c r="BD31" i="26" s="1"/>
  <c r="BF31" i="26" s="1"/>
  <c r="BN31" i="26"/>
  <c r="BP31" i="26" s="1"/>
  <c r="BR31" i="26" s="1"/>
  <c r="AJ31" i="26"/>
  <c r="AL31" i="26" s="1"/>
  <c r="AN31" i="26" s="1"/>
  <c r="R31" i="26"/>
  <c r="T31" i="26" s="1"/>
  <c r="V31" i="26" s="1"/>
  <c r="G25" i="25" l="1"/>
  <c r="AD26" i="25"/>
  <c r="AF26" i="25" s="1"/>
  <c r="AH26" i="25" s="1"/>
  <c r="AP26" i="25"/>
  <c r="AR26" i="25" s="1"/>
  <c r="AT26" i="25" s="1"/>
  <c r="X26" i="25"/>
  <c r="Z26" i="25" s="1"/>
  <c r="AB26" i="25" s="1"/>
  <c r="BB26" i="25"/>
  <c r="BD26" i="25" s="1"/>
  <c r="BF26" i="25" s="1"/>
  <c r="BN26" i="25"/>
  <c r="BP26" i="25" s="1"/>
  <c r="BR26" i="25" s="1"/>
  <c r="AJ26" i="25"/>
  <c r="AL26" i="25" s="1"/>
  <c r="AN26" i="25" s="1"/>
  <c r="R26" i="25"/>
  <c r="T26" i="25" s="1"/>
  <c r="V26" i="25" s="1"/>
  <c r="AV26" i="25"/>
  <c r="AX26" i="25" s="1"/>
  <c r="AZ26" i="25" s="1"/>
  <c r="BT26" i="25"/>
  <c r="BV26" i="25" s="1"/>
  <c r="BX26" i="25" s="1"/>
  <c r="BH26" i="25"/>
  <c r="BJ26" i="25" s="1"/>
  <c r="BL26" i="25" s="1"/>
  <c r="X30" i="26"/>
  <c r="Z30" i="26" s="1"/>
  <c r="AB30" i="26" s="1"/>
  <c r="BN30" i="26"/>
  <c r="BP30" i="26" s="1"/>
  <c r="BR30" i="26" s="1"/>
  <c r="BB30" i="26"/>
  <c r="BD30" i="26" s="1"/>
  <c r="BF30" i="26" s="1"/>
  <c r="AD30" i="26"/>
  <c r="AF30" i="26" s="1"/>
  <c r="AH30" i="26" s="1"/>
  <c r="R30" i="26"/>
  <c r="T30" i="26" s="1"/>
  <c r="V30" i="26" s="1"/>
  <c r="AV30" i="26"/>
  <c r="AX30" i="26" s="1"/>
  <c r="AZ30" i="26" s="1"/>
  <c r="AP30" i="26"/>
  <c r="AR30" i="26" s="1"/>
  <c r="AT30" i="26" s="1"/>
  <c r="BT30" i="26"/>
  <c r="BV30" i="26" s="1"/>
  <c r="BX30" i="26" s="1"/>
  <c r="BH30" i="26"/>
  <c r="BJ30" i="26" s="1"/>
  <c r="BL30" i="26" s="1"/>
  <c r="AJ30" i="26"/>
  <c r="AL30" i="26" s="1"/>
  <c r="AN30" i="26" s="1"/>
  <c r="G24" i="25" l="1"/>
  <c r="BN25" i="25"/>
  <c r="BP25" i="25" s="1"/>
  <c r="BR25" i="25" s="1"/>
  <c r="X25" i="25"/>
  <c r="Z25" i="25" s="1"/>
  <c r="AB25" i="25" s="1"/>
  <c r="BT25" i="25"/>
  <c r="BV25" i="25" s="1"/>
  <c r="BX25" i="25" s="1"/>
  <c r="AV25" i="25"/>
  <c r="AX25" i="25" s="1"/>
  <c r="AZ25" i="25" s="1"/>
  <c r="R25" i="25"/>
  <c r="T25" i="25" s="1"/>
  <c r="V25" i="25" s="1"/>
  <c r="BH25" i="25"/>
  <c r="BJ25" i="25" s="1"/>
  <c r="BL25" i="25" s="1"/>
  <c r="AJ25" i="25"/>
  <c r="AL25" i="25" s="1"/>
  <c r="AN25" i="25" s="1"/>
  <c r="BB25" i="25"/>
  <c r="BD25" i="25" s="1"/>
  <c r="BF25" i="25" s="1"/>
  <c r="AD25" i="25"/>
  <c r="AF25" i="25" s="1"/>
  <c r="AH25" i="25" s="1"/>
  <c r="AP25" i="25"/>
  <c r="AR25" i="25" s="1"/>
  <c r="AT25" i="25" s="1"/>
  <c r="X29" i="26"/>
  <c r="Z29" i="26" s="1"/>
  <c r="AB29" i="26" s="1"/>
  <c r="AP29" i="26"/>
  <c r="AR29" i="26" s="1"/>
  <c r="AT29" i="26" s="1"/>
  <c r="R29" i="26"/>
  <c r="T29" i="26" s="1"/>
  <c r="V29" i="26" s="1"/>
  <c r="BH29" i="26"/>
  <c r="BJ29" i="26" s="1"/>
  <c r="BL29" i="26" s="1"/>
  <c r="BT29" i="26"/>
  <c r="BV29" i="26" s="1"/>
  <c r="BX29" i="26" s="1"/>
  <c r="AD29" i="26"/>
  <c r="AF29" i="26" s="1"/>
  <c r="AH29" i="26" s="1"/>
  <c r="BN29" i="26"/>
  <c r="BP29" i="26" s="1"/>
  <c r="BR29" i="26" s="1"/>
  <c r="AJ29" i="26"/>
  <c r="AL29" i="26" s="1"/>
  <c r="AN29" i="26" s="1"/>
  <c r="AV29" i="26"/>
  <c r="AX29" i="26" s="1"/>
  <c r="AZ29" i="26" s="1"/>
  <c r="BB29" i="26"/>
  <c r="BD29" i="26" s="1"/>
  <c r="BF29" i="26" s="1"/>
  <c r="G23" i="25" l="1"/>
  <c r="BT24" i="25"/>
  <c r="BV24" i="25" s="1"/>
  <c r="BX24" i="25" s="1"/>
  <c r="BN24" i="25"/>
  <c r="BP24" i="25" s="1"/>
  <c r="BR24" i="25" s="1"/>
  <c r="AJ24" i="25"/>
  <c r="AL24" i="25" s="1"/>
  <c r="AN24" i="25" s="1"/>
  <c r="AV24" i="25"/>
  <c r="AX24" i="25" s="1"/>
  <c r="AZ24" i="25" s="1"/>
  <c r="BB24" i="25"/>
  <c r="BD24" i="25" s="1"/>
  <c r="BF24" i="25" s="1"/>
  <c r="X24" i="25"/>
  <c r="Z24" i="25" s="1"/>
  <c r="AB24" i="25" s="1"/>
  <c r="BH24" i="25"/>
  <c r="BJ24" i="25" s="1"/>
  <c r="BL24" i="25" s="1"/>
  <c r="R24" i="25"/>
  <c r="T24" i="25" s="1"/>
  <c r="V24" i="25" s="1"/>
  <c r="AD24" i="25"/>
  <c r="AF24" i="25" s="1"/>
  <c r="AH24" i="25" s="1"/>
  <c r="AP24" i="25"/>
  <c r="AR24" i="25" s="1"/>
  <c r="AT24" i="25" s="1"/>
  <c r="X28" i="26"/>
  <c r="Z28" i="26" s="1"/>
  <c r="AB28" i="26" s="1"/>
  <c r="BH28" i="26"/>
  <c r="BJ28" i="26" s="1"/>
  <c r="BL28" i="26" s="1"/>
  <c r="BN28" i="26"/>
  <c r="BP28" i="26" s="1"/>
  <c r="BR28" i="26" s="1"/>
  <c r="BT28" i="26"/>
  <c r="BV28" i="26" s="1"/>
  <c r="BX28" i="26" s="1"/>
  <c r="AD28" i="26"/>
  <c r="AF28" i="26" s="1"/>
  <c r="AH28" i="26" s="1"/>
  <c r="BB28" i="26"/>
  <c r="BD28" i="26" s="1"/>
  <c r="BF28" i="26" s="1"/>
  <c r="AJ28" i="26"/>
  <c r="AL28" i="26" s="1"/>
  <c r="AN28" i="26" s="1"/>
  <c r="AP28" i="26"/>
  <c r="AR28" i="26" s="1"/>
  <c r="AT28" i="26" s="1"/>
  <c r="AV28" i="26"/>
  <c r="AX28" i="26" s="1"/>
  <c r="AZ28" i="26" s="1"/>
  <c r="R28" i="26"/>
  <c r="T28" i="26" s="1"/>
  <c r="V28" i="26" s="1"/>
  <c r="G22" i="25" l="1"/>
  <c r="AJ23" i="25"/>
  <c r="AL23" i="25" s="1"/>
  <c r="AN23" i="25" s="1"/>
  <c r="BB23" i="25"/>
  <c r="BD23" i="25" s="1"/>
  <c r="BF23" i="25" s="1"/>
  <c r="BT23" i="25"/>
  <c r="BV23" i="25" s="1"/>
  <c r="BX23" i="25" s="1"/>
  <c r="AP23" i="25"/>
  <c r="AR23" i="25" s="1"/>
  <c r="AT23" i="25" s="1"/>
  <c r="BN23" i="25"/>
  <c r="BP23" i="25" s="1"/>
  <c r="BR23" i="25" s="1"/>
  <c r="AD23" i="25"/>
  <c r="AF23" i="25" s="1"/>
  <c r="AH23" i="25" s="1"/>
  <c r="R23" i="25"/>
  <c r="T23" i="25" s="1"/>
  <c r="V23" i="25" s="1"/>
  <c r="X23" i="25"/>
  <c r="Z23" i="25" s="1"/>
  <c r="AB23" i="25" s="1"/>
  <c r="AV23" i="25"/>
  <c r="AX23" i="25" s="1"/>
  <c r="AZ23" i="25" s="1"/>
  <c r="BH23" i="25"/>
  <c r="BJ23" i="25" s="1"/>
  <c r="BL23" i="25" s="1"/>
  <c r="X27" i="26"/>
  <c r="Z27" i="26" s="1"/>
  <c r="AB27" i="26" s="1"/>
  <c r="BN27" i="26"/>
  <c r="BP27" i="26" s="1"/>
  <c r="BR27" i="26" s="1"/>
  <c r="BB27" i="26"/>
  <c r="BD27" i="26" s="1"/>
  <c r="BF27" i="26" s="1"/>
  <c r="BH27" i="26"/>
  <c r="BJ27" i="26" s="1"/>
  <c r="BL27" i="26" s="1"/>
  <c r="BT27" i="26"/>
  <c r="BV27" i="26" s="1"/>
  <c r="BX27" i="26" s="1"/>
  <c r="AP27" i="26"/>
  <c r="AR27" i="26" s="1"/>
  <c r="AT27" i="26" s="1"/>
  <c r="R27" i="26"/>
  <c r="T27" i="26" s="1"/>
  <c r="V27" i="26" s="1"/>
  <c r="AD27" i="26"/>
  <c r="AF27" i="26" s="1"/>
  <c r="AH27" i="26" s="1"/>
  <c r="AV27" i="26"/>
  <c r="AX27" i="26" s="1"/>
  <c r="AZ27" i="26" s="1"/>
  <c r="AJ27" i="26"/>
  <c r="AL27" i="26" s="1"/>
  <c r="AN27" i="26" s="1"/>
  <c r="G21" i="25" l="1"/>
  <c r="AJ22" i="25"/>
  <c r="AL22" i="25" s="1"/>
  <c r="AN22" i="25" s="1"/>
  <c r="R22" i="25"/>
  <c r="T22" i="25" s="1"/>
  <c r="V22" i="25" s="1"/>
  <c r="X22" i="25"/>
  <c r="Z22" i="25" s="1"/>
  <c r="AB22" i="25" s="1"/>
  <c r="AD22" i="25"/>
  <c r="AF22" i="25" s="1"/>
  <c r="AH22" i="25" s="1"/>
  <c r="AP22" i="25"/>
  <c r="AR22" i="25" s="1"/>
  <c r="AT22" i="25" s="1"/>
  <c r="BT22" i="25"/>
  <c r="BV22" i="25" s="1"/>
  <c r="BX22" i="25" s="1"/>
  <c r="BH22" i="25"/>
  <c r="BJ22" i="25" s="1"/>
  <c r="BL22" i="25" s="1"/>
  <c r="BB22" i="25"/>
  <c r="BD22" i="25" s="1"/>
  <c r="BF22" i="25" s="1"/>
  <c r="BN22" i="25"/>
  <c r="BP22" i="25" s="1"/>
  <c r="BR22" i="25" s="1"/>
  <c r="AV22" i="25"/>
  <c r="AX22" i="25" s="1"/>
  <c r="AZ22" i="25" s="1"/>
  <c r="X26" i="26"/>
  <c r="Z26" i="26" s="1"/>
  <c r="AB26" i="26" s="1"/>
  <c r="BB26" i="26"/>
  <c r="BD26" i="26" s="1"/>
  <c r="BF26" i="26" s="1"/>
  <c r="AJ26" i="26"/>
  <c r="AL26" i="26" s="1"/>
  <c r="AN26" i="26" s="1"/>
  <c r="BH26" i="26"/>
  <c r="BJ26" i="26" s="1"/>
  <c r="BL26" i="26" s="1"/>
  <c r="BT26" i="26"/>
  <c r="BV26" i="26" s="1"/>
  <c r="BX26" i="26" s="1"/>
  <c r="AD26" i="26"/>
  <c r="AF26" i="26" s="1"/>
  <c r="AH26" i="26" s="1"/>
  <c r="R26" i="26"/>
  <c r="T26" i="26" s="1"/>
  <c r="V26" i="26" s="1"/>
  <c r="BN26" i="26"/>
  <c r="BP26" i="26" s="1"/>
  <c r="BR26" i="26" s="1"/>
  <c r="AP26" i="26"/>
  <c r="AR26" i="26" s="1"/>
  <c r="AT26" i="26" s="1"/>
  <c r="AV26" i="26"/>
  <c r="AX26" i="26" s="1"/>
  <c r="AZ26" i="26" s="1"/>
  <c r="G20" i="25" l="1"/>
  <c r="AD21" i="25"/>
  <c r="AF21" i="25" s="1"/>
  <c r="AH21" i="25" s="1"/>
  <c r="BN21" i="25"/>
  <c r="BP21" i="25" s="1"/>
  <c r="BR21" i="25" s="1"/>
  <c r="AJ21" i="25"/>
  <c r="AL21" i="25" s="1"/>
  <c r="AN21" i="25" s="1"/>
  <c r="AP21" i="25"/>
  <c r="AR21" i="25" s="1"/>
  <c r="AT21" i="25" s="1"/>
  <c r="BB21" i="25"/>
  <c r="BD21" i="25" s="1"/>
  <c r="BF21" i="25" s="1"/>
  <c r="X21" i="25"/>
  <c r="Z21" i="25" s="1"/>
  <c r="AB21" i="25" s="1"/>
  <c r="R21" i="25"/>
  <c r="T21" i="25" s="1"/>
  <c r="V21" i="25" s="1"/>
  <c r="BH21" i="25"/>
  <c r="BJ21" i="25" s="1"/>
  <c r="BL21" i="25" s="1"/>
  <c r="BT21" i="25"/>
  <c r="BV21" i="25" s="1"/>
  <c r="BX21" i="25" s="1"/>
  <c r="AV21" i="25"/>
  <c r="AX21" i="25" s="1"/>
  <c r="AZ21" i="25" s="1"/>
  <c r="X25" i="26"/>
  <c r="Z25" i="26" s="1"/>
  <c r="AB25" i="26" s="1"/>
  <c r="BN25" i="26"/>
  <c r="BP25" i="26" s="1"/>
  <c r="BR25" i="26" s="1"/>
  <c r="BT25" i="26"/>
  <c r="BV25" i="26" s="1"/>
  <c r="BX25" i="26" s="1"/>
  <c r="AP25" i="26"/>
  <c r="AR25" i="26" s="1"/>
  <c r="AT25" i="26" s="1"/>
  <c r="R25" i="26"/>
  <c r="T25" i="26" s="1"/>
  <c r="V25" i="26" s="1"/>
  <c r="AJ25" i="26"/>
  <c r="AL25" i="26" s="1"/>
  <c r="AN25" i="26" s="1"/>
  <c r="AV25" i="26"/>
  <c r="AX25" i="26" s="1"/>
  <c r="AZ25" i="26" s="1"/>
  <c r="AD25" i="26"/>
  <c r="AF25" i="26" s="1"/>
  <c r="AH25" i="26" s="1"/>
  <c r="BH25" i="26"/>
  <c r="BJ25" i="26" s="1"/>
  <c r="BL25" i="26" s="1"/>
  <c r="BB25" i="26"/>
  <c r="BD25" i="26" s="1"/>
  <c r="BF25" i="26" s="1"/>
  <c r="G19" i="25" l="1"/>
  <c r="BH20" i="25"/>
  <c r="BJ20" i="25" s="1"/>
  <c r="BL20" i="25" s="1"/>
  <c r="AP20" i="25"/>
  <c r="AR20" i="25" s="1"/>
  <c r="AT20" i="25" s="1"/>
  <c r="BN20" i="25"/>
  <c r="BP20" i="25" s="1"/>
  <c r="BR20" i="25" s="1"/>
  <c r="AD20" i="25"/>
  <c r="AF20" i="25" s="1"/>
  <c r="AH20" i="25" s="1"/>
  <c r="R20" i="25"/>
  <c r="T20" i="25" s="1"/>
  <c r="V20" i="25" s="1"/>
  <c r="AJ20" i="25"/>
  <c r="AL20" i="25" s="1"/>
  <c r="AN20" i="25" s="1"/>
  <c r="X20" i="25"/>
  <c r="Z20" i="25" s="1"/>
  <c r="AB20" i="25" s="1"/>
  <c r="BB20" i="25"/>
  <c r="BD20" i="25" s="1"/>
  <c r="BF20" i="25" s="1"/>
  <c r="BT20" i="25"/>
  <c r="BV20" i="25" s="1"/>
  <c r="BX20" i="25" s="1"/>
  <c r="AV20" i="25"/>
  <c r="AX20" i="25" s="1"/>
  <c r="AZ20" i="25" s="1"/>
  <c r="X24" i="26"/>
  <c r="Z24" i="26" s="1"/>
  <c r="AB24" i="26" s="1"/>
  <c r="BN24" i="26"/>
  <c r="BP24" i="26" s="1"/>
  <c r="BR24" i="26" s="1"/>
  <c r="AV24" i="26"/>
  <c r="AX24" i="26" s="1"/>
  <c r="AZ24" i="26" s="1"/>
  <c r="BH24" i="26"/>
  <c r="BJ24" i="26" s="1"/>
  <c r="BL24" i="26" s="1"/>
  <c r="AP24" i="26"/>
  <c r="AR24" i="26" s="1"/>
  <c r="AT24" i="26" s="1"/>
  <c r="AJ24" i="26"/>
  <c r="AL24" i="26" s="1"/>
  <c r="AN24" i="26" s="1"/>
  <c r="BT24" i="26"/>
  <c r="BV24" i="26" s="1"/>
  <c r="BX24" i="26" s="1"/>
  <c r="AD24" i="26"/>
  <c r="AF24" i="26" s="1"/>
  <c r="AH24" i="26" s="1"/>
  <c r="R24" i="26"/>
  <c r="T24" i="26" s="1"/>
  <c r="V24" i="26" s="1"/>
  <c r="BB24" i="26"/>
  <c r="BD24" i="26" s="1"/>
  <c r="BF24" i="26" s="1"/>
  <c r="G18" i="25" l="1"/>
  <c r="BN19" i="25"/>
  <c r="BP19" i="25" s="1"/>
  <c r="BR19" i="25" s="1"/>
  <c r="AJ19" i="25"/>
  <c r="AL19" i="25" s="1"/>
  <c r="AN19" i="25" s="1"/>
  <c r="BH19" i="25"/>
  <c r="BJ19" i="25" s="1"/>
  <c r="BL19" i="25" s="1"/>
  <c r="BT19" i="25"/>
  <c r="BV19" i="25" s="1"/>
  <c r="BX19" i="25" s="1"/>
  <c r="R19" i="25"/>
  <c r="T19" i="25" s="1"/>
  <c r="V19" i="25" s="1"/>
  <c r="X19" i="25"/>
  <c r="Z19" i="25" s="1"/>
  <c r="AB19" i="25" s="1"/>
  <c r="AD19" i="25"/>
  <c r="AF19" i="25" s="1"/>
  <c r="AH19" i="25" s="1"/>
  <c r="BB19" i="25"/>
  <c r="BD19" i="25" s="1"/>
  <c r="BF19" i="25" s="1"/>
  <c r="AV19" i="25"/>
  <c r="AX19" i="25" s="1"/>
  <c r="AZ19" i="25" s="1"/>
  <c r="AP19" i="25"/>
  <c r="AR19" i="25" s="1"/>
  <c r="AT19" i="25" s="1"/>
  <c r="X23" i="26"/>
  <c r="Z23" i="26" s="1"/>
  <c r="AB23" i="26" s="1"/>
  <c r="AP23" i="26"/>
  <c r="AR23" i="26" s="1"/>
  <c r="AT23" i="26" s="1"/>
  <c r="BB23" i="26"/>
  <c r="BD23" i="26" s="1"/>
  <c r="BF23" i="26" s="1"/>
  <c r="R23" i="26"/>
  <c r="T23" i="26" s="1"/>
  <c r="V23" i="26" s="1"/>
  <c r="AD23" i="26"/>
  <c r="AF23" i="26" s="1"/>
  <c r="AH23" i="26" s="1"/>
  <c r="BT23" i="26"/>
  <c r="BV23" i="26" s="1"/>
  <c r="BX23" i="26" s="1"/>
  <c r="BH23" i="26"/>
  <c r="BJ23" i="26" s="1"/>
  <c r="BL23" i="26" s="1"/>
  <c r="BN23" i="26"/>
  <c r="BP23" i="26" s="1"/>
  <c r="BR23" i="26" s="1"/>
  <c r="AJ23" i="26"/>
  <c r="AL23" i="26" s="1"/>
  <c r="AN23" i="26" s="1"/>
  <c r="AV23" i="26"/>
  <c r="AX23" i="26" s="1"/>
  <c r="AZ23" i="26" s="1"/>
  <c r="G17" i="25" l="1"/>
  <c r="AD18" i="25"/>
  <c r="AF18" i="25" s="1"/>
  <c r="AH18" i="25" s="1"/>
  <c r="AP18" i="25"/>
  <c r="AR18" i="25" s="1"/>
  <c r="AT18" i="25" s="1"/>
  <c r="BN18" i="25"/>
  <c r="BP18" i="25" s="1"/>
  <c r="BR18" i="25" s="1"/>
  <c r="R18" i="25"/>
  <c r="T18" i="25" s="1"/>
  <c r="V18" i="25" s="1"/>
  <c r="AJ18" i="25"/>
  <c r="AL18" i="25" s="1"/>
  <c r="AN18" i="25" s="1"/>
  <c r="BB18" i="25"/>
  <c r="BD18" i="25" s="1"/>
  <c r="BF18" i="25" s="1"/>
  <c r="BT18" i="25"/>
  <c r="BV18" i="25" s="1"/>
  <c r="BX18" i="25" s="1"/>
  <c r="AV18" i="25"/>
  <c r="AX18" i="25" s="1"/>
  <c r="AZ18" i="25" s="1"/>
  <c r="BH18" i="25"/>
  <c r="BJ18" i="25" s="1"/>
  <c r="BL18" i="25" s="1"/>
  <c r="X18" i="25"/>
  <c r="Z18" i="25" s="1"/>
  <c r="AB18" i="25" s="1"/>
  <c r="X22" i="26"/>
  <c r="Z22" i="26" s="1"/>
  <c r="AB22" i="26" s="1"/>
  <c r="BH22" i="26"/>
  <c r="BJ22" i="26" s="1"/>
  <c r="BL22" i="26" s="1"/>
  <c r="AJ22" i="26"/>
  <c r="AL22" i="26" s="1"/>
  <c r="AN22" i="26" s="1"/>
  <c r="BB22" i="26"/>
  <c r="BD22" i="26" s="1"/>
  <c r="BF22" i="26" s="1"/>
  <c r="BN22" i="26"/>
  <c r="BP22" i="26" s="1"/>
  <c r="BR22" i="26" s="1"/>
  <c r="BT22" i="26"/>
  <c r="BV22" i="26" s="1"/>
  <c r="BX22" i="26" s="1"/>
  <c r="AP22" i="26"/>
  <c r="AR22" i="26" s="1"/>
  <c r="AT22" i="26" s="1"/>
  <c r="AD22" i="26"/>
  <c r="AF22" i="26" s="1"/>
  <c r="AH22" i="26" s="1"/>
  <c r="AV22" i="26"/>
  <c r="AX22" i="26" s="1"/>
  <c r="AZ22" i="26" s="1"/>
  <c r="R22" i="26"/>
  <c r="T22" i="26" s="1"/>
  <c r="V22" i="26" s="1"/>
  <c r="G16" i="25" l="1"/>
  <c r="AJ17" i="25"/>
  <c r="AL17" i="25" s="1"/>
  <c r="AN17" i="25" s="1"/>
  <c r="R17" i="25"/>
  <c r="T17" i="25" s="1"/>
  <c r="V17" i="25" s="1"/>
  <c r="AD17" i="25"/>
  <c r="AF17" i="25" s="1"/>
  <c r="AH17" i="25" s="1"/>
  <c r="BT17" i="25"/>
  <c r="BV17" i="25" s="1"/>
  <c r="BX17" i="25" s="1"/>
  <c r="AP17" i="25"/>
  <c r="AR17" i="25" s="1"/>
  <c r="AT17" i="25" s="1"/>
  <c r="BH17" i="25"/>
  <c r="BJ17" i="25" s="1"/>
  <c r="BL17" i="25" s="1"/>
  <c r="X17" i="25"/>
  <c r="Z17" i="25" s="1"/>
  <c r="AB17" i="25" s="1"/>
  <c r="AV17" i="25"/>
  <c r="AX17" i="25" s="1"/>
  <c r="AZ17" i="25" s="1"/>
  <c r="BN17" i="25"/>
  <c r="BP17" i="25" s="1"/>
  <c r="BR17" i="25" s="1"/>
  <c r="BB17" i="25"/>
  <c r="BD17" i="25" s="1"/>
  <c r="BF17" i="25" s="1"/>
  <c r="X21" i="26"/>
  <c r="Z21" i="26" s="1"/>
  <c r="AB21" i="26" s="1"/>
  <c r="BB21" i="26"/>
  <c r="BD21" i="26" s="1"/>
  <c r="BF21" i="26" s="1"/>
  <c r="R21" i="26"/>
  <c r="T21" i="26" s="1"/>
  <c r="V21" i="26" s="1"/>
  <c r="AJ21" i="26"/>
  <c r="AL21" i="26" s="1"/>
  <c r="AN21" i="26" s="1"/>
  <c r="BH21" i="26"/>
  <c r="BJ21" i="26" s="1"/>
  <c r="BL21" i="26" s="1"/>
  <c r="AP21" i="26"/>
  <c r="AR21" i="26" s="1"/>
  <c r="AT21" i="26" s="1"/>
  <c r="BN21" i="26"/>
  <c r="BP21" i="26" s="1"/>
  <c r="BR21" i="26" s="1"/>
  <c r="BT21" i="26"/>
  <c r="BV21" i="26" s="1"/>
  <c r="BX21" i="26" s="1"/>
  <c r="AV21" i="26"/>
  <c r="AX21" i="26" s="1"/>
  <c r="AZ21" i="26" s="1"/>
  <c r="AD21" i="26"/>
  <c r="AF21" i="26" s="1"/>
  <c r="AH21" i="26" s="1"/>
  <c r="G15" i="25" l="1"/>
  <c r="X16" i="25"/>
  <c r="Z16" i="25" s="1"/>
  <c r="AB16" i="25" s="1"/>
  <c r="R16" i="25"/>
  <c r="T16" i="25" s="1"/>
  <c r="V16" i="25" s="1"/>
  <c r="BH16" i="25"/>
  <c r="BJ16" i="25" s="1"/>
  <c r="BL16" i="25" s="1"/>
  <c r="AP16" i="25"/>
  <c r="AR16" i="25" s="1"/>
  <c r="AT16" i="25" s="1"/>
  <c r="BT16" i="25"/>
  <c r="BV16" i="25" s="1"/>
  <c r="BX16" i="25" s="1"/>
  <c r="BN16" i="25"/>
  <c r="BP16" i="25" s="1"/>
  <c r="BR16" i="25" s="1"/>
  <c r="BB16" i="25"/>
  <c r="BD16" i="25" s="1"/>
  <c r="BF16" i="25" s="1"/>
  <c r="AV16" i="25"/>
  <c r="AX16" i="25" s="1"/>
  <c r="AZ16" i="25" s="1"/>
  <c r="AD16" i="25"/>
  <c r="AF16" i="25" s="1"/>
  <c r="AH16" i="25" s="1"/>
  <c r="AJ16" i="25"/>
  <c r="AL16" i="25" s="1"/>
  <c r="AN16" i="25" s="1"/>
  <c r="X20" i="26"/>
  <c r="Z20" i="26" s="1"/>
  <c r="AB20" i="26" s="1"/>
  <c r="BH20" i="26"/>
  <c r="BJ20" i="26" s="1"/>
  <c r="BL20" i="26" s="1"/>
  <c r="AP20" i="26"/>
  <c r="AR20" i="26" s="1"/>
  <c r="AT20" i="26" s="1"/>
  <c r="BN20" i="26"/>
  <c r="BP20" i="26" s="1"/>
  <c r="BR20" i="26" s="1"/>
  <c r="AJ20" i="26"/>
  <c r="AL20" i="26" s="1"/>
  <c r="AN20" i="26" s="1"/>
  <c r="R20" i="26"/>
  <c r="T20" i="26" s="1"/>
  <c r="V20" i="26" s="1"/>
  <c r="BB20" i="26"/>
  <c r="BD20" i="26" s="1"/>
  <c r="BF20" i="26" s="1"/>
  <c r="AD20" i="26"/>
  <c r="AF20" i="26" s="1"/>
  <c r="AH20" i="26" s="1"/>
  <c r="BT20" i="26"/>
  <c r="BV20" i="26" s="1"/>
  <c r="BX20" i="26" s="1"/>
  <c r="AV20" i="26"/>
  <c r="AX20" i="26" s="1"/>
  <c r="AZ20" i="26" s="1"/>
  <c r="G14" i="25" l="1"/>
  <c r="AD15" i="25"/>
  <c r="AF15" i="25" s="1"/>
  <c r="AH15" i="25" s="1"/>
  <c r="BN15" i="25"/>
  <c r="BP15" i="25" s="1"/>
  <c r="BR15" i="25" s="1"/>
  <c r="BT15" i="25"/>
  <c r="BV15" i="25" s="1"/>
  <c r="BX15" i="25" s="1"/>
  <c r="AP15" i="25"/>
  <c r="AR15" i="25" s="1"/>
  <c r="AT15" i="25" s="1"/>
  <c r="AV15" i="25"/>
  <c r="AX15" i="25" s="1"/>
  <c r="AZ15" i="25" s="1"/>
  <c r="AJ15" i="25"/>
  <c r="AL15" i="25" s="1"/>
  <c r="AN15" i="25" s="1"/>
  <c r="BB15" i="25"/>
  <c r="BD15" i="25" s="1"/>
  <c r="BF15" i="25" s="1"/>
  <c r="R15" i="25"/>
  <c r="T15" i="25" s="1"/>
  <c r="V15" i="25" s="1"/>
  <c r="BH15" i="25"/>
  <c r="BJ15" i="25" s="1"/>
  <c r="BL15" i="25" s="1"/>
  <c r="X15" i="25"/>
  <c r="Z15" i="25" s="1"/>
  <c r="AB15" i="25" s="1"/>
  <c r="X19" i="26"/>
  <c r="Z19" i="26" s="1"/>
  <c r="AB19" i="26" s="1"/>
  <c r="AJ19" i="26"/>
  <c r="AL19" i="26" s="1"/>
  <c r="AN19" i="26" s="1"/>
  <c r="AP19" i="26"/>
  <c r="AR19" i="26" s="1"/>
  <c r="AT19" i="26" s="1"/>
  <c r="BN19" i="26"/>
  <c r="BP19" i="26" s="1"/>
  <c r="BR19" i="26" s="1"/>
  <c r="BH19" i="26"/>
  <c r="BJ19" i="26" s="1"/>
  <c r="BL19" i="26" s="1"/>
  <c r="BB19" i="26"/>
  <c r="BD19" i="26" s="1"/>
  <c r="BF19" i="26" s="1"/>
  <c r="BT19" i="26"/>
  <c r="BV19" i="26" s="1"/>
  <c r="BX19" i="26" s="1"/>
  <c r="R19" i="26"/>
  <c r="T19" i="26" s="1"/>
  <c r="V19" i="26" s="1"/>
  <c r="AV19" i="26"/>
  <c r="AX19" i="26" s="1"/>
  <c r="AZ19" i="26" s="1"/>
  <c r="AD19" i="26"/>
  <c r="AF19" i="26" s="1"/>
  <c r="AH19" i="26" s="1"/>
  <c r="G13" i="25" l="1"/>
  <c r="BN14" i="25"/>
  <c r="BP14" i="25" s="1"/>
  <c r="BR14" i="25" s="1"/>
  <c r="BT14" i="25"/>
  <c r="BV14" i="25" s="1"/>
  <c r="BX14" i="25" s="1"/>
  <c r="X14" i="25"/>
  <c r="Z14" i="25" s="1"/>
  <c r="AB14" i="25" s="1"/>
  <c r="BB14" i="25"/>
  <c r="BD14" i="25" s="1"/>
  <c r="BF14" i="25" s="1"/>
  <c r="AP14" i="25"/>
  <c r="AR14" i="25" s="1"/>
  <c r="AT14" i="25" s="1"/>
  <c r="AJ14" i="25"/>
  <c r="AL14" i="25" s="1"/>
  <c r="AN14" i="25" s="1"/>
  <c r="AD14" i="25"/>
  <c r="AF14" i="25" s="1"/>
  <c r="AH14" i="25" s="1"/>
  <c r="AV14" i="25"/>
  <c r="AX14" i="25" s="1"/>
  <c r="AZ14" i="25" s="1"/>
  <c r="BH14" i="25"/>
  <c r="BJ14" i="25" s="1"/>
  <c r="BL14" i="25" s="1"/>
  <c r="R14" i="25"/>
  <c r="T14" i="25" s="1"/>
  <c r="V14" i="25" s="1"/>
  <c r="X18" i="26"/>
  <c r="Z18" i="26" s="1"/>
  <c r="AB18" i="26" s="1"/>
  <c r="AV18" i="26"/>
  <c r="AX18" i="26" s="1"/>
  <c r="AZ18" i="26" s="1"/>
  <c r="BB18" i="26"/>
  <c r="BD18" i="26" s="1"/>
  <c r="BF18" i="26" s="1"/>
  <c r="AP18" i="26"/>
  <c r="AR18" i="26" s="1"/>
  <c r="AT18" i="26" s="1"/>
  <c r="AJ18" i="26"/>
  <c r="AL18" i="26" s="1"/>
  <c r="AN18" i="26" s="1"/>
  <c r="BH18" i="26"/>
  <c r="BJ18" i="26" s="1"/>
  <c r="BL18" i="26" s="1"/>
  <c r="BT18" i="26"/>
  <c r="BV18" i="26" s="1"/>
  <c r="BX18" i="26" s="1"/>
  <c r="AD18" i="26"/>
  <c r="AF18" i="26" s="1"/>
  <c r="AH18" i="26" s="1"/>
  <c r="BN18" i="26"/>
  <c r="BP18" i="26" s="1"/>
  <c r="BR18" i="26" s="1"/>
  <c r="R18" i="26"/>
  <c r="T18" i="26" s="1"/>
  <c r="V18" i="26" s="1"/>
  <c r="F70" i="13"/>
  <c r="D70" i="13"/>
  <c r="G70" i="13" s="1"/>
  <c r="F69" i="13"/>
  <c r="D69" i="13"/>
  <c r="F68" i="13"/>
  <c r="D68" i="13"/>
  <c r="F67" i="13"/>
  <c r="D67" i="13"/>
  <c r="F66" i="13"/>
  <c r="D66" i="13"/>
  <c r="G66" i="13" s="1"/>
  <c r="F65" i="13"/>
  <c r="D65" i="13"/>
  <c r="F64" i="13"/>
  <c r="D64" i="13"/>
  <c r="F63" i="13"/>
  <c r="D63" i="13"/>
  <c r="F62" i="13"/>
  <c r="D62" i="13"/>
  <c r="G62" i="13" s="1"/>
  <c r="F61" i="13"/>
  <c r="D61" i="13"/>
  <c r="F60" i="13"/>
  <c r="D60" i="13"/>
  <c r="F59" i="13"/>
  <c r="D59" i="13"/>
  <c r="F58" i="13"/>
  <c r="D58" i="13"/>
  <c r="G58" i="13" s="1"/>
  <c r="F57" i="13"/>
  <c r="D57" i="13"/>
  <c r="F56" i="13"/>
  <c r="D56" i="13"/>
  <c r="F55" i="13"/>
  <c r="D55" i="13"/>
  <c r="F54" i="13"/>
  <c r="D54" i="13"/>
  <c r="G54" i="13" s="1"/>
  <c r="F53" i="13"/>
  <c r="D53" i="13"/>
  <c r="F52" i="13"/>
  <c r="D52" i="13"/>
  <c r="F51" i="13"/>
  <c r="D51" i="13"/>
  <c r="F50" i="13"/>
  <c r="D50" i="13"/>
  <c r="G50" i="13" s="1"/>
  <c r="F49" i="13"/>
  <c r="D49" i="13"/>
  <c r="F48" i="13"/>
  <c r="D48" i="13"/>
  <c r="F47" i="13"/>
  <c r="D47" i="13"/>
  <c r="F46" i="13"/>
  <c r="D46" i="13"/>
  <c r="G46" i="13" s="1"/>
  <c r="F45" i="13"/>
  <c r="D45" i="13"/>
  <c r="F44" i="13"/>
  <c r="D44" i="13"/>
  <c r="F43" i="13"/>
  <c r="D43" i="13"/>
  <c r="F42" i="13"/>
  <c r="D42" i="13"/>
  <c r="G42" i="13" s="1"/>
  <c r="F41" i="13"/>
  <c r="D41" i="13"/>
  <c r="F40" i="13"/>
  <c r="D40" i="13"/>
  <c r="F39" i="13"/>
  <c r="D39" i="13"/>
  <c r="F38" i="13"/>
  <c r="D38" i="13"/>
  <c r="G38" i="13" s="1"/>
  <c r="F37" i="13"/>
  <c r="D37" i="13"/>
  <c r="F36" i="13"/>
  <c r="D36" i="13"/>
  <c r="F35" i="13"/>
  <c r="D35" i="13"/>
  <c r="F34" i="13"/>
  <c r="D34" i="13"/>
  <c r="G34" i="13" s="1"/>
  <c r="F33" i="13"/>
  <c r="D33" i="13"/>
  <c r="F32" i="13"/>
  <c r="D32" i="13"/>
  <c r="F31" i="13"/>
  <c r="D31" i="13"/>
  <c r="F30" i="13"/>
  <c r="D30" i="13"/>
  <c r="G30" i="13" s="1"/>
  <c r="F29" i="13"/>
  <c r="D29" i="13"/>
  <c r="F28" i="13"/>
  <c r="D28" i="13"/>
  <c r="F27" i="13"/>
  <c r="D27" i="13"/>
  <c r="F26" i="13"/>
  <c r="D26" i="13"/>
  <c r="G26" i="13" s="1"/>
  <c r="F25" i="13"/>
  <c r="D25" i="13"/>
  <c r="F24" i="13"/>
  <c r="D24" i="13"/>
  <c r="F23" i="13"/>
  <c r="D23" i="13"/>
  <c r="F22" i="13"/>
  <c r="D22" i="13"/>
  <c r="G22" i="13" s="1"/>
  <c r="F21" i="13"/>
  <c r="D21" i="13"/>
  <c r="F20" i="13"/>
  <c r="D20" i="13"/>
  <c r="F19" i="13"/>
  <c r="D19" i="13"/>
  <c r="F18" i="13"/>
  <c r="D18" i="13"/>
  <c r="G18" i="13" s="1"/>
  <c r="F17" i="13"/>
  <c r="D17" i="13"/>
  <c r="F16" i="13"/>
  <c r="D16" i="13"/>
  <c r="F15" i="13"/>
  <c r="D15" i="13"/>
  <c r="F14" i="13"/>
  <c r="D14" i="13"/>
  <c r="G14" i="13" s="1"/>
  <c r="F13" i="13"/>
  <c r="D13" i="13"/>
  <c r="F12" i="13"/>
  <c r="D12" i="13"/>
  <c r="F11" i="13"/>
  <c r="D11" i="13"/>
  <c r="F10" i="13"/>
  <c r="D10" i="13"/>
  <c r="G10" i="13" s="1"/>
  <c r="F9" i="13"/>
  <c r="D9" i="13"/>
  <c r="F8" i="13"/>
  <c r="D8" i="13"/>
  <c r="F7" i="13"/>
  <c r="D7" i="13"/>
  <c r="F6" i="13"/>
  <c r="D6" i="13"/>
  <c r="G6" i="13" s="1"/>
  <c r="F5" i="13"/>
  <c r="D5" i="13"/>
  <c r="F4" i="13"/>
  <c r="D4" i="13"/>
  <c r="G5" i="13" l="1"/>
  <c r="G9" i="13"/>
  <c r="G13" i="13"/>
  <c r="G17" i="13"/>
  <c r="G21" i="13"/>
  <c r="G25" i="13"/>
  <c r="G29" i="13"/>
  <c r="G33" i="13"/>
  <c r="G37" i="13"/>
  <c r="G41" i="13"/>
  <c r="G45" i="13"/>
  <c r="G49" i="13"/>
  <c r="G53" i="13"/>
  <c r="G57" i="13"/>
  <c r="G61" i="13"/>
  <c r="G65" i="13"/>
  <c r="G69" i="13"/>
  <c r="G12" i="25"/>
  <c r="X13" i="25"/>
  <c r="Z13" i="25" s="1"/>
  <c r="AB13" i="25" s="1"/>
  <c r="BN13" i="25"/>
  <c r="BP13" i="25" s="1"/>
  <c r="BR13" i="25" s="1"/>
  <c r="AV13" i="25"/>
  <c r="AX13" i="25" s="1"/>
  <c r="AZ13" i="25" s="1"/>
  <c r="AJ13" i="25"/>
  <c r="AL13" i="25" s="1"/>
  <c r="AN13" i="25" s="1"/>
  <c r="BT13" i="25"/>
  <c r="BV13" i="25" s="1"/>
  <c r="BX13" i="25" s="1"/>
  <c r="BH13" i="25"/>
  <c r="BJ13" i="25" s="1"/>
  <c r="BL13" i="25" s="1"/>
  <c r="AD13" i="25"/>
  <c r="AF13" i="25" s="1"/>
  <c r="AH13" i="25" s="1"/>
  <c r="R13" i="25"/>
  <c r="T13" i="25" s="1"/>
  <c r="V13" i="25" s="1"/>
  <c r="BB13" i="25"/>
  <c r="BD13" i="25" s="1"/>
  <c r="BF13" i="25" s="1"/>
  <c r="AP13" i="25"/>
  <c r="AR13" i="25" s="1"/>
  <c r="AT13" i="25" s="1"/>
  <c r="G7" i="13"/>
  <c r="G11" i="13"/>
  <c r="G15" i="13"/>
  <c r="G19" i="13"/>
  <c r="G23" i="13"/>
  <c r="G27" i="13"/>
  <c r="G31" i="13"/>
  <c r="G35" i="13"/>
  <c r="G39" i="13"/>
  <c r="G43" i="13"/>
  <c r="G47" i="13"/>
  <c r="G51" i="13"/>
  <c r="G55" i="13"/>
  <c r="G59" i="13"/>
  <c r="G63" i="13"/>
  <c r="G67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X17" i="26"/>
  <c r="Z17" i="26" s="1"/>
  <c r="AB17" i="26" s="1"/>
  <c r="R17" i="26"/>
  <c r="T17" i="26" s="1"/>
  <c r="V17" i="26" s="1"/>
  <c r="BH17" i="26"/>
  <c r="BJ17" i="26" s="1"/>
  <c r="BL17" i="26" s="1"/>
  <c r="BB17" i="26"/>
  <c r="BD17" i="26" s="1"/>
  <c r="BF17" i="26" s="1"/>
  <c r="AP17" i="26"/>
  <c r="AR17" i="26" s="1"/>
  <c r="AT17" i="26" s="1"/>
  <c r="AD17" i="26"/>
  <c r="AF17" i="26" s="1"/>
  <c r="AH17" i="26" s="1"/>
  <c r="AJ17" i="26"/>
  <c r="AL17" i="26" s="1"/>
  <c r="AN17" i="26" s="1"/>
  <c r="BN17" i="26"/>
  <c r="BP17" i="26" s="1"/>
  <c r="BR17" i="26" s="1"/>
  <c r="BT17" i="26"/>
  <c r="BV17" i="26" s="1"/>
  <c r="BX17" i="26" s="1"/>
  <c r="AV17" i="26"/>
  <c r="AX17" i="26" s="1"/>
  <c r="AZ17" i="26" s="1"/>
  <c r="G11" i="25" l="1"/>
  <c r="BB12" i="25"/>
  <c r="BD12" i="25" s="1"/>
  <c r="BF12" i="25" s="1"/>
  <c r="BN12" i="25"/>
  <c r="BP12" i="25" s="1"/>
  <c r="BR12" i="25" s="1"/>
  <c r="X12" i="25"/>
  <c r="Z12" i="25" s="1"/>
  <c r="AB12" i="25" s="1"/>
  <c r="AD12" i="25"/>
  <c r="AF12" i="25" s="1"/>
  <c r="AH12" i="25" s="1"/>
  <c r="AJ12" i="25"/>
  <c r="AL12" i="25" s="1"/>
  <c r="AN12" i="25" s="1"/>
  <c r="R12" i="25"/>
  <c r="T12" i="25" s="1"/>
  <c r="V12" i="25" s="1"/>
  <c r="AP12" i="25"/>
  <c r="AR12" i="25" s="1"/>
  <c r="AT12" i="25" s="1"/>
  <c r="BT12" i="25"/>
  <c r="BV12" i="25" s="1"/>
  <c r="BX12" i="25" s="1"/>
  <c r="AV12" i="25"/>
  <c r="AX12" i="25" s="1"/>
  <c r="AZ12" i="25" s="1"/>
  <c r="BH12" i="25"/>
  <c r="BJ12" i="25" s="1"/>
  <c r="BL12" i="25" s="1"/>
  <c r="X16" i="26"/>
  <c r="Z16" i="26" s="1"/>
  <c r="AB16" i="26" s="1"/>
  <c r="BH16" i="26"/>
  <c r="BJ16" i="26" s="1"/>
  <c r="BL16" i="26" s="1"/>
  <c r="BB16" i="26"/>
  <c r="BD16" i="26" s="1"/>
  <c r="BF16" i="26" s="1"/>
  <c r="BT16" i="26"/>
  <c r="BV16" i="26" s="1"/>
  <c r="BX16" i="26" s="1"/>
  <c r="AV16" i="26"/>
  <c r="AX16" i="26" s="1"/>
  <c r="AZ16" i="26" s="1"/>
  <c r="AJ16" i="26"/>
  <c r="AL16" i="26" s="1"/>
  <c r="AN16" i="26" s="1"/>
  <c r="BN16" i="26"/>
  <c r="BP16" i="26" s="1"/>
  <c r="BR16" i="26" s="1"/>
  <c r="AP16" i="26"/>
  <c r="AR16" i="26" s="1"/>
  <c r="AT16" i="26" s="1"/>
  <c r="R16" i="26"/>
  <c r="T16" i="26" s="1"/>
  <c r="V16" i="26" s="1"/>
  <c r="AD16" i="26"/>
  <c r="AF16" i="26" s="1"/>
  <c r="AH16" i="26" s="1"/>
  <c r="G10" i="25" l="1"/>
  <c r="BN11" i="25"/>
  <c r="BP11" i="25" s="1"/>
  <c r="BR11" i="25" s="1"/>
  <c r="BH11" i="25"/>
  <c r="BJ11" i="25" s="1"/>
  <c r="BL11" i="25" s="1"/>
  <c r="BB11" i="25"/>
  <c r="BD11" i="25" s="1"/>
  <c r="BF11" i="25" s="1"/>
  <c r="R11" i="25"/>
  <c r="T11" i="25" s="1"/>
  <c r="V11" i="25" s="1"/>
  <c r="AP11" i="25"/>
  <c r="AR11" i="25" s="1"/>
  <c r="AT11" i="25" s="1"/>
  <c r="X11" i="25"/>
  <c r="Z11" i="25" s="1"/>
  <c r="AB11" i="25" s="1"/>
  <c r="AJ11" i="25"/>
  <c r="AL11" i="25" s="1"/>
  <c r="AN11" i="25" s="1"/>
  <c r="AD11" i="25"/>
  <c r="AF11" i="25" s="1"/>
  <c r="AH11" i="25" s="1"/>
  <c r="AV11" i="25"/>
  <c r="AX11" i="25" s="1"/>
  <c r="AZ11" i="25" s="1"/>
  <c r="BT11" i="25"/>
  <c r="BV11" i="25" s="1"/>
  <c r="BX11" i="25" s="1"/>
  <c r="X15" i="26"/>
  <c r="Z15" i="26" s="1"/>
  <c r="AB15" i="26" s="1"/>
  <c r="AJ15" i="26"/>
  <c r="AL15" i="26" s="1"/>
  <c r="AN15" i="26" s="1"/>
  <c r="BB15" i="26"/>
  <c r="BD15" i="26" s="1"/>
  <c r="BF15" i="26" s="1"/>
  <c r="AP15" i="26"/>
  <c r="AR15" i="26" s="1"/>
  <c r="AT15" i="26" s="1"/>
  <c r="BH15" i="26"/>
  <c r="BJ15" i="26" s="1"/>
  <c r="BL15" i="26" s="1"/>
  <c r="BN15" i="26"/>
  <c r="BP15" i="26" s="1"/>
  <c r="BR15" i="26" s="1"/>
  <c r="AD15" i="26"/>
  <c r="AF15" i="26" s="1"/>
  <c r="AH15" i="26" s="1"/>
  <c r="R15" i="26"/>
  <c r="T15" i="26" s="1"/>
  <c r="V15" i="26" s="1"/>
  <c r="BT15" i="26"/>
  <c r="BV15" i="26" s="1"/>
  <c r="BX15" i="26" s="1"/>
  <c r="AV15" i="26"/>
  <c r="AX15" i="26" s="1"/>
  <c r="AZ15" i="26" s="1"/>
  <c r="W69" i="12"/>
  <c r="AB68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AD21" i="12"/>
  <c r="W21" i="12"/>
  <c r="W20" i="12"/>
  <c r="S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X4" i="12" s="1"/>
  <c r="W3" i="12"/>
  <c r="G9" i="25" l="1"/>
  <c r="AP10" i="25"/>
  <c r="AR10" i="25" s="1"/>
  <c r="AT10" i="25" s="1"/>
  <c r="X10" i="25"/>
  <c r="Z10" i="25" s="1"/>
  <c r="AB10" i="25" s="1"/>
  <c r="AV10" i="25"/>
  <c r="AX10" i="25" s="1"/>
  <c r="AZ10" i="25" s="1"/>
  <c r="BH10" i="25"/>
  <c r="BJ10" i="25" s="1"/>
  <c r="BL10" i="25" s="1"/>
  <c r="BT10" i="25"/>
  <c r="BV10" i="25" s="1"/>
  <c r="BX10" i="25" s="1"/>
  <c r="AD10" i="25"/>
  <c r="AF10" i="25" s="1"/>
  <c r="AH10" i="25" s="1"/>
  <c r="BB10" i="25"/>
  <c r="BD10" i="25" s="1"/>
  <c r="BF10" i="25" s="1"/>
  <c r="R10" i="25"/>
  <c r="T10" i="25" s="1"/>
  <c r="V10" i="25" s="1"/>
  <c r="BN10" i="25"/>
  <c r="BP10" i="25" s="1"/>
  <c r="BR10" i="25" s="1"/>
  <c r="AJ10" i="25"/>
  <c r="AL10" i="25" s="1"/>
  <c r="AN10" i="25" s="1"/>
  <c r="AB67" i="12"/>
  <c r="AC68" i="12"/>
  <c r="X14" i="26"/>
  <c r="Z14" i="26" s="1"/>
  <c r="AB14" i="26" s="1"/>
  <c r="BB14" i="26"/>
  <c r="BD14" i="26" s="1"/>
  <c r="BF14" i="26" s="1"/>
  <c r="AP14" i="26"/>
  <c r="AR14" i="26" s="1"/>
  <c r="AT14" i="26" s="1"/>
  <c r="BH14" i="26"/>
  <c r="BJ14" i="26" s="1"/>
  <c r="BL14" i="26" s="1"/>
  <c r="BN14" i="26"/>
  <c r="BP14" i="26" s="1"/>
  <c r="BR14" i="26" s="1"/>
  <c r="AV14" i="26"/>
  <c r="AX14" i="26" s="1"/>
  <c r="AZ14" i="26" s="1"/>
  <c r="BT14" i="26"/>
  <c r="BV14" i="26" s="1"/>
  <c r="BX14" i="26" s="1"/>
  <c r="R14" i="26"/>
  <c r="T14" i="26" s="1"/>
  <c r="V14" i="26" s="1"/>
  <c r="AD14" i="26"/>
  <c r="AF14" i="26" s="1"/>
  <c r="AH14" i="26" s="1"/>
  <c r="AJ14" i="26"/>
  <c r="AL14" i="26" s="1"/>
  <c r="AN14" i="26" s="1"/>
  <c r="X5" i="12"/>
  <c r="X6" i="12" s="1"/>
  <c r="X7" i="12" s="1"/>
  <c r="X8" i="12" s="1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X28" i="12" s="1"/>
  <c r="X29" i="12" s="1"/>
  <c r="X30" i="12" s="1"/>
  <c r="X31" i="12" s="1"/>
  <c r="X32" i="12" s="1"/>
  <c r="X33" i="12" s="1"/>
  <c r="X34" i="12" s="1"/>
  <c r="X35" i="12" s="1"/>
  <c r="X36" i="12" s="1"/>
  <c r="X37" i="12" s="1"/>
  <c r="X38" i="12" s="1"/>
  <c r="X39" i="12" s="1"/>
  <c r="X40" i="12" s="1"/>
  <c r="X41" i="12" s="1"/>
  <c r="X42" i="12" s="1"/>
  <c r="X43" i="12" s="1"/>
  <c r="X44" i="12" s="1"/>
  <c r="X45" i="12" s="1"/>
  <c r="X46" i="12" s="1"/>
  <c r="X47" i="12" s="1"/>
  <c r="X48" i="12" s="1"/>
  <c r="X49" i="12" s="1"/>
  <c r="X50" i="12" s="1"/>
  <c r="X51" i="12" s="1"/>
  <c r="X52" i="12" s="1"/>
  <c r="X53" i="12" s="1"/>
  <c r="X54" i="12" s="1"/>
  <c r="X55" i="12" s="1"/>
  <c r="X56" i="12" s="1"/>
  <c r="X57" i="12" s="1"/>
  <c r="X58" i="12" s="1"/>
  <c r="X59" i="12" s="1"/>
  <c r="X60" i="12" s="1"/>
  <c r="X61" i="12" s="1"/>
  <c r="X62" i="12" s="1"/>
  <c r="X63" i="12" s="1"/>
  <c r="X64" i="12" s="1"/>
  <c r="X65" i="12" s="1"/>
  <c r="X66" i="12" s="1"/>
  <c r="X67" i="12" s="1"/>
  <c r="X68" i="12" s="1"/>
  <c r="X69" i="12" s="1"/>
  <c r="X70" i="12" s="1"/>
  <c r="X71" i="12" s="1"/>
  <c r="X72" i="12" s="1"/>
  <c r="X73" i="12" s="1"/>
  <c r="X74" i="12" s="1"/>
  <c r="X75" i="12" s="1"/>
  <c r="X76" i="12" s="1"/>
  <c r="X77" i="12" s="1"/>
  <c r="X78" i="12" s="1"/>
  <c r="X79" i="12" s="1"/>
  <c r="X80" i="12" s="1"/>
  <c r="X81" i="12" s="1"/>
  <c r="X82" i="12" s="1"/>
  <c r="X83" i="12" s="1"/>
  <c r="X84" i="12" s="1"/>
  <c r="X85" i="12" s="1"/>
  <c r="X86" i="12" s="1"/>
  <c r="X87" i="12" s="1"/>
  <c r="X88" i="12" s="1"/>
  <c r="X89" i="12" s="1"/>
  <c r="X90" i="12" s="1"/>
  <c r="X91" i="12" s="1"/>
  <c r="X92" i="12" s="1"/>
  <c r="N7" i="10"/>
  <c r="I7" i="10"/>
  <c r="D7" i="10"/>
  <c r="N6" i="10"/>
  <c r="I6" i="10"/>
  <c r="D6" i="10"/>
  <c r="N5" i="10"/>
  <c r="I5" i="10"/>
  <c r="D5" i="10"/>
  <c r="N4" i="10"/>
  <c r="I4" i="10"/>
  <c r="D4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N3" i="10"/>
  <c r="I3" i="10"/>
  <c r="D3" i="10"/>
  <c r="G8" i="25" l="1"/>
  <c r="BB9" i="25"/>
  <c r="BD9" i="25" s="1"/>
  <c r="BF9" i="25" s="1"/>
  <c r="R9" i="25"/>
  <c r="T9" i="25" s="1"/>
  <c r="V9" i="25" s="1"/>
  <c r="AJ9" i="25"/>
  <c r="AL9" i="25" s="1"/>
  <c r="AN9" i="25" s="1"/>
  <c r="BT9" i="25"/>
  <c r="BV9" i="25" s="1"/>
  <c r="BX9" i="25" s="1"/>
  <c r="X9" i="25"/>
  <c r="Z9" i="25" s="1"/>
  <c r="AB9" i="25" s="1"/>
  <c r="BH9" i="25"/>
  <c r="BJ9" i="25" s="1"/>
  <c r="BL9" i="25" s="1"/>
  <c r="AV9" i="25"/>
  <c r="AX9" i="25" s="1"/>
  <c r="AZ9" i="25" s="1"/>
  <c r="AD9" i="25"/>
  <c r="AF9" i="25" s="1"/>
  <c r="AH9" i="25" s="1"/>
  <c r="AP9" i="25"/>
  <c r="AR9" i="25" s="1"/>
  <c r="AT9" i="25" s="1"/>
  <c r="BN9" i="25"/>
  <c r="BP9" i="25" s="1"/>
  <c r="BR9" i="25" s="1"/>
  <c r="AB66" i="12"/>
  <c r="AC67" i="12"/>
  <c r="X13" i="26"/>
  <c r="Z13" i="26" s="1"/>
  <c r="AB13" i="26" s="1"/>
  <c r="BH13" i="26"/>
  <c r="BJ13" i="26" s="1"/>
  <c r="BL13" i="26" s="1"/>
  <c r="R13" i="26"/>
  <c r="T13" i="26" s="1"/>
  <c r="V13" i="26" s="1"/>
  <c r="BT13" i="26"/>
  <c r="BV13" i="26" s="1"/>
  <c r="BX13" i="26" s="1"/>
  <c r="AP13" i="26"/>
  <c r="AR13" i="26" s="1"/>
  <c r="AT13" i="26" s="1"/>
  <c r="BN13" i="26"/>
  <c r="BP13" i="26" s="1"/>
  <c r="BR13" i="26" s="1"/>
  <c r="AD13" i="26"/>
  <c r="AF13" i="26" s="1"/>
  <c r="AH13" i="26" s="1"/>
  <c r="BB13" i="26"/>
  <c r="BD13" i="26" s="1"/>
  <c r="BF13" i="26" s="1"/>
  <c r="AV13" i="26"/>
  <c r="AX13" i="26" s="1"/>
  <c r="AZ13" i="26" s="1"/>
  <c r="AJ13" i="26"/>
  <c r="AL13" i="26" s="1"/>
  <c r="AN13" i="26" s="1"/>
  <c r="S4" i="11"/>
  <c r="T4" i="11" s="1"/>
  <c r="S5" i="11"/>
  <c r="T5" i="11" s="1"/>
  <c r="S6" i="11"/>
  <c r="T6" i="11" s="1"/>
  <c r="S3" i="11"/>
  <c r="T3" i="11" s="1"/>
  <c r="K4" i="11"/>
  <c r="L4" i="11" s="1"/>
  <c r="K5" i="11"/>
  <c r="L5" i="11" s="1"/>
  <c r="K6" i="11"/>
  <c r="L6" i="11" s="1"/>
  <c r="K3" i="11"/>
  <c r="L3" i="11" s="1"/>
  <c r="C4" i="11"/>
  <c r="D4" i="11" s="1"/>
  <c r="C5" i="11"/>
  <c r="D5" i="11" s="1"/>
  <c r="C6" i="11"/>
  <c r="D6" i="11" s="1"/>
  <c r="C3" i="11"/>
  <c r="D3" i="11" s="1"/>
  <c r="K4" i="3"/>
  <c r="E4" i="13" s="1"/>
  <c r="G4" i="13" s="1"/>
  <c r="G7" i="25" l="1"/>
  <c r="X8" i="25"/>
  <c r="Z8" i="25" s="1"/>
  <c r="AB8" i="25" s="1"/>
  <c r="BT8" i="25"/>
  <c r="BV8" i="25" s="1"/>
  <c r="BX8" i="25" s="1"/>
  <c r="BH8" i="25"/>
  <c r="BJ8" i="25" s="1"/>
  <c r="BL8" i="25" s="1"/>
  <c r="R8" i="25"/>
  <c r="T8" i="25" s="1"/>
  <c r="V8" i="25" s="1"/>
  <c r="BB8" i="25"/>
  <c r="BD8" i="25" s="1"/>
  <c r="BF8" i="25" s="1"/>
  <c r="AV8" i="25"/>
  <c r="AX8" i="25" s="1"/>
  <c r="AZ8" i="25" s="1"/>
  <c r="AP8" i="25"/>
  <c r="AR8" i="25" s="1"/>
  <c r="AT8" i="25" s="1"/>
  <c r="AD8" i="25"/>
  <c r="AF8" i="25" s="1"/>
  <c r="AH8" i="25" s="1"/>
  <c r="BN8" i="25"/>
  <c r="BP8" i="25" s="1"/>
  <c r="BR8" i="25" s="1"/>
  <c r="AJ8" i="25"/>
  <c r="AL8" i="25" s="1"/>
  <c r="AN8" i="25" s="1"/>
  <c r="AB65" i="12"/>
  <c r="AC66" i="12"/>
  <c r="X12" i="26"/>
  <c r="Z12" i="26" s="1"/>
  <c r="AB12" i="26" s="1"/>
  <c r="AP12" i="26"/>
  <c r="AR12" i="26" s="1"/>
  <c r="AT12" i="26" s="1"/>
  <c r="R12" i="26"/>
  <c r="T12" i="26" s="1"/>
  <c r="V12" i="26" s="1"/>
  <c r="BT12" i="26"/>
  <c r="BV12" i="26" s="1"/>
  <c r="BX12" i="26" s="1"/>
  <c r="AV12" i="26"/>
  <c r="AX12" i="26" s="1"/>
  <c r="AZ12" i="26" s="1"/>
  <c r="AJ12" i="26"/>
  <c r="AL12" i="26" s="1"/>
  <c r="AN12" i="26" s="1"/>
  <c r="BB12" i="26"/>
  <c r="BD12" i="26" s="1"/>
  <c r="BF12" i="26" s="1"/>
  <c r="AD12" i="26"/>
  <c r="AF12" i="26" s="1"/>
  <c r="AH12" i="26" s="1"/>
  <c r="BH12" i="26"/>
  <c r="BJ12" i="26" s="1"/>
  <c r="BL12" i="26" s="1"/>
  <c r="BN12" i="26"/>
  <c r="BP12" i="26" s="1"/>
  <c r="BR12" i="26" s="1"/>
  <c r="L4" i="3"/>
  <c r="H11" i="12"/>
  <c r="H16" i="12"/>
  <c r="H34" i="12"/>
  <c r="H8" i="12"/>
  <c r="H4" i="12"/>
  <c r="H22" i="12"/>
  <c r="H14" i="12"/>
  <c r="H19" i="12"/>
  <c r="H6" i="12"/>
  <c r="H20" i="12"/>
  <c r="H29" i="12"/>
  <c r="H25" i="12"/>
  <c r="H63" i="12"/>
  <c r="H55" i="12"/>
  <c r="H31" i="12"/>
  <c r="H27" i="12"/>
  <c r="H57" i="12"/>
  <c r="H23" i="12"/>
  <c r="H12" i="12"/>
  <c r="H50" i="12"/>
  <c r="H36" i="12"/>
  <c r="H26" i="12"/>
  <c r="H52" i="12"/>
  <c r="H49" i="12"/>
  <c r="H53" i="12"/>
  <c r="H37" i="12"/>
  <c r="H7" i="12"/>
  <c r="H51" i="12"/>
  <c r="H43" i="12"/>
  <c r="H17" i="12"/>
  <c r="H9" i="12"/>
  <c r="M4" i="3"/>
  <c r="P4" i="3"/>
  <c r="G6" i="25" l="1"/>
  <c r="AD7" i="25"/>
  <c r="AF7" i="25" s="1"/>
  <c r="AH7" i="25" s="1"/>
  <c r="AJ7" i="25"/>
  <c r="AL7" i="25" s="1"/>
  <c r="AN7" i="25" s="1"/>
  <c r="BH7" i="25"/>
  <c r="BJ7" i="25" s="1"/>
  <c r="BL7" i="25" s="1"/>
  <c r="BN7" i="25"/>
  <c r="BP7" i="25" s="1"/>
  <c r="BR7" i="25" s="1"/>
  <c r="X7" i="25"/>
  <c r="Z7" i="25" s="1"/>
  <c r="AB7" i="25" s="1"/>
  <c r="AP7" i="25"/>
  <c r="AR7" i="25" s="1"/>
  <c r="AT7" i="25" s="1"/>
  <c r="AV7" i="25"/>
  <c r="AX7" i="25" s="1"/>
  <c r="AZ7" i="25" s="1"/>
  <c r="BT7" i="25"/>
  <c r="BV7" i="25" s="1"/>
  <c r="BX7" i="25" s="1"/>
  <c r="R7" i="25"/>
  <c r="T7" i="25" s="1"/>
  <c r="V7" i="25" s="1"/>
  <c r="BB7" i="25"/>
  <c r="BD7" i="25" s="1"/>
  <c r="BF7" i="25" s="1"/>
  <c r="AB64" i="12"/>
  <c r="AC65" i="12"/>
  <c r="AM3" i="25"/>
  <c r="BE3" i="25"/>
  <c r="AS3" i="25"/>
  <c r="AG3" i="25"/>
  <c r="U3" i="25"/>
  <c r="AY3" i="25"/>
  <c r="BK3" i="25"/>
  <c r="AA3" i="25"/>
  <c r="BW3" i="25"/>
  <c r="BQ3" i="25"/>
  <c r="X11" i="26"/>
  <c r="Z11" i="26" s="1"/>
  <c r="AB11" i="26" s="1"/>
  <c r="AD11" i="26"/>
  <c r="AF11" i="26" s="1"/>
  <c r="AH11" i="26" s="1"/>
  <c r="R11" i="26"/>
  <c r="T11" i="26" s="1"/>
  <c r="V11" i="26" s="1"/>
  <c r="BH11" i="26"/>
  <c r="BJ11" i="26" s="1"/>
  <c r="BL11" i="26" s="1"/>
  <c r="AV11" i="26"/>
  <c r="AX11" i="26" s="1"/>
  <c r="AZ11" i="26" s="1"/>
  <c r="BB11" i="26"/>
  <c r="BD11" i="26" s="1"/>
  <c r="BF11" i="26" s="1"/>
  <c r="AP11" i="26"/>
  <c r="AR11" i="26" s="1"/>
  <c r="AT11" i="26" s="1"/>
  <c r="BT11" i="26"/>
  <c r="BV11" i="26" s="1"/>
  <c r="BX11" i="26" s="1"/>
  <c r="AJ11" i="26"/>
  <c r="AL11" i="26" s="1"/>
  <c r="AN11" i="26" s="1"/>
  <c r="BN11" i="26"/>
  <c r="BP11" i="26" s="1"/>
  <c r="BR11" i="26" s="1"/>
  <c r="H67" i="12"/>
  <c r="H59" i="12"/>
  <c r="H40" i="12"/>
  <c r="H24" i="12"/>
  <c r="H42" i="12"/>
  <c r="H39" i="12"/>
  <c r="H15" i="12"/>
  <c r="H32" i="12"/>
  <c r="H45" i="12"/>
  <c r="H69" i="12"/>
  <c r="H54" i="12"/>
  <c r="H33" i="12"/>
  <c r="H41" i="12"/>
  <c r="H21" i="12"/>
  <c r="H61" i="12"/>
  <c r="H18" i="12"/>
  <c r="H48" i="12"/>
  <c r="H60" i="12"/>
  <c r="H56" i="12"/>
  <c r="H58" i="12"/>
  <c r="H68" i="12"/>
  <c r="H28" i="12"/>
  <c r="H44" i="12"/>
  <c r="H65" i="12"/>
  <c r="H5" i="12"/>
  <c r="H13" i="12"/>
  <c r="H35" i="12"/>
  <c r="H47" i="12"/>
  <c r="H10" i="12"/>
  <c r="H64" i="12"/>
  <c r="H66" i="12"/>
  <c r="H62" i="12"/>
  <c r="H30" i="12"/>
  <c r="H38" i="12"/>
  <c r="H46" i="12"/>
  <c r="N4" i="3"/>
  <c r="O4" i="3" s="1"/>
  <c r="H3" i="12"/>
  <c r="G5" i="25" l="1"/>
  <c r="BH6" i="25"/>
  <c r="BJ6" i="25" s="1"/>
  <c r="BL6" i="25" s="1"/>
  <c r="AD6" i="25"/>
  <c r="AF6" i="25" s="1"/>
  <c r="AH6" i="25" s="1"/>
  <c r="AP6" i="25"/>
  <c r="AR6" i="25" s="1"/>
  <c r="AT6" i="25" s="1"/>
  <c r="BN6" i="25"/>
  <c r="BP6" i="25" s="1"/>
  <c r="BR6" i="25" s="1"/>
  <c r="R6" i="25"/>
  <c r="T6" i="25" s="1"/>
  <c r="V6" i="25" s="1"/>
  <c r="AJ6" i="25"/>
  <c r="AL6" i="25" s="1"/>
  <c r="AN6" i="25" s="1"/>
  <c r="X6" i="25"/>
  <c r="Z6" i="25" s="1"/>
  <c r="AB6" i="25" s="1"/>
  <c r="AV6" i="25"/>
  <c r="AX6" i="25" s="1"/>
  <c r="AZ6" i="25" s="1"/>
  <c r="BB6" i="25"/>
  <c r="BD6" i="25" s="1"/>
  <c r="BF6" i="25" s="1"/>
  <c r="BT6" i="25"/>
  <c r="BV6" i="25" s="1"/>
  <c r="BX6" i="25" s="1"/>
  <c r="AB63" i="12"/>
  <c r="AC64" i="12"/>
  <c r="X10" i="26"/>
  <c r="Z10" i="26" s="1"/>
  <c r="AB10" i="26" s="1"/>
  <c r="AD10" i="26"/>
  <c r="AF10" i="26" s="1"/>
  <c r="AH10" i="26" s="1"/>
  <c r="AJ10" i="26"/>
  <c r="AL10" i="26" s="1"/>
  <c r="AN10" i="26" s="1"/>
  <c r="AV10" i="26"/>
  <c r="AX10" i="26" s="1"/>
  <c r="AZ10" i="26" s="1"/>
  <c r="BT10" i="26"/>
  <c r="BV10" i="26" s="1"/>
  <c r="BX10" i="26" s="1"/>
  <c r="BN10" i="26"/>
  <c r="BP10" i="26" s="1"/>
  <c r="BR10" i="26" s="1"/>
  <c r="R10" i="26"/>
  <c r="T10" i="26" s="1"/>
  <c r="V10" i="26" s="1"/>
  <c r="AP10" i="26"/>
  <c r="AR10" i="26" s="1"/>
  <c r="AT10" i="26" s="1"/>
  <c r="BB10" i="26"/>
  <c r="BD10" i="26" s="1"/>
  <c r="BF10" i="26" s="1"/>
  <c r="BH10" i="26"/>
  <c r="BJ10" i="26" s="1"/>
  <c r="BL10" i="26" s="1"/>
  <c r="G4" i="25" l="1"/>
  <c r="BH5" i="25"/>
  <c r="BJ5" i="25" s="1"/>
  <c r="BL5" i="25" s="1"/>
  <c r="X5" i="25"/>
  <c r="Z5" i="25" s="1"/>
  <c r="AB5" i="25" s="1"/>
  <c r="BB5" i="25"/>
  <c r="BD5" i="25" s="1"/>
  <c r="BF5" i="25" s="1"/>
  <c r="AD5" i="25"/>
  <c r="AF5" i="25" s="1"/>
  <c r="AH5" i="25" s="1"/>
  <c r="AJ5" i="25"/>
  <c r="AL5" i="25" s="1"/>
  <c r="AN5" i="25" s="1"/>
  <c r="BT5" i="25"/>
  <c r="BV5" i="25" s="1"/>
  <c r="BX5" i="25" s="1"/>
  <c r="BN5" i="25"/>
  <c r="BP5" i="25" s="1"/>
  <c r="BR5" i="25" s="1"/>
  <c r="R5" i="25"/>
  <c r="T5" i="25" s="1"/>
  <c r="V5" i="25" s="1"/>
  <c r="AV5" i="25"/>
  <c r="AX5" i="25" s="1"/>
  <c r="AZ5" i="25" s="1"/>
  <c r="AP5" i="25"/>
  <c r="AR5" i="25" s="1"/>
  <c r="AT5" i="25" s="1"/>
  <c r="AB62" i="12"/>
  <c r="AC63" i="12"/>
  <c r="X9" i="26"/>
  <c r="Z9" i="26" s="1"/>
  <c r="AB9" i="26" s="1"/>
  <c r="BH9" i="26"/>
  <c r="BJ9" i="26" s="1"/>
  <c r="BL9" i="26" s="1"/>
  <c r="R9" i="26"/>
  <c r="T9" i="26" s="1"/>
  <c r="V9" i="26" s="1"/>
  <c r="AP9" i="26"/>
  <c r="AR9" i="26" s="1"/>
  <c r="AT9" i="26" s="1"/>
  <c r="BN9" i="26"/>
  <c r="BP9" i="26" s="1"/>
  <c r="BR9" i="26" s="1"/>
  <c r="BB9" i="26"/>
  <c r="BD9" i="26" s="1"/>
  <c r="BF9" i="26" s="1"/>
  <c r="BT9" i="26"/>
  <c r="BV9" i="26" s="1"/>
  <c r="BX9" i="26" s="1"/>
  <c r="AJ9" i="26"/>
  <c r="AL9" i="26" s="1"/>
  <c r="AN9" i="26" s="1"/>
  <c r="AV9" i="26"/>
  <c r="AX9" i="26" s="1"/>
  <c r="AZ9" i="26" s="1"/>
  <c r="AD9" i="26"/>
  <c r="AF9" i="26" s="1"/>
  <c r="AH9" i="26" s="1"/>
  <c r="D8" i="10"/>
  <c r="G3" i="25" l="1"/>
  <c r="AV4" i="25"/>
  <c r="AX4" i="25" s="1"/>
  <c r="AZ4" i="25" s="1"/>
  <c r="AD4" i="25"/>
  <c r="AF4" i="25" s="1"/>
  <c r="AH4" i="25" s="1"/>
  <c r="R4" i="25"/>
  <c r="T4" i="25" s="1"/>
  <c r="V4" i="25" s="1"/>
  <c r="AP4" i="25"/>
  <c r="AR4" i="25" s="1"/>
  <c r="AT4" i="25" s="1"/>
  <c r="BT4" i="25"/>
  <c r="BV4" i="25" s="1"/>
  <c r="BX4" i="25" s="1"/>
  <c r="BH4" i="25"/>
  <c r="BJ4" i="25" s="1"/>
  <c r="BL4" i="25" s="1"/>
  <c r="BB4" i="25"/>
  <c r="BD4" i="25" s="1"/>
  <c r="BF4" i="25" s="1"/>
  <c r="AJ4" i="25"/>
  <c r="AL4" i="25" s="1"/>
  <c r="AN4" i="25" s="1"/>
  <c r="BN4" i="25"/>
  <c r="BP4" i="25" s="1"/>
  <c r="BR4" i="25" s="1"/>
  <c r="X4" i="25"/>
  <c r="Z4" i="25" s="1"/>
  <c r="AB4" i="25" s="1"/>
  <c r="AB61" i="12"/>
  <c r="AC62" i="12"/>
  <c r="X8" i="26"/>
  <c r="Z8" i="26" s="1"/>
  <c r="AB8" i="26" s="1"/>
  <c r="R8" i="26"/>
  <c r="T8" i="26" s="1"/>
  <c r="V8" i="26" s="1"/>
  <c r="BB8" i="26"/>
  <c r="BD8" i="26" s="1"/>
  <c r="BF8" i="26" s="1"/>
  <c r="AJ8" i="26"/>
  <c r="AL8" i="26" s="1"/>
  <c r="AN8" i="26" s="1"/>
  <c r="BH8" i="26"/>
  <c r="BJ8" i="26" s="1"/>
  <c r="BL8" i="26" s="1"/>
  <c r="BT8" i="26"/>
  <c r="BV8" i="26" s="1"/>
  <c r="BX8" i="26" s="1"/>
  <c r="AD8" i="26"/>
  <c r="AF8" i="26" s="1"/>
  <c r="AH8" i="26" s="1"/>
  <c r="AV8" i="26"/>
  <c r="AX8" i="26" s="1"/>
  <c r="AZ8" i="26" s="1"/>
  <c r="AP8" i="26"/>
  <c r="AR8" i="26" s="1"/>
  <c r="AT8" i="26" s="1"/>
  <c r="BN8" i="26"/>
  <c r="BP8" i="26" s="1"/>
  <c r="BR8" i="26" s="1"/>
  <c r="D9" i="10"/>
  <c r="M6" i="11"/>
  <c r="M3" i="11"/>
  <c r="U6" i="11"/>
  <c r="U3" i="11"/>
  <c r="B36" i="4"/>
  <c r="R3" i="25" l="1"/>
  <c r="T3" i="25" s="1"/>
  <c r="V3" i="25" s="1"/>
  <c r="V96" i="25" s="1"/>
  <c r="AD3" i="25"/>
  <c r="AF3" i="25" s="1"/>
  <c r="AH3" i="25" s="1"/>
  <c r="AH96" i="25" s="1"/>
  <c r="X3" i="25"/>
  <c r="Z3" i="25" s="1"/>
  <c r="AB3" i="25" s="1"/>
  <c r="AB96" i="25" s="1"/>
  <c r="BT3" i="25"/>
  <c r="BV3" i="25" s="1"/>
  <c r="BX3" i="25" s="1"/>
  <c r="BX96" i="25" s="1"/>
  <c r="AP3" i="25"/>
  <c r="AR3" i="25" s="1"/>
  <c r="AT3" i="25" s="1"/>
  <c r="AT96" i="25" s="1"/>
  <c r="BB3" i="25"/>
  <c r="BD3" i="25" s="1"/>
  <c r="BF3" i="25" s="1"/>
  <c r="BF96" i="25" s="1"/>
  <c r="AV3" i="25"/>
  <c r="AX3" i="25" s="1"/>
  <c r="AZ3" i="25" s="1"/>
  <c r="AZ96" i="25" s="1"/>
  <c r="AJ3" i="25"/>
  <c r="AL3" i="25" s="1"/>
  <c r="AN3" i="25" s="1"/>
  <c r="AN96" i="25" s="1"/>
  <c r="BH3" i="25"/>
  <c r="BJ3" i="25" s="1"/>
  <c r="BL3" i="25" s="1"/>
  <c r="BL96" i="25" s="1"/>
  <c r="BN3" i="25"/>
  <c r="BP3" i="25" s="1"/>
  <c r="BR3" i="25" s="1"/>
  <c r="BR96" i="25" s="1"/>
  <c r="AB60" i="12"/>
  <c r="AC61" i="12"/>
  <c r="X7" i="26"/>
  <c r="Z7" i="26" s="1"/>
  <c r="AB7" i="26" s="1"/>
  <c r="BT7" i="26"/>
  <c r="BV7" i="26" s="1"/>
  <c r="BX7" i="26" s="1"/>
  <c r="AD7" i="26"/>
  <c r="AF7" i="26" s="1"/>
  <c r="AH7" i="26" s="1"/>
  <c r="AV7" i="26"/>
  <c r="AX7" i="26" s="1"/>
  <c r="AZ7" i="26" s="1"/>
  <c r="R7" i="26"/>
  <c r="T7" i="26" s="1"/>
  <c r="V7" i="26" s="1"/>
  <c r="BB7" i="26"/>
  <c r="BD7" i="26" s="1"/>
  <c r="BF7" i="26" s="1"/>
  <c r="BH7" i="26"/>
  <c r="BJ7" i="26" s="1"/>
  <c r="BL7" i="26" s="1"/>
  <c r="AP7" i="26"/>
  <c r="AR7" i="26" s="1"/>
  <c r="AT7" i="26" s="1"/>
  <c r="AJ7" i="26"/>
  <c r="AL7" i="26" s="1"/>
  <c r="AN7" i="26" s="1"/>
  <c r="BN7" i="26"/>
  <c r="BP7" i="26" s="1"/>
  <c r="BR7" i="26" s="1"/>
  <c r="G6" i="12"/>
  <c r="G10" i="12"/>
  <c r="G14" i="12"/>
  <c r="G18" i="12"/>
  <c r="G22" i="12"/>
  <c r="G26" i="12"/>
  <c r="G30" i="12"/>
  <c r="G34" i="12"/>
  <c r="G38" i="12"/>
  <c r="G7" i="12"/>
  <c r="G11" i="12"/>
  <c r="G15" i="12"/>
  <c r="G19" i="12"/>
  <c r="G23" i="12"/>
  <c r="G27" i="12"/>
  <c r="G31" i="12"/>
  <c r="G35" i="12"/>
  <c r="G4" i="12"/>
  <c r="G8" i="12"/>
  <c r="G12" i="12"/>
  <c r="G16" i="12"/>
  <c r="G20" i="12"/>
  <c r="G24" i="12"/>
  <c r="G28" i="12"/>
  <c r="G32" i="12"/>
  <c r="G36" i="12"/>
  <c r="G3" i="12"/>
  <c r="G5" i="12"/>
  <c r="G9" i="12"/>
  <c r="G13" i="12"/>
  <c r="G17" i="12"/>
  <c r="G21" i="12"/>
  <c r="G25" i="12"/>
  <c r="G29" i="12"/>
  <c r="G33" i="12"/>
  <c r="G37" i="12"/>
  <c r="O70" i="10"/>
  <c r="P70" i="10" s="1"/>
  <c r="O71" i="10"/>
  <c r="P71" i="10" s="1"/>
  <c r="O72" i="10"/>
  <c r="P72" i="10" s="1"/>
  <c r="O73" i="10"/>
  <c r="P73" i="10" s="1"/>
  <c r="O74" i="10"/>
  <c r="P74" i="10" s="1"/>
  <c r="O75" i="10"/>
  <c r="P75" i="10" s="1"/>
  <c r="O76" i="10"/>
  <c r="P76" i="10" s="1"/>
  <c r="O77" i="10"/>
  <c r="P77" i="10" s="1"/>
  <c r="O78" i="10"/>
  <c r="P78" i="10" s="1"/>
  <c r="O79" i="10"/>
  <c r="P79" i="10" s="1"/>
  <c r="O80" i="10"/>
  <c r="P80" i="10" s="1"/>
  <c r="O81" i="10"/>
  <c r="P81" i="10" s="1"/>
  <c r="O82" i="10"/>
  <c r="P82" i="10" s="1"/>
  <c r="O83" i="10"/>
  <c r="P83" i="10" s="1"/>
  <c r="O84" i="10"/>
  <c r="P84" i="10" s="1"/>
  <c r="O85" i="10"/>
  <c r="P85" i="10" s="1"/>
  <c r="O86" i="10"/>
  <c r="P86" i="10" s="1"/>
  <c r="O87" i="10"/>
  <c r="P87" i="10" s="1"/>
  <c r="O88" i="10"/>
  <c r="P88" i="10" s="1"/>
  <c r="O89" i="10"/>
  <c r="P89" i="10" s="1"/>
  <c r="O90" i="10"/>
  <c r="P90" i="10" s="1"/>
  <c r="O91" i="10"/>
  <c r="P91" i="10" s="1"/>
  <c r="O92" i="10"/>
  <c r="P92" i="10" s="1"/>
  <c r="J70" i="10"/>
  <c r="K70" i="10" s="1"/>
  <c r="J71" i="10"/>
  <c r="K71" i="10" s="1"/>
  <c r="J72" i="10"/>
  <c r="K72" i="10" s="1"/>
  <c r="J73" i="10"/>
  <c r="K73" i="10" s="1"/>
  <c r="J74" i="10"/>
  <c r="K74" i="10" s="1"/>
  <c r="J75" i="10"/>
  <c r="K75" i="10" s="1"/>
  <c r="J76" i="10"/>
  <c r="K76" i="10" s="1"/>
  <c r="J77" i="10"/>
  <c r="K77" i="10" s="1"/>
  <c r="J78" i="10"/>
  <c r="K78" i="10" s="1"/>
  <c r="J79" i="10"/>
  <c r="K79" i="10" s="1"/>
  <c r="J80" i="10"/>
  <c r="K80" i="10" s="1"/>
  <c r="J81" i="10"/>
  <c r="K81" i="10" s="1"/>
  <c r="J82" i="10"/>
  <c r="K82" i="10" s="1"/>
  <c r="J83" i="10"/>
  <c r="K83" i="10" s="1"/>
  <c r="J84" i="10"/>
  <c r="K84" i="10" s="1"/>
  <c r="J85" i="10"/>
  <c r="K85" i="10" s="1"/>
  <c r="J86" i="10"/>
  <c r="K86" i="10" s="1"/>
  <c r="J87" i="10"/>
  <c r="K87" i="10" s="1"/>
  <c r="J88" i="10"/>
  <c r="K88" i="10" s="1"/>
  <c r="J89" i="10"/>
  <c r="K89" i="10" s="1"/>
  <c r="J90" i="10"/>
  <c r="K90" i="10" s="1"/>
  <c r="J91" i="10"/>
  <c r="K91" i="10" s="1"/>
  <c r="J92" i="10"/>
  <c r="K92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O4" i="10"/>
  <c r="O7" i="10"/>
  <c r="O6" i="10"/>
  <c r="O3" i="10"/>
  <c r="P3" i="10" s="1"/>
  <c r="Q3" i="10" s="1"/>
  <c r="O5" i="10"/>
  <c r="R69" i="12"/>
  <c r="R68" i="12"/>
  <c r="R67" i="12"/>
  <c r="R66" i="12"/>
  <c r="R65" i="12"/>
  <c r="R64" i="12"/>
  <c r="R63" i="12"/>
  <c r="R62" i="12"/>
  <c r="R61" i="12"/>
  <c r="R60" i="12"/>
  <c r="J6" i="10"/>
  <c r="J5" i="10"/>
  <c r="J3" i="10"/>
  <c r="K3" i="10" s="1"/>
  <c r="L3" i="10" s="1"/>
  <c r="J7" i="10"/>
  <c r="J4" i="10"/>
  <c r="R59" i="12"/>
  <c r="D10" i="10"/>
  <c r="E10" i="10" s="1"/>
  <c r="E5" i="10"/>
  <c r="F5" i="10" s="1"/>
  <c r="G5" i="10" s="1"/>
  <c r="E3" i="10"/>
  <c r="F3" i="10" s="1"/>
  <c r="G3" i="10" s="1"/>
  <c r="E6" i="10"/>
  <c r="F6" i="10" s="1"/>
  <c r="G6" i="10" s="1"/>
  <c r="E4" i="10"/>
  <c r="F4" i="10" s="1"/>
  <c r="G4" i="10" s="1"/>
  <c r="E7" i="10"/>
  <c r="F7" i="10" s="1"/>
  <c r="G7" i="10" s="1"/>
  <c r="E8" i="10"/>
  <c r="F8" i="10" s="1"/>
  <c r="G8" i="10" s="1"/>
  <c r="E9" i="10"/>
  <c r="F9" i="10" s="1"/>
  <c r="G9" i="10" s="1"/>
  <c r="I69" i="12"/>
  <c r="I68" i="12"/>
  <c r="I67" i="12"/>
  <c r="I66" i="12"/>
  <c r="I65" i="12"/>
  <c r="I64" i="12"/>
  <c r="I63" i="12"/>
  <c r="I62" i="12"/>
  <c r="R58" i="12"/>
  <c r="G3" i="11"/>
  <c r="H3" i="11" s="1"/>
  <c r="G5" i="11"/>
  <c r="H5" i="11" s="1"/>
  <c r="G6" i="11"/>
  <c r="H6" i="11" s="1"/>
  <c r="G4" i="11"/>
  <c r="H4" i="11" s="1"/>
  <c r="O4" i="11"/>
  <c r="P4" i="11" s="1"/>
  <c r="Q4" i="11" s="1"/>
  <c r="O5" i="11"/>
  <c r="P5" i="11" s="1"/>
  <c r="Q5" i="11" s="1"/>
  <c r="O6" i="11"/>
  <c r="P6" i="11" s="1"/>
  <c r="Q6" i="11" s="1"/>
  <c r="O3" i="11"/>
  <c r="P3" i="11" s="1"/>
  <c r="Q3" i="11" s="1"/>
  <c r="W4" i="11"/>
  <c r="W5" i="11"/>
  <c r="W6" i="11"/>
  <c r="W3" i="11"/>
  <c r="V3" i="11"/>
  <c r="N4" i="11"/>
  <c r="M4" i="11"/>
  <c r="N3" i="11"/>
  <c r="E5" i="11"/>
  <c r="F3" i="11"/>
  <c r="F4" i="11"/>
  <c r="E6" i="11"/>
  <c r="N5" i="11"/>
  <c r="M5" i="11"/>
  <c r="N6" i="11"/>
  <c r="U5" i="11"/>
  <c r="V5" i="11"/>
  <c r="U4" i="11"/>
  <c r="V4" i="11"/>
  <c r="V6" i="11"/>
  <c r="F5" i="11"/>
  <c r="AB59" i="12" l="1"/>
  <c r="AC60" i="12"/>
  <c r="X6" i="26"/>
  <c r="Z6" i="26" s="1"/>
  <c r="AB6" i="26" s="1"/>
  <c r="BT6" i="26"/>
  <c r="BV6" i="26" s="1"/>
  <c r="BX6" i="26" s="1"/>
  <c r="R6" i="26"/>
  <c r="T6" i="26" s="1"/>
  <c r="V6" i="26" s="1"/>
  <c r="AV6" i="26"/>
  <c r="AX6" i="26" s="1"/>
  <c r="AZ6" i="26" s="1"/>
  <c r="BN6" i="26"/>
  <c r="BP6" i="26" s="1"/>
  <c r="BR6" i="26" s="1"/>
  <c r="AD6" i="26"/>
  <c r="AF6" i="26" s="1"/>
  <c r="AH6" i="26" s="1"/>
  <c r="AP6" i="26"/>
  <c r="AR6" i="26" s="1"/>
  <c r="AT6" i="26" s="1"/>
  <c r="AJ6" i="26"/>
  <c r="AL6" i="26" s="1"/>
  <c r="AN6" i="26" s="1"/>
  <c r="BB6" i="26"/>
  <c r="BD6" i="26" s="1"/>
  <c r="BF6" i="26" s="1"/>
  <c r="BH6" i="26"/>
  <c r="BJ6" i="26" s="1"/>
  <c r="BL6" i="26" s="1"/>
  <c r="B41" i="4"/>
  <c r="X5" i="11"/>
  <c r="Y5" i="11" s="1"/>
  <c r="X4" i="11"/>
  <c r="Y4" i="11" s="1"/>
  <c r="X3" i="11"/>
  <c r="Y3" i="11" s="1"/>
  <c r="B41" i="5" s="1"/>
  <c r="X6" i="11"/>
  <c r="Y6" i="11" s="1"/>
  <c r="F10" i="10"/>
  <c r="G10" i="10" s="1"/>
  <c r="D11" i="10"/>
  <c r="E11" i="10" s="1"/>
  <c r="R57" i="12"/>
  <c r="I61" i="12"/>
  <c r="F6" i="11"/>
  <c r="E3" i="11"/>
  <c r="E4" i="11"/>
  <c r="AB58" i="12" l="1"/>
  <c r="AC59" i="12"/>
  <c r="X5" i="26"/>
  <c r="Z5" i="26" s="1"/>
  <c r="AB5" i="26" s="1"/>
  <c r="BB5" i="26"/>
  <c r="BD5" i="26" s="1"/>
  <c r="BF5" i="26" s="1"/>
  <c r="BT5" i="26"/>
  <c r="BV5" i="26" s="1"/>
  <c r="BX5" i="26" s="1"/>
  <c r="AV5" i="26"/>
  <c r="AX5" i="26" s="1"/>
  <c r="AZ5" i="26" s="1"/>
  <c r="AJ5" i="26"/>
  <c r="AL5" i="26" s="1"/>
  <c r="AN5" i="26" s="1"/>
  <c r="BH5" i="26"/>
  <c r="BJ5" i="26" s="1"/>
  <c r="BL5" i="26" s="1"/>
  <c r="BN5" i="26"/>
  <c r="BP5" i="26" s="1"/>
  <c r="BR5" i="26" s="1"/>
  <c r="AP5" i="26"/>
  <c r="AR5" i="26" s="1"/>
  <c r="AT5" i="26" s="1"/>
  <c r="R5" i="26"/>
  <c r="T5" i="26" s="1"/>
  <c r="V5" i="26" s="1"/>
  <c r="AD5" i="26"/>
  <c r="AF5" i="26" s="1"/>
  <c r="AH5" i="26" s="1"/>
  <c r="F11" i="10"/>
  <c r="G11" i="10" s="1"/>
  <c r="D12" i="10"/>
  <c r="E12" i="10" s="1"/>
  <c r="I60" i="12"/>
  <c r="R56" i="12"/>
  <c r="AB57" i="12" l="1"/>
  <c r="AC58" i="12"/>
  <c r="X4" i="26"/>
  <c r="Z4" i="26" s="1"/>
  <c r="AB4" i="26" s="1"/>
  <c r="BH4" i="26"/>
  <c r="BJ4" i="26" s="1"/>
  <c r="BL4" i="26" s="1"/>
  <c r="AV4" i="26"/>
  <c r="AX4" i="26" s="1"/>
  <c r="AZ4" i="26" s="1"/>
  <c r="AD4" i="26"/>
  <c r="AF4" i="26" s="1"/>
  <c r="AH4" i="26" s="1"/>
  <c r="BN4" i="26"/>
  <c r="BP4" i="26" s="1"/>
  <c r="BR4" i="26" s="1"/>
  <c r="AP4" i="26"/>
  <c r="AR4" i="26" s="1"/>
  <c r="AT4" i="26" s="1"/>
  <c r="BB4" i="26"/>
  <c r="BD4" i="26" s="1"/>
  <c r="BF4" i="26" s="1"/>
  <c r="R4" i="26"/>
  <c r="T4" i="26" s="1"/>
  <c r="V4" i="26" s="1"/>
  <c r="AJ4" i="26"/>
  <c r="AL4" i="26" s="1"/>
  <c r="AN4" i="26" s="1"/>
  <c r="BT4" i="26"/>
  <c r="BV4" i="26" s="1"/>
  <c r="BX4" i="26" s="1"/>
  <c r="B30" i="3"/>
  <c r="K4" i="10"/>
  <c r="L4" i="10" s="1"/>
  <c r="P4" i="10"/>
  <c r="Q4" i="10" s="1"/>
  <c r="F12" i="10"/>
  <c r="G12" i="10" s="1"/>
  <c r="D13" i="10"/>
  <c r="E13" i="10" s="1"/>
  <c r="B3" i="10"/>
  <c r="R55" i="12"/>
  <c r="I59" i="12"/>
  <c r="AB56" i="12" l="1"/>
  <c r="AC57" i="12"/>
  <c r="X3" i="26"/>
  <c r="BT3" i="26"/>
  <c r="AJ3" i="26"/>
  <c r="R3" i="26"/>
  <c r="AP3" i="26"/>
  <c r="BB3" i="26"/>
  <c r="AV3" i="26"/>
  <c r="BH3" i="26"/>
  <c r="BN3" i="26"/>
  <c r="AD3" i="26"/>
  <c r="K5" i="10"/>
  <c r="L5" i="10" s="1"/>
  <c r="P5" i="10"/>
  <c r="Q5" i="10" s="1"/>
  <c r="B4" i="10"/>
  <c r="F13" i="10"/>
  <c r="G13" i="10" s="1"/>
  <c r="D14" i="10"/>
  <c r="E14" i="10" s="1"/>
  <c r="B5" i="10"/>
  <c r="R54" i="12"/>
  <c r="I58" i="12"/>
  <c r="AB55" i="12" l="1"/>
  <c r="AC56" i="12"/>
  <c r="K6" i="10"/>
  <c r="L6" i="10" s="1"/>
  <c r="P6" i="10"/>
  <c r="Q6" i="10" s="1"/>
  <c r="F14" i="10"/>
  <c r="G14" i="10" s="1"/>
  <c r="D15" i="10"/>
  <c r="E15" i="10" s="1"/>
  <c r="B6" i="10"/>
  <c r="R53" i="12"/>
  <c r="I57" i="12"/>
  <c r="AB54" i="12" l="1"/>
  <c r="AC55" i="12"/>
  <c r="K7" i="10"/>
  <c r="L7" i="10" s="1"/>
  <c r="P7" i="10"/>
  <c r="Q7" i="10" s="1"/>
  <c r="F15" i="10"/>
  <c r="G15" i="10" s="1"/>
  <c r="D16" i="10"/>
  <c r="E16" i="10" s="1"/>
  <c r="B7" i="10"/>
  <c r="I56" i="12"/>
  <c r="R52" i="12"/>
  <c r="AB53" i="12" l="1"/>
  <c r="AC54" i="12"/>
  <c r="I8" i="10"/>
  <c r="J8" i="10" s="1"/>
  <c r="K8" i="10" s="1"/>
  <c r="L8" i="10" s="1"/>
  <c r="N8" i="10"/>
  <c r="O8" i="10" s="1"/>
  <c r="F16" i="10"/>
  <c r="G16" i="10" s="1"/>
  <c r="D17" i="10"/>
  <c r="E17" i="10" s="1"/>
  <c r="R51" i="12"/>
  <c r="I55" i="12"/>
  <c r="AB52" i="12" l="1"/>
  <c r="AC53" i="12"/>
  <c r="I9" i="10"/>
  <c r="J9" i="10" s="1"/>
  <c r="K9" i="10" s="1"/>
  <c r="L9" i="10" s="1"/>
  <c r="P8" i="10"/>
  <c r="Q8" i="10" s="1"/>
  <c r="N9" i="10"/>
  <c r="O9" i="10" s="1"/>
  <c r="P9" i="10" s="1"/>
  <c r="Q9" i="10" s="1"/>
  <c r="F17" i="10"/>
  <c r="G17" i="10" s="1"/>
  <c r="D18" i="10"/>
  <c r="E18" i="10" s="1"/>
  <c r="B8" i="10"/>
  <c r="I54" i="12"/>
  <c r="R50" i="12"/>
  <c r="AB51" i="12" l="1"/>
  <c r="AC52" i="12"/>
  <c r="I10" i="10"/>
  <c r="J10" i="10" s="1"/>
  <c r="N10" i="10"/>
  <c r="O10" i="10" s="1"/>
  <c r="F18" i="10"/>
  <c r="G18" i="10" s="1"/>
  <c r="D19" i="10"/>
  <c r="E19" i="10" s="1"/>
  <c r="B9" i="10"/>
  <c r="R49" i="12"/>
  <c r="I53" i="12"/>
  <c r="AB50" i="12" l="1"/>
  <c r="AC51" i="12"/>
  <c r="K10" i="10"/>
  <c r="L10" i="10" s="1"/>
  <c r="I11" i="10"/>
  <c r="J11" i="10" s="1"/>
  <c r="K11" i="10" s="1"/>
  <c r="L11" i="10" s="1"/>
  <c r="P10" i="10"/>
  <c r="Q10" i="10" s="1"/>
  <c r="N11" i="10"/>
  <c r="O11" i="10" s="1"/>
  <c r="F19" i="10"/>
  <c r="G19" i="10" s="1"/>
  <c r="D20" i="10"/>
  <c r="E20" i="10" s="1"/>
  <c r="B10" i="10"/>
  <c r="I52" i="12"/>
  <c r="R48" i="12"/>
  <c r="AB49" i="12" l="1"/>
  <c r="AC50" i="12"/>
  <c r="P11" i="10"/>
  <c r="Q11" i="10" s="1"/>
  <c r="I12" i="10"/>
  <c r="J12" i="10" s="1"/>
  <c r="N12" i="10"/>
  <c r="O12" i="10" s="1"/>
  <c r="F20" i="10"/>
  <c r="G20" i="10" s="1"/>
  <c r="D21" i="10"/>
  <c r="E21" i="10" s="1"/>
  <c r="B11" i="10"/>
  <c r="I51" i="12"/>
  <c r="R47" i="12"/>
  <c r="AB48" i="12" l="1"/>
  <c r="AC49" i="12"/>
  <c r="K12" i="10"/>
  <c r="L12" i="10" s="1"/>
  <c r="I13" i="10"/>
  <c r="J13" i="10" s="1"/>
  <c r="K13" i="10" s="1"/>
  <c r="L13" i="10" s="1"/>
  <c r="N13" i="10"/>
  <c r="O13" i="10" s="1"/>
  <c r="P12" i="10"/>
  <c r="Q12" i="10" s="1"/>
  <c r="F21" i="10"/>
  <c r="G21" i="10" s="1"/>
  <c r="D22" i="10"/>
  <c r="E22" i="10" s="1"/>
  <c r="B12" i="10"/>
  <c r="R46" i="12"/>
  <c r="I50" i="12"/>
  <c r="AC48" i="12" l="1"/>
  <c r="AB47" i="12"/>
  <c r="I14" i="10"/>
  <c r="J14" i="10" s="1"/>
  <c r="P13" i="10"/>
  <c r="Q13" i="10" s="1"/>
  <c r="N14" i="10"/>
  <c r="O14" i="10" s="1"/>
  <c r="F22" i="10"/>
  <c r="G22" i="10" s="1"/>
  <c r="D23" i="10"/>
  <c r="E23" i="10" s="1"/>
  <c r="B13" i="10"/>
  <c r="I49" i="12"/>
  <c r="R45" i="12"/>
  <c r="AC47" i="12" l="1"/>
  <c r="AB46" i="12"/>
  <c r="P14" i="10"/>
  <c r="Q14" i="10" s="1"/>
  <c r="K14" i="10"/>
  <c r="L14" i="10" s="1"/>
  <c r="I15" i="10"/>
  <c r="J15" i="10" s="1"/>
  <c r="K15" i="10" s="1"/>
  <c r="L15" i="10" s="1"/>
  <c r="N15" i="10"/>
  <c r="O15" i="10" s="1"/>
  <c r="F23" i="10"/>
  <c r="G23" i="10" s="1"/>
  <c r="D24" i="10"/>
  <c r="E24" i="10" s="1"/>
  <c r="B14" i="10"/>
  <c r="I48" i="12"/>
  <c r="R44" i="12"/>
  <c r="AC46" i="12" l="1"/>
  <c r="AB45" i="12"/>
  <c r="I16" i="10"/>
  <c r="J16" i="10" s="1"/>
  <c r="P15" i="10"/>
  <c r="Q15" i="10" s="1"/>
  <c r="N16" i="10"/>
  <c r="O16" i="10" s="1"/>
  <c r="P16" i="10" s="1"/>
  <c r="Q16" i="10" s="1"/>
  <c r="F24" i="10"/>
  <c r="G24" i="10" s="1"/>
  <c r="D25" i="10"/>
  <c r="E25" i="10" s="1"/>
  <c r="B15" i="10"/>
  <c r="R43" i="12"/>
  <c r="I47" i="12"/>
  <c r="AC45" i="12" l="1"/>
  <c r="AB44" i="12"/>
  <c r="I17" i="10"/>
  <c r="J17" i="10" s="1"/>
  <c r="K16" i="10"/>
  <c r="L16" i="10" s="1"/>
  <c r="N17" i="10"/>
  <c r="O17" i="10" s="1"/>
  <c r="F25" i="10"/>
  <c r="G25" i="10" s="1"/>
  <c r="D26" i="10"/>
  <c r="E26" i="10" s="1"/>
  <c r="B16" i="10"/>
  <c r="I46" i="12"/>
  <c r="R42" i="12"/>
  <c r="AC44" i="12" l="1"/>
  <c r="AB43" i="12"/>
  <c r="K17" i="10"/>
  <c r="L17" i="10" s="1"/>
  <c r="I18" i="10"/>
  <c r="J18" i="10" s="1"/>
  <c r="K18" i="10" s="1"/>
  <c r="L18" i="10" s="1"/>
  <c r="P17" i="10"/>
  <c r="Q17" i="10" s="1"/>
  <c r="N18" i="10"/>
  <c r="O18" i="10" s="1"/>
  <c r="F26" i="10"/>
  <c r="G26" i="10" s="1"/>
  <c r="D27" i="10"/>
  <c r="E27" i="10" s="1"/>
  <c r="B17" i="10"/>
  <c r="R41" i="12"/>
  <c r="I45" i="12"/>
  <c r="AC43" i="12" l="1"/>
  <c r="AB42" i="12"/>
  <c r="P18" i="10"/>
  <c r="Q18" i="10" s="1"/>
  <c r="I19" i="10"/>
  <c r="J19" i="10" s="1"/>
  <c r="N19" i="10"/>
  <c r="O19" i="10" s="1"/>
  <c r="F27" i="10"/>
  <c r="G27" i="10" s="1"/>
  <c r="D28" i="10"/>
  <c r="E28" i="10" s="1"/>
  <c r="B18" i="10"/>
  <c r="R40" i="12"/>
  <c r="I44" i="12"/>
  <c r="AC42" i="12" l="1"/>
  <c r="AB41" i="12"/>
  <c r="K19" i="10"/>
  <c r="L19" i="10" s="1"/>
  <c r="I20" i="10"/>
  <c r="J20" i="10" s="1"/>
  <c r="K20" i="10" s="1"/>
  <c r="L20" i="10" s="1"/>
  <c r="N20" i="10"/>
  <c r="O20" i="10" s="1"/>
  <c r="P19" i="10"/>
  <c r="Q19" i="10" s="1"/>
  <c r="F28" i="10"/>
  <c r="G28" i="10" s="1"/>
  <c r="D29" i="10"/>
  <c r="E29" i="10" s="1"/>
  <c r="B19" i="10"/>
  <c r="R39" i="12"/>
  <c r="I43" i="12"/>
  <c r="AC41" i="12" l="1"/>
  <c r="AB40" i="12"/>
  <c r="I21" i="10"/>
  <c r="J21" i="10" s="1"/>
  <c r="N21" i="10"/>
  <c r="O21" i="10" s="1"/>
  <c r="P20" i="10"/>
  <c r="Q20" i="10" s="1"/>
  <c r="F29" i="10"/>
  <c r="G29" i="10" s="1"/>
  <c r="D30" i="10"/>
  <c r="E30" i="10" s="1"/>
  <c r="B20" i="10"/>
  <c r="R38" i="12"/>
  <c r="I42" i="12"/>
  <c r="AC40" i="12" l="1"/>
  <c r="AB39" i="12"/>
  <c r="I22" i="10"/>
  <c r="J22" i="10" s="1"/>
  <c r="K21" i="10"/>
  <c r="L21" i="10" s="1"/>
  <c r="P21" i="10"/>
  <c r="Q21" i="10" s="1"/>
  <c r="N22" i="10"/>
  <c r="O22" i="10" s="1"/>
  <c r="F30" i="10"/>
  <c r="G30" i="10" s="1"/>
  <c r="D31" i="10"/>
  <c r="E31" i="10" s="1"/>
  <c r="B21" i="10"/>
  <c r="I41" i="12"/>
  <c r="R37" i="12"/>
  <c r="AC39" i="12" l="1"/>
  <c r="AB38" i="12"/>
  <c r="I23" i="10"/>
  <c r="J23" i="10" s="1"/>
  <c r="K22" i="10"/>
  <c r="L22" i="10" s="1"/>
  <c r="N23" i="10"/>
  <c r="O23" i="10" s="1"/>
  <c r="P23" i="10" s="1"/>
  <c r="Q23" i="10" s="1"/>
  <c r="P22" i="10"/>
  <c r="Q22" i="10" s="1"/>
  <c r="F31" i="10"/>
  <c r="G31" i="10" s="1"/>
  <c r="D32" i="10"/>
  <c r="E32" i="10" s="1"/>
  <c r="B22" i="10"/>
  <c r="R36" i="12"/>
  <c r="I40" i="12"/>
  <c r="AC38" i="12" l="1"/>
  <c r="AB37" i="12"/>
  <c r="K23" i="10"/>
  <c r="L23" i="10" s="1"/>
  <c r="I24" i="10"/>
  <c r="J24" i="10" s="1"/>
  <c r="K24" i="10" s="1"/>
  <c r="L24" i="10" s="1"/>
  <c r="N24" i="10"/>
  <c r="O24" i="10" s="1"/>
  <c r="F32" i="10"/>
  <c r="G32" i="10" s="1"/>
  <c r="D33" i="10"/>
  <c r="E33" i="10" s="1"/>
  <c r="B23" i="10"/>
  <c r="R35" i="12"/>
  <c r="I39" i="12"/>
  <c r="AC37" i="12" l="1"/>
  <c r="AB36" i="12"/>
  <c r="I25" i="10"/>
  <c r="J25" i="10" s="1"/>
  <c r="P24" i="10"/>
  <c r="Q24" i="10" s="1"/>
  <c r="N25" i="10"/>
  <c r="O25" i="10" s="1"/>
  <c r="F33" i="10"/>
  <c r="G33" i="10" s="1"/>
  <c r="D34" i="10"/>
  <c r="E34" i="10" s="1"/>
  <c r="B24" i="10"/>
  <c r="R34" i="12"/>
  <c r="I38" i="12"/>
  <c r="AC36" i="12" l="1"/>
  <c r="AB35" i="12"/>
  <c r="P25" i="10"/>
  <c r="Q25" i="10" s="1"/>
  <c r="I26" i="10"/>
  <c r="J26" i="10" s="1"/>
  <c r="K26" i="10" s="1"/>
  <c r="L26" i="10" s="1"/>
  <c r="K25" i="10"/>
  <c r="L25" i="10" s="1"/>
  <c r="N26" i="10"/>
  <c r="O26" i="10" s="1"/>
  <c r="F34" i="10"/>
  <c r="G34" i="10" s="1"/>
  <c r="D35" i="10"/>
  <c r="E35" i="10" s="1"/>
  <c r="B25" i="10"/>
  <c r="I37" i="12"/>
  <c r="R33" i="12"/>
  <c r="AC35" i="12" l="1"/>
  <c r="AB34" i="12"/>
  <c r="P26" i="10"/>
  <c r="Q26" i="10" s="1"/>
  <c r="I27" i="10"/>
  <c r="J27" i="10" s="1"/>
  <c r="K27" i="10" s="1"/>
  <c r="L27" i="10" s="1"/>
  <c r="N27" i="10"/>
  <c r="O27" i="10" s="1"/>
  <c r="F35" i="10"/>
  <c r="G35" i="10" s="1"/>
  <c r="D36" i="10"/>
  <c r="E36" i="10" s="1"/>
  <c r="B26" i="10"/>
  <c r="I36" i="12"/>
  <c r="R32" i="12"/>
  <c r="AC34" i="12" l="1"/>
  <c r="AB33" i="12"/>
  <c r="P27" i="10"/>
  <c r="Q27" i="10" s="1"/>
  <c r="I28" i="10"/>
  <c r="J28" i="10" s="1"/>
  <c r="K28" i="10" s="1"/>
  <c r="L28" i="10" s="1"/>
  <c r="N28" i="10"/>
  <c r="O28" i="10" s="1"/>
  <c r="F36" i="10"/>
  <c r="G36" i="10" s="1"/>
  <c r="D37" i="10"/>
  <c r="E37" i="10" s="1"/>
  <c r="B27" i="10"/>
  <c r="R31" i="12"/>
  <c r="I35" i="12"/>
  <c r="AC33" i="12" l="1"/>
  <c r="AB32" i="12"/>
  <c r="I29" i="10"/>
  <c r="J29" i="10" s="1"/>
  <c r="P28" i="10"/>
  <c r="Q28" i="10" s="1"/>
  <c r="N29" i="10"/>
  <c r="O29" i="10" s="1"/>
  <c r="F37" i="10"/>
  <c r="G37" i="10" s="1"/>
  <c r="D38" i="10"/>
  <c r="E38" i="10" s="1"/>
  <c r="B28" i="10"/>
  <c r="R30" i="12"/>
  <c r="I34" i="12"/>
  <c r="AC32" i="12" l="1"/>
  <c r="AB31" i="12"/>
  <c r="K29" i="10"/>
  <c r="L29" i="10" s="1"/>
  <c r="I30" i="10"/>
  <c r="J30" i="10" s="1"/>
  <c r="K30" i="10" s="1"/>
  <c r="L30" i="10" s="1"/>
  <c r="N30" i="10"/>
  <c r="O30" i="10" s="1"/>
  <c r="P29" i="10"/>
  <c r="Q29" i="10" s="1"/>
  <c r="F38" i="10"/>
  <c r="G38" i="10" s="1"/>
  <c r="D39" i="10"/>
  <c r="E39" i="10" s="1"/>
  <c r="B29" i="10"/>
  <c r="R29" i="12"/>
  <c r="I33" i="12"/>
  <c r="AC31" i="12" l="1"/>
  <c r="AB30" i="12"/>
  <c r="I31" i="10"/>
  <c r="J31" i="10" s="1"/>
  <c r="K31" i="10" s="1"/>
  <c r="L31" i="10" s="1"/>
  <c r="P30" i="10"/>
  <c r="Q30" i="10" s="1"/>
  <c r="N31" i="10"/>
  <c r="O31" i="10" s="1"/>
  <c r="F39" i="10"/>
  <c r="G39" i="10" s="1"/>
  <c r="D40" i="10"/>
  <c r="E40" i="10" s="1"/>
  <c r="B30" i="10"/>
  <c r="I32" i="12"/>
  <c r="R28" i="12"/>
  <c r="AC30" i="12" l="1"/>
  <c r="AB29" i="12"/>
  <c r="I32" i="10"/>
  <c r="J32" i="10" s="1"/>
  <c r="K32" i="10" s="1"/>
  <c r="L32" i="10" s="1"/>
  <c r="N32" i="10"/>
  <c r="O32" i="10" s="1"/>
  <c r="P31" i="10"/>
  <c r="Q31" i="10" s="1"/>
  <c r="F40" i="10"/>
  <c r="G40" i="10" s="1"/>
  <c r="D41" i="10"/>
  <c r="E41" i="10" s="1"/>
  <c r="B31" i="10"/>
  <c r="I31" i="12"/>
  <c r="R27" i="12"/>
  <c r="AC29" i="12" l="1"/>
  <c r="AB28" i="12"/>
  <c r="I33" i="10"/>
  <c r="J33" i="10" s="1"/>
  <c r="N33" i="10"/>
  <c r="O33" i="10" s="1"/>
  <c r="P32" i="10"/>
  <c r="Q32" i="10" s="1"/>
  <c r="F41" i="10"/>
  <c r="G41" i="10" s="1"/>
  <c r="D42" i="10"/>
  <c r="E42" i="10" s="1"/>
  <c r="B32" i="10"/>
  <c r="I30" i="12"/>
  <c r="R26" i="12"/>
  <c r="AC28" i="12" l="1"/>
  <c r="AB27" i="12"/>
  <c r="K33" i="10"/>
  <c r="L33" i="10" s="1"/>
  <c r="I34" i="10"/>
  <c r="J34" i="10" s="1"/>
  <c r="K34" i="10" s="1"/>
  <c r="L34" i="10" s="1"/>
  <c r="N34" i="10"/>
  <c r="O34" i="10" s="1"/>
  <c r="P33" i="10"/>
  <c r="Q33" i="10" s="1"/>
  <c r="F42" i="10"/>
  <c r="G42" i="10" s="1"/>
  <c r="D43" i="10"/>
  <c r="E43" i="10" s="1"/>
  <c r="B33" i="10"/>
  <c r="R25" i="12"/>
  <c r="I29" i="12"/>
  <c r="AC27" i="12" l="1"/>
  <c r="AB26" i="12"/>
  <c r="P34" i="10"/>
  <c r="Q34" i="10" s="1"/>
  <c r="I35" i="10"/>
  <c r="J35" i="10" s="1"/>
  <c r="N35" i="10"/>
  <c r="O35" i="10" s="1"/>
  <c r="F43" i="10"/>
  <c r="G43" i="10" s="1"/>
  <c r="D44" i="10"/>
  <c r="E44" i="10" s="1"/>
  <c r="B34" i="10"/>
  <c r="I28" i="12"/>
  <c r="R24" i="12"/>
  <c r="AC26" i="12" l="1"/>
  <c r="AB25" i="12"/>
  <c r="P35" i="10"/>
  <c r="Q35" i="10" s="1"/>
  <c r="I36" i="10"/>
  <c r="J36" i="10" s="1"/>
  <c r="K36" i="10" s="1"/>
  <c r="L36" i="10" s="1"/>
  <c r="K35" i="10"/>
  <c r="L35" i="10" s="1"/>
  <c r="N36" i="10"/>
  <c r="O36" i="10" s="1"/>
  <c r="F44" i="10"/>
  <c r="G44" i="10" s="1"/>
  <c r="D45" i="10"/>
  <c r="E45" i="10" s="1"/>
  <c r="B35" i="10"/>
  <c r="I27" i="12"/>
  <c r="R23" i="12"/>
  <c r="AC25" i="12" l="1"/>
  <c r="AB24" i="12"/>
  <c r="I37" i="10"/>
  <c r="J37" i="10" s="1"/>
  <c r="N37" i="10"/>
  <c r="O37" i="10" s="1"/>
  <c r="P36" i="10"/>
  <c r="Q36" i="10" s="1"/>
  <c r="F45" i="10"/>
  <c r="G45" i="10" s="1"/>
  <c r="D46" i="10"/>
  <c r="E46" i="10" s="1"/>
  <c r="B36" i="10"/>
  <c r="I26" i="12"/>
  <c r="R22" i="12"/>
  <c r="AC24" i="12" l="1"/>
  <c r="AB23" i="12"/>
  <c r="P37" i="10"/>
  <c r="Q37" i="10" s="1"/>
  <c r="I38" i="10"/>
  <c r="J38" i="10" s="1"/>
  <c r="K37" i="10"/>
  <c r="L37" i="10" s="1"/>
  <c r="N38" i="10"/>
  <c r="O38" i="10" s="1"/>
  <c r="F46" i="10"/>
  <c r="G46" i="10" s="1"/>
  <c r="D47" i="10"/>
  <c r="E47" i="10" s="1"/>
  <c r="F47" i="10" s="1"/>
  <c r="G47" i="10" s="1"/>
  <c r="B37" i="10"/>
  <c r="R21" i="12"/>
  <c r="I25" i="12"/>
  <c r="AC23" i="12" l="1"/>
  <c r="AB22" i="12"/>
  <c r="P38" i="10"/>
  <c r="Q38" i="10" s="1"/>
  <c r="I39" i="10"/>
  <c r="J39" i="10" s="1"/>
  <c r="K38" i="10"/>
  <c r="L38" i="10" s="1"/>
  <c r="N39" i="10"/>
  <c r="O39" i="10" s="1"/>
  <c r="D48" i="10"/>
  <c r="E48" i="10" s="1"/>
  <c r="B38" i="10"/>
  <c r="I24" i="12"/>
  <c r="R20" i="12"/>
  <c r="T20" i="12" s="1"/>
  <c r="AC22" i="12" l="1"/>
  <c r="AB21" i="12"/>
  <c r="I40" i="10"/>
  <c r="J40" i="10" s="1"/>
  <c r="K40" i="10" s="1"/>
  <c r="L40" i="10" s="1"/>
  <c r="K39" i="10"/>
  <c r="L39" i="10" s="1"/>
  <c r="P39" i="10"/>
  <c r="Q39" i="10" s="1"/>
  <c r="N40" i="10"/>
  <c r="O40" i="10" s="1"/>
  <c r="F48" i="10"/>
  <c r="G48" i="10" s="1"/>
  <c r="D49" i="10"/>
  <c r="E49" i="10" s="1"/>
  <c r="B39" i="10"/>
  <c r="I23" i="12"/>
  <c r="R19" i="12"/>
  <c r="AC21" i="12" l="1"/>
  <c r="AE21" i="12" s="1"/>
  <c r="AB20" i="12"/>
  <c r="I41" i="10"/>
  <c r="J41" i="10" s="1"/>
  <c r="N41" i="10"/>
  <c r="O41" i="10" s="1"/>
  <c r="P40" i="10"/>
  <c r="Q40" i="10" s="1"/>
  <c r="F49" i="10"/>
  <c r="G49" i="10" s="1"/>
  <c r="D50" i="10"/>
  <c r="E50" i="10" s="1"/>
  <c r="B40" i="10"/>
  <c r="I22" i="12"/>
  <c r="R18" i="12"/>
  <c r="AC20" i="12" l="1"/>
  <c r="AB19" i="12"/>
  <c r="P41" i="10"/>
  <c r="Q41" i="10" s="1"/>
  <c r="I42" i="10"/>
  <c r="J42" i="10" s="1"/>
  <c r="K41" i="10"/>
  <c r="L41" i="10" s="1"/>
  <c r="N42" i="10"/>
  <c r="O42" i="10" s="1"/>
  <c r="F50" i="10"/>
  <c r="G50" i="10" s="1"/>
  <c r="D51" i="10"/>
  <c r="E51" i="10" s="1"/>
  <c r="B41" i="10"/>
  <c r="R17" i="12"/>
  <c r="I21" i="12"/>
  <c r="AC19" i="12" l="1"/>
  <c r="AB18" i="12"/>
  <c r="P42" i="10"/>
  <c r="Q42" i="10" s="1"/>
  <c r="I43" i="10"/>
  <c r="J43" i="10" s="1"/>
  <c r="K42" i="10"/>
  <c r="L42" i="10" s="1"/>
  <c r="N43" i="10"/>
  <c r="O43" i="10" s="1"/>
  <c r="F51" i="10"/>
  <c r="G51" i="10" s="1"/>
  <c r="D52" i="10"/>
  <c r="E52" i="10" s="1"/>
  <c r="B42" i="10"/>
  <c r="I20" i="12"/>
  <c r="R16" i="12"/>
  <c r="AC18" i="12" l="1"/>
  <c r="AB17" i="12"/>
  <c r="I44" i="10"/>
  <c r="J44" i="10" s="1"/>
  <c r="K44" i="10" s="1"/>
  <c r="L44" i="10" s="1"/>
  <c r="K43" i="10"/>
  <c r="L43" i="10" s="1"/>
  <c r="N44" i="10"/>
  <c r="O44" i="10" s="1"/>
  <c r="P43" i="10"/>
  <c r="Q43" i="10" s="1"/>
  <c r="F52" i="10"/>
  <c r="G52" i="10" s="1"/>
  <c r="D53" i="10"/>
  <c r="E53" i="10" s="1"/>
  <c r="B43" i="10"/>
  <c r="R15" i="12"/>
  <c r="I19" i="12"/>
  <c r="AC17" i="12" l="1"/>
  <c r="AB16" i="12"/>
  <c r="P44" i="10"/>
  <c r="Q44" i="10" s="1"/>
  <c r="I45" i="10"/>
  <c r="J45" i="10" s="1"/>
  <c r="K45" i="10" s="1"/>
  <c r="L45" i="10" s="1"/>
  <c r="N45" i="10"/>
  <c r="O45" i="10" s="1"/>
  <c r="F53" i="10"/>
  <c r="G53" i="10" s="1"/>
  <c r="D54" i="10"/>
  <c r="E54" i="10" s="1"/>
  <c r="B44" i="10"/>
  <c r="R14" i="12"/>
  <c r="I18" i="12"/>
  <c r="AC16" i="12" l="1"/>
  <c r="AB15" i="12"/>
  <c r="I46" i="10"/>
  <c r="J46" i="10" s="1"/>
  <c r="K46" i="10" s="1"/>
  <c r="L46" i="10" s="1"/>
  <c r="P45" i="10"/>
  <c r="Q45" i="10" s="1"/>
  <c r="N46" i="10"/>
  <c r="O46" i="10" s="1"/>
  <c r="P46" i="10" s="1"/>
  <c r="Q46" i="10" s="1"/>
  <c r="F54" i="10"/>
  <c r="G54" i="10" s="1"/>
  <c r="D55" i="10"/>
  <c r="E55" i="10" s="1"/>
  <c r="B45" i="10"/>
  <c r="R13" i="12"/>
  <c r="I17" i="12"/>
  <c r="AC15" i="12" l="1"/>
  <c r="AB14" i="12"/>
  <c r="I47" i="10"/>
  <c r="J47" i="10" s="1"/>
  <c r="N47" i="10"/>
  <c r="O47" i="10" s="1"/>
  <c r="F55" i="10"/>
  <c r="G55" i="10" s="1"/>
  <c r="D56" i="10"/>
  <c r="E56" i="10" s="1"/>
  <c r="B46" i="10"/>
  <c r="I16" i="12"/>
  <c r="R12" i="12"/>
  <c r="AC14" i="12" l="1"/>
  <c r="AB13" i="12"/>
  <c r="K47" i="10"/>
  <c r="L47" i="10" s="1"/>
  <c r="I48" i="10"/>
  <c r="J48" i="10" s="1"/>
  <c r="K48" i="10" s="1"/>
  <c r="L48" i="10" s="1"/>
  <c r="P47" i="10"/>
  <c r="Q47" i="10" s="1"/>
  <c r="N48" i="10"/>
  <c r="O48" i="10" s="1"/>
  <c r="F56" i="10"/>
  <c r="G56" i="10" s="1"/>
  <c r="D57" i="10"/>
  <c r="E57" i="10" s="1"/>
  <c r="B47" i="10"/>
  <c r="R11" i="12"/>
  <c r="I15" i="12"/>
  <c r="AC13" i="12" l="1"/>
  <c r="AB12" i="12"/>
  <c r="P48" i="10"/>
  <c r="Q48" i="10" s="1"/>
  <c r="I49" i="10"/>
  <c r="J49" i="10" s="1"/>
  <c r="N49" i="10"/>
  <c r="O49" i="10" s="1"/>
  <c r="F57" i="10"/>
  <c r="G57" i="10" s="1"/>
  <c r="D58" i="10"/>
  <c r="E58" i="10" s="1"/>
  <c r="B48" i="10"/>
  <c r="I14" i="12"/>
  <c r="R10" i="12"/>
  <c r="AC12" i="12" l="1"/>
  <c r="AB11" i="12"/>
  <c r="K49" i="10"/>
  <c r="L49" i="10" s="1"/>
  <c r="I50" i="10"/>
  <c r="J50" i="10" s="1"/>
  <c r="K50" i="10" s="1"/>
  <c r="L50" i="10" s="1"/>
  <c r="P49" i="10"/>
  <c r="Q49" i="10" s="1"/>
  <c r="N50" i="10"/>
  <c r="O50" i="10" s="1"/>
  <c r="P50" i="10" s="1"/>
  <c r="Q50" i="10" s="1"/>
  <c r="F58" i="10"/>
  <c r="G58" i="10" s="1"/>
  <c r="D59" i="10"/>
  <c r="E59" i="10" s="1"/>
  <c r="B49" i="10"/>
  <c r="R9" i="12"/>
  <c r="I13" i="12"/>
  <c r="AC11" i="12" l="1"/>
  <c r="AB10" i="12"/>
  <c r="I51" i="10"/>
  <c r="J51" i="10" s="1"/>
  <c r="K51" i="10" s="1"/>
  <c r="L51" i="10" s="1"/>
  <c r="N51" i="10"/>
  <c r="O51" i="10" s="1"/>
  <c r="F59" i="10"/>
  <c r="G59" i="10" s="1"/>
  <c r="D60" i="10"/>
  <c r="E60" i="10" s="1"/>
  <c r="B50" i="10"/>
  <c r="I12" i="12"/>
  <c r="R8" i="12"/>
  <c r="AC10" i="12" l="1"/>
  <c r="AB9" i="12"/>
  <c r="I52" i="10"/>
  <c r="J52" i="10" s="1"/>
  <c r="K52" i="10" s="1"/>
  <c r="L52" i="10" s="1"/>
  <c r="P51" i="10"/>
  <c r="Q51" i="10" s="1"/>
  <c r="N52" i="10"/>
  <c r="O52" i="10" s="1"/>
  <c r="F60" i="10"/>
  <c r="G60" i="10" s="1"/>
  <c r="D61" i="10"/>
  <c r="E61" i="10" s="1"/>
  <c r="B51" i="10"/>
  <c r="I11" i="12"/>
  <c r="R7" i="12"/>
  <c r="AC9" i="12" l="1"/>
  <c r="AB8" i="12"/>
  <c r="P52" i="10"/>
  <c r="Q52" i="10" s="1"/>
  <c r="I53" i="10"/>
  <c r="J53" i="10" s="1"/>
  <c r="N53" i="10"/>
  <c r="O53" i="10" s="1"/>
  <c r="P53" i="10" s="1"/>
  <c r="Q53" i="10" s="1"/>
  <c r="F61" i="10"/>
  <c r="G61" i="10" s="1"/>
  <c r="D62" i="10"/>
  <c r="E62" i="10" s="1"/>
  <c r="B52" i="10"/>
  <c r="R6" i="12"/>
  <c r="I10" i="12"/>
  <c r="AC8" i="12" l="1"/>
  <c r="AB7" i="12"/>
  <c r="K53" i="10"/>
  <c r="L53" i="10" s="1"/>
  <c r="I54" i="10"/>
  <c r="J54" i="10" s="1"/>
  <c r="K54" i="10" s="1"/>
  <c r="L54" i="10" s="1"/>
  <c r="N54" i="10"/>
  <c r="O54" i="10" s="1"/>
  <c r="P54" i="10" s="1"/>
  <c r="Q54" i="10" s="1"/>
  <c r="F62" i="10"/>
  <c r="G62" i="10" s="1"/>
  <c r="D63" i="10"/>
  <c r="E63" i="10" s="1"/>
  <c r="B53" i="10"/>
  <c r="R5" i="12"/>
  <c r="I9" i="12"/>
  <c r="AC7" i="12" l="1"/>
  <c r="AB6" i="12"/>
  <c r="I55" i="10"/>
  <c r="J55" i="10" s="1"/>
  <c r="K55" i="10" s="1"/>
  <c r="L55" i="10" s="1"/>
  <c r="N55" i="10"/>
  <c r="O55" i="10" s="1"/>
  <c r="F63" i="10"/>
  <c r="G63" i="10" s="1"/>
  <c r="D64" i="10"/>
  <c r="E64" i="10" s="1"/>
  <c r="B54" i="10"/>
  <c r="I8" i="12"/>
  <c r="R3" i="12"/>
  <c r="R4" i="12"/>
  <c r="AC6" i="12" l="1"/>
  <c r="AB5" i="12"/>
  <c r="P55" i="10"/>
  <c r="Q55" i="10" s="1"/>
  <c r="I56" i="10"/>
  <c r="J56" i="10" s="1"/>
  <c r="K56" i="10" s="1"/>
  <c r="L56" i="10" s="1"/>
  <c r="N56" i="10"/>
  <c r="O56" i="10" s="1"/>
  <c r="P56" i="10" s="1"/>
  <c r="Q56" i="10" s="1"/>
  <c r="F64" i="10"/>
  <c r="G64" i="10" s="1"/>
  <c r="D65" i="10"/>
  <c r="E65" i="10" s="1"/>
  <c r="B55" i="10"/>
  <c r="I7" i="12"/>
  <c r="AC5" i="12" l="1"/>
  <c r="AB4" i="12"/>
  <c r="I57" i="10"/>
  <c r="J57" i="10" s="1"/>
  <c r="K57" i="10" s="1"/>
  <c r="L57" i="10" s="1"/>
  <c r="N57" i="10"/>
  <c r="O57" i="10" s="1"/>
  <c r="F65" i="10"/>
  <c r="G65" i="10" s="1"/>
  <c r="D66" i="10"/>
  <c r="E66" i="10" s="1"/>
  <c r="B56" i="10"/>
  <c r="I6" i="12"/>
  <c r="AC4" i="12" l="1"/>
  <c r="AB3" i="12"/>
  <c r="AC3" i="12" s="1"/>
  <c r="P57" i="10"/>
  <c r="Q57" i="10" s="1"/>
  <c r="I58" i="10"/>
  <c r="J58" i="10" s="1"/>
  <c r="K58" i="10" s="1"/>
  <c r="L58" i="10" s="1"/>
  <c r="N58" i="10"/>
  <c r="O58" i="10" s="1"/>
  <c r="P58" i="10" s="1"/>
  <c r="Q58" i="10" s="1"/>
  <c r="F66" i="10"/>
  <c r="G66" i="10" s="1"/>
  <c r="D67" i="10"/>
  <c r="E67" i="10" s="1"/>
  <c r="F67" i="10" s="1"/>
  <c r="G67" i="10" s="1"/>
  <c r="B57" i="10"/>
  <c r="I5" i="12"/>
  <c r="I59" i="10" l="1"/>
  <c r="J59" i="10" s="1"/>
  <c r="K59" i="10" s="1"/>
  <c r="L59" i="10" s="1"/>
  <c r="N59" i="10"/>
  <c r="O59" i="10" s="1"/>
  <c r="D68" i="10"/>
  <c r="E68" i="10" s="1"/>
  <c r="B58" i="10"/>
  <c r="I4" i="12"/>
  <c r="I3" i="12"/>
  <c r="I60" i="10" l="1"/>
  <c r="J60" i="10" s="1"/>
  <c r="N60" i="10"/>
  <c r="O60" i="10" s="1"/>
  <c r="P59" i="10"/>
  <c r="Q59" i="10" s="1"/>
  <c r="F68" i="10"/>
  <c r="G68" i="10" s="1"/>
  <c r="D69" i="10"/>
  <c r="E69" i="10" s="1"/>
  <c r="B59" i="10"/>
  <c r="K60" i="10" l="1"/>
  <c r="L60" i="10" s="1"/>
  <c r="I61" i="10"/>
  <c r="J61" i="10" s="1"/>
  <c r="K61" i="10" s="1"/>
  <c r="L61" i="10" s="1"/>
  <c r="N61" i="10"/>
  <c r="O61" i="10" s="1"/>
  <c r="P60" i="10"/>
  <c r="Q60" i="10" s="1"/>
  <c r="F69" i="10"/>
  <c r="G69" i="10" s="1"/>
  <c r="B60" i="10"/>
  <c r="I62" i="10" l="1"/>
  <c r="J62" i="10" s="1"/>
  <c r="K62" i="10" s="1"/>
  <c r="L62" i="10" s="1"/>
  <c r="P61" i="10"/>
  <c r="Q61" i="10" s="1"/>
  <c r="N62" i="10"/>
  <c r="O62" i="10" s="1"/>
  <c r="B61" i="10"/>
  <c r="I63" i="10" l="1"/>
  <c r="J63" i="10" s="1"/>
  <c r="N63" i="10"/>
  <c r="O63" i="10" s="1"/>
  <c r="P62" i="10"/>
  <c r="Q62" i="10" s="1"/>
  <c r="B62" i="10"/>
  <c r="I64" i="10" l="1"/>
  <c r="J64" i="10" s="1"/>
  <c r="K63" i="10"/>
  <c r="L63" i="10" s="1"/>
  <c r="P63" i="10"/>
  <c r="Q63" i="10" s="1"/>
  <c r="N64" i="10"/>
  <c r="O64" i="10" s="1"/>
  <c r="B63" i="10"/>
  <c r="K64" i="10" l="1"/>
  <c r="L64" i="10" s="1"/>
  <c r="I65" i="10"/>
  <c r="J65" i="10" s="1"/>
  <c r="K65" i="10" s="1"/>
  <c r="L65" i="10" s="1"/>
  <c r="N65" i="10"/>
  <c r="O65" i="10" s="1"/>
  <c r="P64" i="10"/>
  <c r="Q64" i="10" s="1"/>
  <c r="B64" i="10"/>
  <c r="P65" i="10" l="1"/>
  <c r="Q65" i="10" s="1"/>
  <c r="I66" i="10"/>
  <c r="J66" i="10" s="1"/>
  <c r="K66" i="10" s="1"/>
  <c r="L66" i="10" s="1"/>
  <c r="N66" i="10"/>
  <c r="O66" i="10" s="1"/>
  <c r="B65" i="10"/>
  <c r="I67" i="10" l="1"/>
  <c r="J67" i="10" s="1"/>
  <c r="P66" i="10"/>
  <c r="Q66" i="10" s="1"/>
  <c r="N67" i="10"/>
  <c r="O67" i="10" s="1"/>
  <c r="P67" i="10" s="1"/>
  <c r="Q67" i="10" s="1"/>
  <c r="B66" i="10"/>
  <c r="K67" i="10" l="1"/>
  <c r="L67" i="10" s="1"/>
  <c r="I68" i="10"/>
  <c r="J68" i="10" s="1"/>
  <c r="N68" i="10"/>
  <c r="O68" i="10" s="1"/>
  <c r="P68" i="10" s="1"/>
  <c r="Q68" i="10" s="1"/>
  <c r="B67" i="10"/>
  <c r="K68" i="10" l="1"/>
  <c r="L68" i="10" s="1"/>
  <c r="I69" i="10"/>
  <c r="J69" i="10" s="1"/>
  <c r="N69" i="10"/>
  <c r="O69" i="10" s="1"/>
  <c r="B68" i="10"/>
  <c r="K69" i="10" l="1"/>
  <c r="P69" i="10"/>
  <c r="AD22" i="12"/>
  <c r="AE22" i="12" s="1"/>
  <c r="AD19" i="12"/>
  <c r="AE19" i="12" s="1"/>
  <c r="K4" i="5"/>
  <c r="K4" i="4"/>
  <c r="K3" i="4"/>
  <c r="Q4" i="13" l="1"/>
  <c r="S4" i="13" s="1"/>
  <c r="K4" i="13"/>
  <c r="M4" i="13" s="1"/>
  <c r="O73" i="12"/>
  <c r="P73" i="12" s="1"/>
  <c r="U73" i="12" s="1"/>
  <c r="O77" i="12"/>
  <c r="P77" i="12" s="1"/>
  <c r="U77" i="12" s="1"/>
  <c r="O81" i="12"/>
  <c r="P81" i="12" s="1"/>
  <c r="U81" i="12" s="1"/>
  <c r="O85" i="12"/>
  <c r="P85" i="12" s="1"/>
  <c r="U85" i="12" s="1"/>
  <c r="O89" i="12"/>
  <c r="P89" i="12" s="1"/>
  <c r="U89" i="12" s="1"/>
  <c r="O70" i="12"/>
  <c r="P70" i="12" s="1"/>
  <c r="U70" i="12" s="1"/>
  <c r="O78" i="12"/>
  <c r="P78" i="12" s="1"/>
  <c r="U78" i="12" s="1"/>
  <c r="O86" i="12"/>
  <c r="P86" i="12" s="1"/>
  <c r="U86" i="12" s="1"/>
  <c r="O71" i="12"/>
  <c r="P71" i="12" s="1"/>
  <c r="U71" i="12" s="1"/>
  <c r="O79" i="12"/>
  <c r="P79" i="12" s="1"/>
  <c r="U79" i="12" s="1"/>
  <c r="O83" i="12"/>
  <c r="P83" i="12" s="1"/>
  <c r="U83" i="12" s="1"/>
  <c r="O87" i="12"/>
  <c r="P87" i="12" s="1"/>
  <c r="U87" i="12" s="1"/>
  <c r="O72" i="12"/>
  <c r="P72" i="12" s="1"/>
  <c r="U72" i="12" s="1"/>
  <c r="O76" i="12"/>
  <c r="P76" i="12" s="1"/>
  <c r="U76" i="12" s="1"/>
  <c r="O80" i="12"/>
  <c r="P80" i="12" s="1"/>
  <c r="U80" i="12" s="1"/>
  <c r="O84" i="12"/>
  <c r="P84" i="12" s="1"/>
  <c r="U84" i="12" s="1"/>
  <c r="O88" i="12"/>
  <c r="P88" i="12" s="1"/>
  <c r="U88" i="12" s="1"/>
  <c r="O92" i="12"/>
  <c r="P92" i="12" s="1"/>
  <c r="U92" i="12" s="1"/>
  <c r="O74" i="12"/>
  <c r="P74" i="12" s="1"/>
  <c r="U74" i="12" s="1"/>
  <c r="O82" i="12"/>
  <c r="P82" i="12" s="1"/>
  <c r="U82" i="12" s="1"/>
  <c r="O90" i="12"/>
  <c r="P90" i="12" s="1"/>
  <c r="U90" i="12" s="1"/>
  <c r="O75" i="12"/>
  <c r="P75" i="12" s="1"/>
  <c r="U75" i="12" s="1"/>
  <c r="O91" i="12"/>
  <c r="P91" i="12" s="1"/>
  <c r="U91" i="12" s="1"/>
  <c r="Z7" i="12"/>
  <c r="AA7" i="12" s="1"/>
  <c r="Z3" i="12"/>
  <c r="Z87" i="12"/>
  <c r="Z88" i="12"/>
  <c r="Z89" i="12"/>
  <c r="Z91" i="12"/>
  <c r="Z90" i="12"/>
  <c r="Z92" i="12"/>
  <c r="Z70" i="12"/>
  <c r="Z76" i="12"/>
  <c r="Z78" i="12"/>
  <c r="Z84" i="12"/>
  <c r="Z86" i="12"/>
  <c r="Z71" i="12"/>
  <c r="Z77" i="12"/>
  <c r="Z79" i="12"/>
  <c r="Z85" i="12"/>
  <c r="Z72" i="12"/>
  <c r="Z74" i="12"/>
  <c r="Z80" i="12"/>
  <c r="Z82" i="12"/>
  <c r="Z73" i="12"/>
  <c r="Z75" i="12"/>
  <c r="Z81" i="12"/>
  <c r="Z83" i="12"/>
  <c r="L4" i="5"/>
  <c r="L3" i="4"/>
  <c r="L4" i="4"/>
  <c r="O61" i="12"/>
  <c r="P61" i="12" s="1"/>
  <c r="O65" i="12"/>
  <c r="P65" i="12" s="1"/>
  <c r="O62" i="12"/>
  <c r="P62" i="12" s="1"/>
  <c r="O57" i="12"/>
  <c r="P57" i="12" s="1"/>
  <c r="O53" i="12"/>
  <c r="P53" i="12" s="1"/>
  <c r="O49" i="12"/>
  <c r="P49" i="12" s="1"/>
  <c r="O45" i="12"/>
  <c r="P45" i="12" s="1"/>
  <c r="O41" i="12"/>
  <c r="P41" i="12" s="1"/>
  <c r="O37" i="12"/>
  <c r="P37" i="12" s="1"/>
  <c r="O33" i="12"/>
  <c r="P33" i="12" s="1"/>
  <c r="O29" i="12"/>
  <c r="P29" i="12" s="1"/>
  <c r="O25" i="12"/>
  <c r="P25" i="12" s="1"/>
  <c r="O21" i="12"/>
  <c r="P21" i="12" s="1"/>
  <c r="O17" i="12"/>
  <c r="P17" i="12" s="1"/>
  <c r="O13" i="12"/>
  <c r="P13" i="12" s="1"/>
  <c r="O9" i="12"/>
  <c r="P9" i="12" s="1"/>
  <c r="O5" i="12"/>
  <c r="P5" i="12" s="1"/>
  <c r="O46" i="12"/>
  <c r="P46" i="12" s="1"/>
  <c r="O38" i="12"/>
  <c r="P38" i="12" s="1"/>
  <c r="O30" i="12"/>
  <c r="P30" i="12" s="1"/>
  <c r="O22" i="12"/>
  <c r="P22" i="12" s="1"/>
  <c r="O14" i="12"/>
  <c r="P14" i="12" s="1"/>
  <c r="O10" i="12"/>
  <c r="P10" i="12" s="1"/>
  <c r="O69" i="12"/>
  <c r="P69" i="12" s="1"/>
  <c r="O60" i="12"/>
  <c r="P60" i="12" s="1"/>
  <c r="O68" i="12"/>
  <c r="P68" i="12" s="1"/>
  <c r="O56" i="12"/>
  <c r="P56" i="12" s="1"/>
  <c r="O52" i="12"/>
  <c r="P52" i="12" s="1"/>
  <c r="O48" i="12"/>
  <c r="P48" i="12" s="1"/>
  <c r="O44" i="12"/>
  <c r="P44" i="12" s="1"/>
  <c r="O40" i="12"/>
  <c r="P40" i="12" s="1"/>
  <c r="O36" i="12"/>
  <c r="P36" i="12" s="1"/>
  <c r="O32" i="12"/>
  <c r="P32" i="12" s="1"/>
  <c r="O28" i="12"/>
  <c r="P28" i="12" s="1"/>
  <c r="O24" i="12"/>
  <c r="P24" i="12" s="1"/>
  <c r="O20" i="12"/>
  <c r="O16" i="12"/>
  <c r="P16" i="12" s="1"/>
  <c r="O12" i="12"/>
  <c r="P12" i="12" s="1"/>
  <c r="O8" i="12"/>
  <c r="P8" i="12" s="1"/>
  <c r="O4" i="12"/>
  <c r="P4" i="12" s="1"/>
  <c r="O15" i="12"/>
  <c r="P15" i="12" s="1"/>
  <c r="O11" i="12"/>
  <c r="P11" i="12" s="1"/>
  <c r="O7" i="12"/>
  <c r="P7" i="12" s="1"/>
  <c r="O3" i="12"/>
  <c r="P3" i="12" s="1"/>
  <c r="L69" i="10"/>
  <c r="O66" i="12"/>
  <c r="P66" i="12" s="1"/>
  <c r="O58" i="12"/>
  <c r="P58" i="12" s="1"/>
  <c r="O54" i="12"/>
  <c r="P54" i="12" s="1"/>
  <c r="O64" i="12"/>
  <c r="P64" i="12" s="1"/>
  <c r="O67" i="12"/>
  <c r="P67" i="12" s="1"/>
  <c r="O59" i="12"/>
  <c r="P59" i="12" s="1"/>
  <c r="O55" i="12"/>
  <c r="P55" i="12" s="1"/>
  <c r="O51" i="12"/>
  <c r="P51" i="12" s="1"/>
  <c r="O47" i="12"/>
  <c r="P47" i="12" s="1"/>
  <c r="O43" i="12"/>
  <c r="P43" i="12" s="1"/>
  <c r="O39" i="12"/>
  <c r="P39" i="12" s="1"/>
  <c r="O35" i="12"/>
  <c r="P35" i="12" s="1"/>
  <c r="O31" i="12"/>
  <c r="P31" i="12" s="1"/>
  <c r="O27" i="12"/>
  <c r="P27" i="12" s="1"/>
  <c r="O23" i="12"/>
  <c r="P23" i="12" s="1"/>
  <c r="O19" i="12"/>
  <c r="P19" i="12" s="1"/>
  <c r="O63" i="12"/>
  <c r="P63" i="12" s="1"/>
  <c r="O50" i="12"/>
  <c r="P50" i="12" s="1"/>
  <c r="O42" i="12"/>
  <c r="P42" i="12" s="1"/>
  <c r="O34" i="12"/>
  <c r="P34" i="12" s="1"/>
  <c r="O26" i="12"/>
  <c r="P26" i="12" s="1"/>
  <c r="O18" i="12"/>
  <c r="P18" i="12" s="1"/>
  <c r="O6" i="12"/>
  <c r="P6" i="12" s="1"/>
  <c r="Q69" i="10"/>
  <c r="Z61" i="12"/>
  <c r="AA61" i="12" s="1"/>
  <c r="Z50" i="12"/>
  <c r="AA50" i="12" s="1"/>
  <c r="Z51" i="12"/>
  <c r="AA51" i="12" s="1"/>
  <c r="Z69" i="12"/>
  <c r="AA69" i="12" s="1"/>
  <c r="Z59" i="12"/>
  <c r="AA59" i="12" s="1"/>
  <c r="Z64" i="12"/>
  <c r="AA64" i="12" s="1"/>
  <c r="Z57" i="12"/>
  <c r="AA57" i="12" s="1"/>
  <c r="Z38" i="12"/>
  <c r="AA38" i="12" s="1"/>
  <c r="Z34" i="12"/>
  <c r="AA34" i="12" s="1"/>
  <c r="Z30" i="12"/>
  <c r="AA30" i="12" s="1"/>
  <c r="Z26" i="12"/>
  <c r="AA26" i="12" s="1"/>
  <c r="Z22" i="12"/>
  <c r="Z18" i="12"/>
  <c r="AA18" i="12" s="1"/>
  <c r="Z14" i="12"/>
  <c r="AA14" i="12" s="1"/>
  <c r="Z10" i="12"/>
  <c r="AA10" i="12" s="1"/>
  <c r="Z6" i="12"/>
  <c r="AA6" i="12" s="1"/>
  <c r="Z35" i="12"/>
  <c r="AA35" i="12" s="1"/>
  <c r="Z27" i="12"/>
  <c r="AA27" i="12" s="1"/>
  <c r="Z19" i="12"/>
  <c r="Z11" i="12"/>
  <c r="AA11" i="12" s="1"/>
  <c r="Z56" i="12"/>
  <c r="AA56" i="12" s="1"/>
  <c r="Z60" i="12"/>
  <c r="AA60" i="12" s="1"/>
  <c r="Z53" i="12"/>
  <c r="AA53" i="12" s="1"/>
  <c r="Z52" i="12"/>
  <c r="AA52" i="12" s="1"/>
  <c r="Z66" i="12"/>
  <c r="AA66" i="12" s="1"/>
  <c r="Z48" i="12"/>
  <c r="AA48" i="12" s="1"/>
  <c r="Z49" i="12"/>
  <c r="AA49" i="12" s="1"/>
  <c r="Z43" i="12"/>
  <c r="AA43" i="12" s="1"/>
  <c r="Z37" i="12"/>
  <c r="AA37" i="12" s="1"/>
  <c r="Z33" i="12"/>
  <c r="AA33" i="12" s="1"/>
  <c r="Z29" i="12"/>
  <c r="AA29" i="12" s="1"/>
  <c r="Z25" i="12"/>
  <c r="AA25" i="12" s="1"/>
  <c r="Z21" i="12"/>
  <c r="Z17" i="12"/>
  <c r="AA17" i="12" s="1"/>
  <c r="Z13" i="12"/>
  <c r="AA13" i="12" s="1"/>
  <c r="Z9" i="12"/>
  <c r="AA9" i="12" s="1"/>
  <c r="Z5" i="12"/>
  <c r="AA5" i="12" s="1"/>
  <c r="Z68" i="12"/>
  <c r="AA68" i="12" s="1"/>
  <c r="Z42" i="12"/>
  <c r="AA42" i="12" s="1"/>
  <c r="Z62" i="12"/>
  <c r="AA62" i="12" s="1"/>
  <c r="Z67" i="12"/>
  <c r="AA67" i="12" s="1"/>
  <c r="Z47" i="12"/>
  <c r="AA47" i="12" s="1"/>
  <c r="Z63" i="12"/>
  <c r="AA63" i="12" s="1"/>
  <c r="Z41" i="12"/>
  <c r="AA41" i="12" s="1"/>
  <c r="Z55" i="12"/>
  <c r="AA55" i="12" s="1"/>
  <c r="Z46" i="12"/>
  <c r="AA46" i="12" s="1"/>
  <c r="Z65" i="12"/>
  <c r="AA65" i="12" s="1"/>
  <c r="Z45" i="12"/>
  <c r="AA45" i="12" s="1"/>
  <c r="Z54" i="12"/>
  <c r="AA54" i="12" s="1"/>
  <c r="Z58" i="12"/>
  <c r="AA58" i="12" s="1"/>
  <c r="Z44" i="12"/>
  <c r="AA44" i="12" s="1"/>
  <c r="Z40" i="12"/>
  <c r="AA40" i="12" s="1"/>
  <c r="Z36" i="12"/>
  <c r="AA36" i="12" s="1"/>
  <c r="Z32" i="12"/>
  <c r="AA32" i="12" s="1"/>
  <c r="Z28" i="12"/>
  <c r="AA28" i="12" s="1"/>
  <c r="Z24" i="12"/>
  <c r="AA24" i="12" s="1"/>
  <c r="Z20" i="12"/>
  <c r="AA20" i="12" s="1"/>
  <c r="Z16" i="12"/>
  <c r="AA16" i="12" s="1"/>
  <c r="Z12" i="12"/>
  <c r="AA12" i="12" s="1"/>
  <c r="Z8" i="12"/>
  <c r="AA8" i="12" s="1"/>
  <c r="Z4" i="12"/>
  <c r="AA4" i="12" s="1"/>
  <c r="Z39" i="12"/>
  <c r="AA39" i="12" s="1"/>
  <c r="Z31" i="12"/>
  <c r="AA31" i="12" s="1"/>
  <c r="Z23" i="12"/>
  <c r="AA23" i="12" s="1"/>
  <c r="Z15" i="12"/>
  <c r="AA15" i="12" s="1"/>
  <c r="AD26" i="12"/>
  <c r="AE26" i="12" s="1"/>
  <c r="AD30" i="12"/>
  <c r="AE30" i="12" s="1"/>
  <c r="AD17" i="12"/>
  <c r="AE17" i="12" s="1"/>
  <c r="AD38" i="12"/>
  <c r="AE38" i="12" s="1"/>
  <c r="AD42" i="12"/>
  <c r="AE42" i="12" s="1"/>
  <c r="AD46" i="12"/>
  <c r="AE46" i="12" s="1"/>
  <c r="AD50" i="12"/>
  <c r="AE50" i="12" s="1"/>
  <c r="AD54" i="12"/>
  <c r="AE54" i="12" s="1"/>
  <c r="AD58" i="12"/>
  <c r="AE58" i="12" s="1"/>
  <c r="AD62" i="12"/>
  <c r="AE62" i="12" s="1"/>
  <c r="AD66" i="12"/>
  <c r="AE66" i="12" s="1"/>
  <c r="AD15" i="12"/>
  <c r="AE15" i="12" s="1"/>
  <c r="AD34" i="12"/>
  <c r="AE34" i="12" s="1"/>
  <c r="AD24" i="12"/>
  <c r="AE24" i="12" s="1"/>
  <c r="AD28" i="12"/>
  <c r="AE28" i="12" s="1"/>
  <c r="AD32" i="12"/>
  <c r="AE32" i="12" s="1"/>
  <c r="AD36" i="12"/>
  <c r="AE36" i="12" s="1"/>
  <c r="AD40" i="12"/>
  <c r="AE40" i="12" s="1"/>
  <c r="AD44" i="12"/>
  <c r="AE44" i="12" s="1"/>
  <c r="AD48" i="12"/>
  <c r="AE48" i="12" s="1"/>
  <c r="AD52" i="12"/>
  <c r="AE52" i="12" s="1"/>
  <c r="AD56" i="12"/>
  <c r="AE56" i="12" s="1"/>
  <c r="AD60" i="12"/>
  <c r="AE60" i="12" s="1"/>
  <c r="AD64" i="12"/>
  <c r="AE64" i="12" s="1"/>
  <c r="AD68" i="12"/>
  <c r="AE68" i="12" s="1"/>
  <c r="S23" i="12"/>
  <c r="T23" i="12" s="1"/>
  <c r="S24" i="12"/>
  <c r="T24" i="12" s="1"/>
  <c r="S28" i="12"/>
  <c r="T28" i="12" s="1"/>
  <c r="S40" i="12"/>
  <c r="T40" i="12" s="1"/>
  <c r="S44" i="12"/>
  <c r="T44" i="12" s="1"/>
  <c r="S56" i="12"/>
  <c r="T56" i="12" s="1"/>
  <c r="S60" i="12"/>
  <c r="T60" i="12" s="1"/>
  <c r="S62" i="12"/>
  <c r="T62" i="12" s="1"/>
  <c r="S22" i="12"/>
  <c r="T22" i="12" s="1"/>
  <c r="S26" i="12"/>
  <c r="T26" i="12" s="1"/>
  <c r="S30" i="12"/>
  <c r="T30" i="12" s="1"/>
  <c r="S42" i="12"/>
  <c r="T42" i="12" s="1"/>
  <c r="S46" i="12"/>
  <c r="T46" i="12" s="1"/>
  <c r="S58" i="12"/>
  <c r="T58" i="12" s="1"/>
  <c r="B69" i="10"/>
  <c r="P4" i="5"/>
  <c r="AD14" i="12"/>
  <c r="AE14" i="12" s="1"/>
  <c r="AD18" i="12"/>
  <c r="AE18" i="12" s="1"/>
  <c r="AD20" i="12"/>
  <c r="AE20" i="12" s="1"/>
  <c r="AD23" i="12"/>
  <c r="AE23" i="12" s="1"/>
  <c r="AD33" i="12"/>
  <c r="AE33" i="12" s="1"/>
  <c r="AD35" i="12"/>
  <c r="AE35" i="12" s="1"/>
  <c r="AD37" i="12"/>
  <c r="AE37" i="12" s="1"/>
  <c r="AD39" i="12"/>
  <c r="AE39" i="12" s="1"/>
  <c r="AD49" i="12"/>
  <c r="AE49" i="12" s="1"/>
  <c r="AD51" i="12"/>
  <c r="AE51" i="12" s="1"/>
  <c r="AD53" i="12"/>
  <c r="AE53" i="12" s="1"/>
  <c r="AD55" i="12"/>
  <c r="AE55" i="12" s="1"/>
  <c r="AD65" i="12"/>
  <c r="AE65" i="12" s="1"/>
  <c r="AD67" i="12"/>
  <c r="AE67" i="12" s="1"/>
  <c r="AD69" i="12"/>
  <c r="AE69" i="12" s="1"/>
  <c r="AD16" i="12"/>
  <c r="AE16" i="12" s="1"/>
  <c r="AD27" i="12"/>
  <c r="AE27" i="12" s="1"/>
  <c r="AD29" i="12"/>
  <c r="AE29" i="12" s="1"/>
  <c r="AD31" i="12"/>
  <c r="AE31" i="12" s="1"/>
  <c r="AD43" i="12"/>
  <c r="AE43" i="12" s="1"/>
  <c r="AD45" i="12"/>
  <c r="AE45" i="12" s="1"/>
  <c r="AD47" i="12"/>
  <c r="AE47" i="12" s="1"/>
  <c r="AD59" i="12"/>
  <c r="AE59" i="12" s="1"/>
  <c r="AD61" i="12"/>
  <c r="AE61" i="12" s="1"/>
  <c r="AD63" i="12"/>
  <c r="AE63" i="12" s="1"/>
  <c r="M4" i="4"/>
  <c r="S7" i="12"/>
  <c r="T7" i="12" s="1"/>
  <c r="S11" i="12"/>
  <c r="T11" i="12" s="1"/>
  <c r="S14" i="12"/>
  <c r="T14" i="12" s="1"/>
  <c r="S16" i="12"/>
  <c r="T16" i="12" s="1"/>
  <c r="S18" i="12"/>
  <c r="T18" i="12" s="1"/>
  <c r="S21" i="12"/>
  <c r="T21" i="12" s="1"/>
  <c r="S33" i="12"/>
  <c r="T33" i="12" s="1"/>
  <c r="S35" i="12"/>
  <c r="T35" i="12" s="1"/>
  <c r="S37" i="12"/>
  <c r="T37" i="12" s="1"/>
  <c r="S39" i="12"/>
  <c r="T39" i="12" s="1"/>
  <c r="S49" i="12"/>
  <c r="T49" i="12" s="1"/>
  <c r="S51" i="12"/>
  <c r="T51" i="12" s="1"/>
  <c r="S53" i="12"/>
  <c r="T53" i="12" s="1"/>
  <c r="S55" i="12"/>
  <c r="T55" i="12" s="1"/>
  <c r="S65" i="12"/>
  <c r="T65" i="12" s="1"/>
  <c r="S67" i="12"/>
  <c r="T67" i="12" s="1"/>
  <c r="S69" i="12"/>
  <c r="T69" i="12" s="1"/>
  <c r="P4" i="4"/>
  <c r="S17" i="12"/>
  <c r="T17" i="12" s="1"/>
  <c r="S19" i="12"/>
  <c r="T19" i="12" s="1"/>
  <c r="S29" i="12"/>
  <c r="T29" i="12" s="1"/>
  <c r="S31" i="12"/>
  <c r="T31" i="12" s="1"/>
  <c r="S32" i="12"/>
  <c r="T32" i="12" s="1"/>
  <c r="S34" i="12"/>
  <c r="T34" i="12" s="1"/>
  <c r="S36" i="12"/>
  <c r="T36" i="12" s="1"/>
  <c r="S38" i="12"/>
  <c r="T38" i="12" s="1"/>
  <c r="S45" i="12"/>
  <c r="T45" i="12" s="1"/>
  <c r="S47" i="12"/>
  <c r="T47" i="12" s="1"/>
  <c r="S48" i="12"/>
  <c r="T48" i="12" s="1"/>
  <c r="S50" i="12"/>
  <c r="T50" i="12" s="1"/>
  <c r="S52" i="12"/>
  <c r="T52" i="12" s="1"/>
  <c r="S54" i="12"/>
  <c r="T54" i="12" s="1"/>
  <c r="S61" i="12"/>
  <c r="T61" i="12" s="1"/>
  <c r="S63" i="12"/>
  <c r="T63" i="12" s="1"/>
  <c r="S64" i="12"/>
  <c r="T64" i="12" s="1"/>
  <c r="S66" i="12"/>
  <c r="T66" i="12" s="1"/>
  <c r="S68" i="12"/>
  <c r="T68" i="12" s="1"/>
  <c r="M4" i="5"/>
  <c r="AD7" i="12"/>
  <c r="AE7" i="12" s="1"/>
  <c r="AD9" i="12"/>
  <c r="AE9" i="12" s="1"/>
  <c r="AD11" i="12"/>
  <c r="AE11" i="12" s="1"/>
  <c r="AD13" i="12"/>
  <c r="AE13" i="12" s="1"/>
  <c r="P3" i="4"/>
  <c r="M3" i="4"/>
  <c r="S4" i="12"/>
  <c r="T4" i="12" s="1"/>
  <c r="S8" i="12"/>
  <c r="T8" i="12" s="1"/>
  <c r="S12" i="12"/>
  <c r="T12" i="12" s="1"/>
  <c r="S15" i="12"/>
  <c r="T15" i="12" s="1"/>
  <c r="Z3" i="26" l="1"/>
  <c r="BP3" i="27"/>
  <c r="BJ3" i="27"/>
  <c r="Z3" i="27"/>
  <c r="AL3" i="27"/>
  <c r="T3" i="27"/>
  <c r="AX3" i="27"/>
  <c r="BD3" i="27"/>
  <c r="AR3" i="27"/>
  <c r="U3" i="27"/>
  <c r="AG3" i="27"/>
  <c r="BK3" i="27"/>
  <c r="BE3" i="27"/>
  <c r="AA3" i="27"/>
  <c r="AM3" i="27"/>
  <c r="BQ3" i="27"/>
  <c r="BR3" i="27" s="1"/>
  <c r="AY3" i="27"/>
  <c r="BW3" i="27"/>
  <c r="AS3" i="27"/>
  <c r="AF3" i="27"/>
  <c r="BV3" i="27"/>
  <c r="AA3" i="12"/>
  <c r="BP3" i="26"/>
  <c r="AL3" i="26"/>
  <c r="P20" i="12"/>
  <c r="U20" i="12" s="1"/>
  <c r="AA19" i="12"/>
  <c r="AF19" i="12" s="1"/>
  <c r="AA75" i="12"/>
  <c r="AF75" i="12" s="1"/>
  <c r="AA74" i="12"/>
  <c r="AF74" i="12" s="1"/>
  <c r="AA77" i="12"/>
  <c r="AF77" i="12" s="1"/>
  <c r="AA78" i="12"/>
  <c r="AF78" i="12" s="1"/>
  <c r="AA90" i="12"/>
  <c r="AF90" i="12" s="1"/>
  <c r="AA87" i="12"/>
  <c r="AF87" i="12" s="1"/>
  <c r="AA21" i="12"/>
  <c r="AF21" i="12" s="1"/>
  <c r="AA73" i="12"/>
  <c r="AF73" i="12" s="1"/>
  <c r="AA72" i="12"/>
  <c r="AF72" i="12" s="1"/>
  <c r="AA71" i="12"/>
  <c r="AF71" i="12" s="1"/>
  <c r="AA76" i="12"/>
  <c r="AF76" i="12" s="1"/>
  <c r="AA91" i="12"/>
  <c r="AF91" i="12" s="1"/>
  <c r="AA83" i="12"/>
  <c r="AF83" i="12" s="1"/>
  <c r="AA82" i="12"/>
  <c r="AF82" i="12" s="1"/>
  <c r="AA85" i="12"/>
  <c r="AF85" i="12" s="1"/>
  <c r="AA86" i="12"/>
  <c r="AF86" i="12" s="1"/>
  <c r="AA70" i="12"/>
  <c r="AF70" i="12" s="1"/>
  <c r="AA89" i="12"/>
  <c r="AF89" i="12" s="1"/>
  <c r="AA22" i="12"/>
  <c r="AF22" i="12" s="1"/>
  <c r="AA81" i="12"/>
  <c r="AF81" i="12" s="1"/>
  <c r="AA80" i="12"/>
  <c r="AF80" i="12" s="1"/>
  <c r="AA79" i="12"/>
  <c r="AF79" i="12" s="1"/>
  <c r="AA84" i="12"/>
  <c r="AF84" i="12" s="1"/>
  <c r="AA88" i="12"/>
  <c r="AF88" i="12" s="1"/>
  <c r="AA92" i="12"/>
  <c r="AF92" i="12" s="1"/>
  <c r="BD3" i="26"/>
  <c r="BJ3" i="26"/>
  <c r="AF3" i="26"/>
  <c r="BV3" i="26"/>
  <c r="AR3" i="26"/>
  <c r="T3" i="26"/>
  <c r="AX3" i="26"/>
  <c r="AD3" i="12"/>
  <c r="AE3" i="12" s="1"/>
  <c r="AS3" i="26"/>
  <c r="BE3" i="26"/>
  <c r="BK3" i="26"/>
  <c r="BW3" i="26"/>
  <c r="AY3" i="26"/>
  <c r="BQ3" i="26"/>
  <c r="AG3" i="26"/>
  <c r="AA3" i="26"/>
  <c r="U3" i="26"/>
  <c r="AM3" i="26"/>
  <c r="S3" i="12"/>
  <c r="T3" i="12" s="1"/>
  <c r="U3" i="12" s="1"/>
  <c r="U42" i="12"/>
  <c r="U61" i="12"/>
  <c r="U22" i="12"/>
  <c r="AF61" i="12"/>
  <c r="U11" i="12"/>
  <c r="U26" i="12"/>
  <c r="AF60" i="12"/>
  <c r="AF47" i="12"/>
  <c r="AF26" i="12"/>
  <c r="AF9" i="12"/>
  <c r="AF24" i="12"/>
  <c r="AF34" i="12"/>
  <c r="AF62" i="12"/>
  <c r="AF20" i="12"/>
  <c r="AF45" i="12"/>
  <c r="U38" i="12"/>
  <c r="U66" i="12"/>
  <c r="U15" i="12"/>
  <c r="U60" i="12"/>
  <c r="U40" i="12"/>
  <c r="U4" i="12"/>
  <c r="U69" i="12"/>
  <c r="U67" i="12"/>
  <c r="U63" i="12"/>
  <c r="U47" i="12"/>
  <c r="U31" i="12"/>
  <c r="U44" i="12"/>
  <c r="U64" i="12"/>
  <c r="U48" i="12"/>
  <c r="U32" i="12"/>
  <c r="U53" i="12"/>
  <c r="U37" i="12"/>
  <c r="U19" i="12"/>
  <c r="U34" i="12"/>
  <c r="U51" i="12"/>
  <c r="U35" i="12"/>
  <c r="U21" i="12"/>
  <c r="U16" i="12"/>
  <c r="U12" i="12"/>
  <c r="U17" i="12"/>
  <c r="U65" i="12"/>
  <c r="U49" i="12"/>
  <c r="U33" i="12"/>
  <c r="U18" i="12"/>
  <c r="U7" i="12"/>
  <c r="U46" i="12"/>
  <c r="U68" i="12"/>
  <c r="U14" i="12"/>
  <c r="U28" i="12"/>
  <c r="AF15" i="12"/>
  <c r="U8" i="12"/>
  <c r="U50" i="12"/>
  <c r="U58" i="12"/>
  <c r="U62" i="12"/>
  <c r="U45" i="12"/>
  <c r="U29" i="12"/>
  <c r="U56" i="12"/>
  <c r="U24" i="12"/>
  <c r="U23" i="12"/>
  <c r="N3" i="4"/>
  <c r="O3" i="4" s="1"/>
  <c r="U54" i="12"/>
  <c r="U55" i="12"/>
  <c r="U39" i="12"/>
  <c r="U30" i="12"/>
  <c r="U52" i="12"/>
  <c r="U36" i="12"/>
  <c r="AF69" i="12"/>
  <c r="AF11" i="12"/>
  <c r="AF53" i="12"/>
  <c r="AF49" i="12"/>
  <c r="AF28" i="12"/>
  <c r="AF29" i="12"/>
  <c r="AF42" i="12"/>
  <c r="AF38" i="12"/>
  <c r="AF30" i="12"/>
  <c r="AF67" i="12"/>
  <c r="AF37" i="12"/>
  <c r="AF18" i="12"/>
  <c r="AF66" i="12"/>
  <c r="AF50" i="12"/>
  <c r="AF14" i="12"/>
  <c r="AF13" i="12"/>
  <c r="AF63" i="12"/>
  <c r="AF43" i="12"/>
  <c r="AF31" i="12"/>
  <c r="AF27" i="12"/>
  <c r="AF65" i="12"/>
  <c r="AF35" i="12"/>
  <c r="AF23" i="12"/>
  <c r="AF64" i="12"/>
  <c r="AF56" i="12"/>
  <c r="AF52" i="12"/>
  <c r="AF44" i="12"/>
  <c r="AF40" i="12"/>
  <c r="AF36" i="12"/>
  <c r="AF33" i="12"/>
  <c r="AF54" i="12"/>
  <c r="AF59" i="12"/>
  <c r="AF55" i="12"/>
  <c r="AF51" i="12"/>
  <c r="AF58" i="12"/>
  <c r="AF46" i="12"/>
  <c r="AF17" i="12"/>
  <c r="AF16" i="12"/>
  <c r="AF68" i="12"/>
  <c r="AF48" i="12"/>
  <c r="AF32" i="12"/>
  <c r="AF7" i="12"/>
  <c r="AF39" i="12"/>
  <c r="AD25" i="12"/>
  <c r="AE25" i="12" s="1"/>
  <c r="AF25" i="12" s="1"/>
  <c r="AD8" i="12"/>
  <c r="AE8" i="12" s="1"/>
  <c r="AF8" i="12" s="1"/>
  <c r="AD12" i="12"/>
  <c r="AE12" i="12" s="1"/>
  <c r="AF12" i="12" s="1"/>
  <c r="AD4" i="12"/>
  <c r="AE4" i="12" s="1"/>
  <c r="AF4" i="12" s="1"/>
  <c r="AD6" i="12"/>
  <c r="AE6" i="12" s="1"/>
  <c r="AF6" i="12" s="1"/>
  <c r="AD5" i="12"/>
  <c r="AE5" i="12" s="1"/>
  <c r="AF5" i="12" s="1"/>
  <c r="AD57" i="12"/>
  <c r="AE57" i="12" s="1"/>
  <c r="AF57" i="12" s="1"/>
  <c r="AD41" i="12"/>
  <c r="AE41" i="12" s="1"/>
  <c r="AF41" i="12" s="1"/>
  <c r="AD10" i="12"/>
  <c r="AE10" i="12" s="1"/>
  <c r="AF10" i="12" s="1"/>
  <c r="S6" i="12"/>
  <c r="T6" i="12" s="1"/>
  <c r="U6" i="12" s="1"/>
  <c r="S57" i="12"/>
  <c r="T57" i="12" s="1"/>
  <c r="U57" i="12" s="1"/>
  <c r="S41" i="12"/>
  <c r="T41" i="12" s="1"/>
  <c r="U41" i="12" s="1"/>
  <c r="S25" i="12"/>
  <c r="T25" i="12" s="1"/>
  <c r="U25" i="12" s="1"/>
  <c r="S13" i="12"/>
  <c r="T13" i="12" s="1"/>
  <c r="U13" i="12" s="1"/>
  <c r="S9" i="12"/>
  <c r="T9" i="12" s="1"/>
  <c r="U9" i="12" s="1"/>
  <c r="S5" i="12"/>
  <c r="T5" i="12" s="1"/>
  <c r="U5" i="12" s="1"/>
  <c r="S10" i="12"/>
  <c r="T10" i="12" s="1"/>
  <c r="U10" i="12" s="1"/>
  <c r="S59" i="12"/>
  <c r="T59" i="12" s="1"/>
  <c r="U59" i="12" s="1"/>
  <c r="S43" i="12"/>
  <c r="T43" i="12" s="1"/>
  <c r="U43" i="12" s="1"/>
  <c r="S27" i="12"/>
  <c r="T27" i="12" s="1"/>
  <c r="U27" i="12" s="1"/>
  <c r="N4" i="4"/>
  <c r="O4" i="4" s="1"/>
  <c r="N4" i="5"/>
  <c r="O4" i="5" s="1"/>
  <c r="AB3" i="26" l="1"/>
  <c r="BX3" i="27"/>
  <c r="AH3" i="27"/>
  <c r="AT3" i="27"/>
  <c r="AN3" i="27"/>
  <c r="BF3" i="27"/>
  <c r="AB3" i="27"/>
  <c r="AZ3" i="27"/>
  <c r="BL3" i="27"/>
  <c r="V3" i="27"/>
  <c r="AN3" i="26"/>
  <c r="AF3" i="12"/>
  <c r="BR3" i="26"/>
  <c r="AT3" i="26"/>
  <c r="BX3" i="26"/>
  <c r="AH3" i="26"/>
  <c r="BF3" i="26"/>
  <c r="BL3" i="26"/>
  <c r="AZ3" i="26"/>
  <c r="V3" i="26"/>
  <c r="G86" i="24" s="1"/>
  <c r="I4" i="11"/>
  <c r="I6" i="11"/>
  <c r="I3" i="11"/>
  <c r="B41" i="3" s="1"/>
  <c r="I5" i="11"/>
  <c r="E86" i="24" l="1"/>
  <c r="C86" i="24"/>
  <c r="D70" i="12"/>
  <c r="E70" i="12" s="1"/>
  <c r="J70" i="12" s="1"/>
  <c r="D71" i="12"/>
  <c r="E71" i="12" s="1"/>
  <c r="J71" i="12" s="1"/>
  <c r="D72" i="12"/>
  <c r="E72" i="12" s="1"/>
  <c r="J72" i="12" s="1"/>
  <c r="D73" i="12"/>
  <c r="E73" i="12" s="1"/>
  <c r="J73" i="12" s="1"/>
  <c r="D74" i="12"/>
  <c r="E74" i="12" s="1"/>
  <c r="J74" i="12" s="1"/>
  <c r="D75" i="12"/>
  <c r="E75" i="12" s="1"/>
  <c r="J75" i="12" s="1"/>
  <c r="D76" i="12"/>
  <c r="E76" i="12" s="1"/>
  <c r="J76" i="12" s="1"/>
  <c r="D77" i="12"/>
  <c r="E77" i="12" s="1"/>
  <c r="J77" i="12" s="1"/>
  <c r="D78" i="12"/>
  <c r="E78" i="12" s="1"/>
  <c r="J78" i="12" s="1"/>
  <c r="D79" i="12"/>
  <c r="E79" i="12" s="1"/>
  <c r="J79" i="12" s="1"/>
  <c r="D80" i="12"/>
  <c r="E80" i="12" s="1"/>
  <c r="J80" i="12" s="1"/>
  <c r="D81" i="12"/>
  <c r="E81" i="12" s="1"/>
  <c r="J81" i="12" s="1"/>
  <c r="D82" i="12"/>
  <c r="E82" i="12" s="1"/>
  <c r="J82" i="12" s="1"/>
  <c r="D83" i="12"/>
  <c r="E83" i="12" s="1"/>
  <c r="J83" i="12" s="1"/>
  <c r="D84" i="12"/>
  <c r="E84" i="12" s="1"/>
  <c r="J84" i="12" s="1"/>
  <c r="D85" i="12"/>
  <c r="E85" i="12" s="1"/>
  <c r="J85" i="12" s="1"/>
  <c r="D86" i="12"/>
  <c r="E86" i="12" s="1"/>
  <c r="J86" i="12" s="1"/>
  <c r="D87" i="12"/>
  <c r="E87" i="12" s="1"/>
  <c r="J87" i="12" s="1"/>
  <c r="D88" i="12"/>
  <c r="E88" i="12" s="1"/>
  <c r="J88" i="12" s="1"/>
  <c r="D89" i="12"/>
  <c r="E89" i="12" s="1"/>
  <c r="J89" i="12" s="1"/>
  <c r="D90" i="12"/>
  <c r="E90" i="12" s="1"/>
  <c r="J90" i="12" s="1"/>
  <c r="D91" i="12"/>
  <c r="E91" i="12" s="1"/>
  <c r="J91" i="12" s="1"/>
  <c r="D92" i="12"/>
  <c r="E92" i="12" s="1"/>
  <c r="J92" i="12" s="1"/>
  <c r="D51" i="12"/>
  <c r="E51" i="12" s="1"/>
  <c r="J51" i="12" s="1"/>
  <c r="D62" i="12"/>
  <c r="E62" i="12" s="1"/>
  <c r="J62" i="12" s="1"/>
  <c r="D66" i="12"/>
  <c r="E66" i="12" s="1"/>
  <c r="J66" i="12" s="1"/>
  <c r="D53" i="12"/>
  <c r="E53" i="12" s="1"/>
  <c r="J53" i="12" s="1"/>
  <c r="D61" i="12"/>
  <c r="E61" i="12" s="1"/>
  <c r="J61" i="12" s="1"/>
  <c r="D52" i="12"/>
  <c r="E52" i="12" s="1"/>
  <c r="J52" i="12" s="1"/>
  <c r="D49" i="12"/>
  <c r="E49" i="12" s="1"/>
  <c r="J49" i="12" s="1"/>
  <c r="D57" i="12"/>
  <c r="E57" i="12" s="1"/>
  <c r="J57" i="12" s="1"/>
  <c r="D60" i="12"/>
  <c r="E60" i="12" s="1"/>
  <c r="J60" i="12" s="1"/>
  <c r="D65" i="12"/>
  <c r="E65" i="12" s="1"/>
  <c r="J65" i="12" s="1"/>
  <c r="D59" i="12"/>
  <c r="E59" i="12" s="1"/>
  <c r="J59" i="12" s="1"/>
  <c r="D48" i="12"/>
  <c r="E48" i="12" s="1"/>
  <c r="J48" i="12" s="1"/>
  <c r="D69" i="12"/>
  <c r="E69" i="12" s="1"/>
  <c r="J69" i="12" s="1"/>
  <c r="D54" i="12"/>
  <c r="E54" i="12" s="1"/>
  <c r="J54" i="12" s="1"/>
  <c r="D55" i="12"/>
  <c r="E55" i="12" s="1"/>
  <c r="J55" i="12" s="1"/>
  <c r="D64" i="12"/>
  <c r="E64" i="12" s="1"/>
  <c r="J64" i="12" s="1"/>
  <c r="D56" i="12"/>
  <c r="E56" i="12" s="1"/>
  <c r="J56" i="12" s="1"/>
  <c r="D67" i="12"/>
  <c r="E67" i="12" s="1"/>
  <c r="J67" i="12" s="1"/>
  <c r="D68" i="12"/>
  <c r="E68" i="12" s="1"/>
  <c r="J68" i="12" s="1"/>
  <c r="D58" i="12"/>
  <c r="E58" i="12" s="1"/>
  <c r="J58" i="12" s="1"/>
  <c r="D63" i="12"/>
  <c r="E63" i="12" s="1"/>
  <c r="J63" i="12" s="1"/>
  <c r="D50" i="12"/>
  <c r="E50" i="12" s="1"/>
  <c r="J50" i="12" s="1"/>
  <c r="D47" i="12"/>
  <c r="E47" i="12" s="1"/>
  <c r="J47" i="12" s="1"/>
  <c r="D46" i="12"/>
  <c r="E46" i="12" s="1"/>
  <c r="J46" i="12" s="1"/>
  <c r="D45" i="12"/>
  <c r="E45" i="12" s="1"/>
  <c r="J45" i="12" s="1"/>
  <c r="D44" i="12"/>
  <c r="E44" i="12" s="1"/>
  <c r="J44" i="12" s="1"/>
  <c r="D43" i="12"/>
  <c r="E43" i="12" s="1"/>
  <c r="J43" i="12" s="1"/>
  <c r="D42" i="12"/>
  <c r="E42" i="12" s="1"/>
  <c r="J42" i="12" s="1"/>
  <c r="D41" i="12"/>
  <c r="E41" i="12" s="1"/>
  <c r="J41" i="12" s="1"/>
  <c r="D40" i="12"/>
  <c r="E40" i="12" s="1"/>
  <c r="J40" i="12" s="1"/>
  <c r="D39" i="12"/>
  <c r="E39" i="12" s="1"/>
  <c r="J39" i="12" s="1"/>
  <c r="D38" i="12"/>
  <c r="E38" i="12" s="1"/>
  <c r="J38" i="12" s="1"/>
  <c r="D37" i="12"/>
  <c r="E37" i="12" s="1"/>
  <c r="J37" i="12" s="1"/>
  <c r="D36" i="12"/>
  <c r="E36" i="12" s="1"/>
  <c r="J36" i="12" s="1"/>
  <c r="D35" i="12"/>
  <c r="E35" i="12" s="1"/>
  <c r="J35" i="12" s="1"/>
  <c r="D34" i="12"/>
  <c r="E34" i="12" s="1"/>
  <c r="J34" i="12" s="1"/>
  <c r="D33" i="12"/>
  <c r="E33" i="12" s="1"/>
  <c r="J33" i="12" s="1"/>
  <c r="D32" i="12"/>
  <c r="E32" i="12" s="1"/>
  <c r="J32" i="12" s="1"/>
  <c r="D31" i="12"/>
  <c r="E31" i="12" s="1"/>
  <c r="J31" i="12" s="1"/>
  <c r="D30" i="12"/>
  <c r="E30" i="12" s="1"/>
  <c r="J30" i="12" s="1"/>
  <c r="D29" i="12"/>
  <c r="E29" i="12" s="1"/>
  <c r="J29" i="12" s="1"/>
  <c r="D28" i="12"/>
  <c r="E28" i="12" s="1"/>
  <c r="J28" i="12" s="1"/>
  <c r="D27" i="12"/>
  <c r="E27" i="12" s="1"/>
  <c r="J27" i="12" s="1"/>
  <c r="D26" i="12"/>
  <c r="E26" i="12" s="1"/>
  <c r="J26" i="12" s="1"/>
  <c r="D25" i="12"/>
  <c r="E25" i="12" s="1"/>
  <c r="J25" i="12" s="1"/>
  <c r="D24" i="12"/>
  <c r="E24" i="12" s="1"/>
  <c r="J24" i="12" s="1"/>
  <c r="D23" i="12"/>
  <c r="E23" i="12" s="1"/>
  <c r="J23" i="12" s="1"/>
  <c r="D22" i="12"/>
  <c r="E22" i="12" s="1"/>
  <c r="J22" i="12" s="1"/>
  <c r="D21" i="12"/>
  <c r="E21" i="12" s="1"/>
  <c r="J21" i="12" s="1"/>
  <c r="D20" i="12"/>
  <c r="E20" i="12" s="1"/>
  <c r="J20" i="12" s="1"/>
  <c r="D19" i="12"/>
  <c r="E19" i="12" s="1"/>
  <c r="J19" i="12" s="1"/>
  <c r="D18" i="12"/>
  <c r="E18" i="12" s="1"/>
  <c r="J18" i="12" s="1"/>
  <c r="D17" i="12"/>
  <c r="E17" i="12" s="1"/>
  <c r="J17" i="12" s="1"/>
  <c r="D16" i="12"/>
  <c r="E16" i="12" s="1"/>
  <c r="J16" i="12" s="1"/>
  <c r="D15" i="12"/>
  <c r="E15" i="12" s="1"/>
  <c r="J15" i="12" s="1"/>
  <c r="D14" i="12"/>
  <c r="E14" i="12" s="1"/>
  <c r="J14" i="12" s="1"/>
  <c r="D13" i="12"/>
  <c r="E13" i="12" s="1"/>
  <c r="J13" i="12" s="1"/>
  <c r="D12" i="12"/>
  <c r="E12" i="12" s="1"/>
  <c r="J12" i="12" s="1"/>
  <c r="D11" i="12"/>
  <c r="E11" i="12" s="1"/>
  <c r="J11" i="12" s="1"/>
  <c r="D10" i="12"/>
  <c r="E10" i="12" s="1"/>
  <c r="J10" i="12" s="1"/>
  <c r="D9" i="12"/>
  <c r="E9" i="12" s="1"/>
  <c r="J9" i="12" s="1"/>
  <c r="D8" i="12"/>
  <c r="E8" i="12" s="1"/>
  <c r="J8" i="12" s="1"/>
  <c r="D7" i="12"/>
  <c r="E7" i="12" s="1"/>
  <c r="J7" i="12" s="1"/>
  <c r="D6" i="12"/>
  <c r="E6" i="12" s="1"/>
  <c r="J6" i="12" s="1"/>
  <c r="D5" i="12"/>
  <c r="E5" i="12" s="1"/>
  <c r="J5" i="12" s="1"/>
  <c r="D4" i="12"/>
  <c r="D3" i="12"/>
  <c r="E3" i="12" s="1"/>
  <c r="J3" i="12" l="1"/>
  <c r="E4" i="12"/>
  <c r="J4" i="12" s="1"/>
</calcChain>
</file>

<file path=xl/sharedStrings.xml><?xml version="1.0" encoding="utf-8"?>
<sst xmlns="http://schemas.openxmlformats.org/spreadsheetml/2006/main" count="873" uniqueCount="229">
  <si>
    <t>Mpa</t>
  </si>
  <si>
    <t>m</t>
  </si>
  <si>
    <t>kg</t>
  </si>
  <si>
    <t>pcs</t>
  </si>
  <si>
    <t>Section (m)</t>
  </si>
  <si>
    <t>Moment of Inertia (m^4)</t>
  </si>
  <si>
    <t>Area (m^2)</t>
  </si>
  <si>
    <t>Slenderness Ratio (KL/r) (m)</t>
  </si>
  <si>
    <t>Nacelle Design Parameters</t>
  </si>
  <si>
    <t>Tower Design Parameters</t>
  </si>
  <si>
    <t>Tower Height</t>
  </si>
  <si>
    <t>Tower Weight</t>
  </si>
  <si>
    <t>Nacelle Weight</t>
  </si>
  <si>
    <t>Rotor Weight</t>
  </si>
  <si>
    <t>Blade Count</t>
  </si>
  <si>
    <t>Rotor Diameter</t>
  </si>
  <si>
    <t>Hub Height</t>
  </si>
  <si>
    <t>Power Rate</t>
  </si>
  <si>
    <t>Power Output</t>
  </si>
  <si>
    <t>MW</t>
  </si>
  <si>
    <t>m/s</t>
  </si>
  <si>
    <t>D/t ratio</t>
  </si>
  <si>
    <t>13,000/Fy</t>
  </si>
  <si>
    <t>3,300/Fy</t>
  </si>
  <si>
    <t>Slenderness Ratio (KL/Rm) (m)</t>
  </si>
  <si>
    <t>Outer r           (m)</t>
  </si>
  <si>
    <t>Inner r (m)</t>
  </si>
  <si>
    <t>LOCAL BUCKLING - TROITSKY</t>
  </si>
  <si>
    <t>N</t>
  </si>
  <si>
    <t>Moment Arm for Dynamic (m)</t>
  </si>
  <si>
    <t>P</t>
  </si>
  <si>
    <t>A</t>
  </si>
  <si>
    <t>Moment (N*m)</t>
  </si>
  <si>
    <t>G</t>
  </si>
  <si>
    <t>F (N)</t>
  </si>
  <si>
    <t>Kips</t>
  </si>
  <si>
    <t>Section</t>
  </si>
  <si>
    <t>Buckling Parameters</t>
  </si>
  <si>
    <t>K</t>
  </si>
  <si>
    <t xml:space="preserve">Fy </t>
  </si>
  <si>
    <t>Ksi</t>
  </si>
  <si>
    <t>E</t>
  </si>
  <si>
    <t>FoS</t>
  </si>
  <si>
    <t>--</t>
  </si>
  <si>
    <t>Tower Design</t>
  </si>
  <si>
    <t>Avg. r (m)</t>
  </si>
  <si>
    <t>Radius of Gyration  (m)</t>
  </si>
  <si>
    <t>Outer r (m)</t>
  </si>
  <si>
    <t>Tilt Up Parameters</t>
  </si>
  <si>
    <t>Weight: W</t>
  </si>
  <si>
    <t>Total Length: L</t>
  </si>
  <si>
    <t>CoG: l</t>
  </si>
  <si>
    <t>CoG #1: l1</t>
  </si>
  <si>
    <t>Z (m)</t>
  </si>
  <si>
    <t>Wind Parameters</t>
  </si>
  <si>
    <r>
      <t>C</t>
    </r>
    <r>
      <rPr>
        <vertAlign val="subscript"/>
        <sz val="11"/>
        <color theme="1"/>
        <rFont val="Calibri"/>
        <family val="2"/>
        <scheme val="minor"/>
      </rPr>
      <t>f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</si>
  <si>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(mid of Z) </t>
    </r>
  </si>
  <si>
    <r>
      <t>k</t>
    </r>
    <r>
      <rPr>
        <vertAlign val="subscript"/>
        <sz val="11"/>
        <color theme="1"/>
        <rFont val="Calibri"/>
        <family val="2"/>
        <scheme val="minor"/>
      </rPr>
      <t>zt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</si>
  <si>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</si>
  <si>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r>
      <t>Velocity</t>
    </r>
    <r>
      <rPr>
        <vertAlign val="superscript"/>
        <sz val="11"/>
        <color theme="1"/>
        <rFont val="Calibri"/>
        <family val="2"/>
        <scheme val="minor"/>
      </rPr>
      <t>2</t>
    </r>
  </si>
  <si>
    <t>Dynamic Loading Parameters</t>
  </si>
  <si>
    <t>Each tower section</t>
  </si>
  <si>
    <t>kg/m</t>
  </si>
  <si>
    <t>Moment Arm for Wind (m)</t>
  </si>
  <si>
    <t>Magnification Factor</t>
  </si>
  <si>
    <t>Critical Wind Speed</t>
  </si>
  <si>
    <t>Max Wind Speed</t>
  </si>
  <si>
    <t>Average Wind Speed</t>
  </si>
  <si>
    <t>Minimum Wind Speed</t>
  </si>
  <si>
    <t>Tip Speed Ratio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</si>
  <si>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</si>
  <si>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t>Air Density</t>
  </si>
  <si>
    <t>kg/m^3</t>
  </si>
  <si>
    <t>Sweep Area</t>
  </si>
  <si>
    <t>m^2</t>
  </si>
  <si>
    <t>Tip Speeds (m/s)</t>
  </si>
  <si>
    <t>Ranges</t>
  </si>
  <si>
    <t>Critical</t>
  </si>
  <si>
    <t>Max</t>
  </si>
  <si>
    <t>Average</t>
  </si>
  <si>
    <t>Min</t>
  </si>
  <si>
    <t>Period (s/rev)</t>
  </si>
  <si>
    <t>RPM</t>
  </si>
  <si>
    <t>Freq of Force (rev/s) (Hz)</t>
  </si>
  <si>
    <t>Power (W)</t>
  </si>
  <si>
    <t>Bending Stress (Mpa)</t>
  </si>
  <si>
    <t>Multiple for Each Section Wt</t>
  </si>
  <si>
    <t>Axial Bending (Mpa)</t>
  </si>
  <si>
    <t>Combined Stress (Mpa)</t>
  </si>
  <si>
    <r>
      <t>k</t>
    </r>
    <r>
      <rPr>
        <b/>
        <vertAlign val="subscript"/>
        <sz val="11"/>
        <rFont val="Calibri"/>
        <family val="2"/>
        <scheme val="minor"/>
      </rPr>
      <t>z</t>
    </r>
  </si>
  <si>
    <r>
      <t>q</t>
    </r>
    <r>
      <rPr>
        <b/>
        <vertAlign val="subscript"/>
        <sz val="11"/>
        <rFont val="Calibri"/>
        <family val="2"/>
        <scheme val="minor"/>
      </rPr>
      <t>z</t>
    </r>
  </si>
  <si>
    <t>Static Load (N)</t>
  </si>
  <si>
    <t>Thrust (N)</t>
  </si>
  <si>
    <t>Dynamic Load as a Single Static Load</t>
  </si>
  <si>
    <t>Moment</t>
  </si>
  <si>
    <t>Dead Weight multiply factor</t>
  </si>
  <si>
    <t>Moment Arm for dead weight</t>
  </si>
  <si>
    <t>Moment arm for Fy , Fx</t>
  </si>
  <si>
    <t>Theta (deg)</t>
  </si>
  <si>
    <t>Theta (rad)</t>
  </si>
  <si>
    <t>Weight Moment</t>
  </si>
  <si>
    <t>Critical T</t>
  </si>
  <si>
    <t>Fy</t>
  </si>
  <si>
    <t>Fx</t>
  </si>
  <si>
    <t xml:space="preserve">Tension Moment </t>
  </si>
  <si>
    <t>Moment for T</t>
  </si>
  <si>
    <t>Resultant Forces</t>
  </si>
  <si>
    <t>Theta=2 Moment and Stress</t>
  </si>
  <si>
    <t>Theta = 10 Moment and Stress</t>
  </si>
  <si>
    <t>Theta = 20 Moment and Stress</t>
  </si>
  <si>
    <t>Theta = 30 Moment and Stress</t>
  </si>
  <si>
    <t>Theta = 40 Moment and Stress</t>
  </si>
  <si>
    <t>Theta = 50 Moment and Stress</t>
  </si>
  <si>
    <t>Theta =60 Moment and Stress</t>
  </si>
  <si>
    <t>Theta =70 Moment and Stress</t>
  </si>
  <si>
    <t>Theta = 80 Moment and Stress</t>
  </si>
  <si>
    <t>Theta = 90 Moment and Stress</t>
  </si>
  <si>
    <t>Upper Diameter</t>
  </si>
  <si>
    <t>Lower Diameter</t>
  </si>
  <si>
    <t>Thickness</t>
  </si>
  <si>
    <t>Alternative 1</t>
  </si>
  <si>
    <t>Alternative 2</t>
  </si>
  <si>
    <t>Alternative 3</t>
  </si>
  <si>
    <t>Bending Stress</t>
  </si>
  <si>
    <t>Axial Stress</t>
  </si>
  <si>
    <t>Combined Stress</t>
  </si>
  <si>
    <t>P (axial load)</t>
  </si>
  <si>
    <t>P multiply factor</t>
  </si>
  <si>
    <t>Section of Tower (Height)</t>
  </si>
  <si>
    <t>Outer Radius at Height</t>
  </si>
  <si>
    <t>Inner Radius at Height</t>
  </si>
  <si>
    <t>Outer Volume</t>
  </si>
  <si>
    <t>Inner Volume</t>
  </si>
  <si>
    <t>Volume of Section</t>
  </si>
  <si>
    <t>Mass of Sections</t>
  </si>
  <si>
    <t>Sum of Sections Above</t>
  </si>
  <si>
    <t>Sum of Sections Below</t>
  </si>
  <si>
    <t>Difference (absolute value)</t>
  </si>
  <si>
    <t>Smallest Difference</t>
  </si>
  <si>
    <t>Center of Gravity</t>
  </si>
  <si>
    <r>
      <rPr>
        <b/>
        <u/>
        <sz val="36"/>
        <color theme="1"/>
        <rFont val="Calibri"/>
        <family val="2"/>
        <scheme val="minor"/>
      </rPr>
      <t>CHECK 2 of 2:</t>
    </r>
    <r>
      <rPr>
        <b/>
        <sz val="36"/>
        <color theme="1"/>
        <rFont val="Calibri"/>
        <family val="2"/>
        <scheme val="minor"/>
      </rPr>
      <t xml:space="preserve"> Operation Scenario</t>
    </r>
  </si>
  <si>
    <r>
      <rPr>
        <b/>
        <u/>
        <sz val="36"/>
        <color theme="1"/>
        <rFont val="Calibri"/>
        <family val="2"/>
        <scheme val="minor"/>
      </rPr>
      <t>CHECK 1 of 2:</t>
    </r>
    <r>
      <rPr>
        <b/>
        <sz val="36"/>
        <color theme="1"/>
        <rFont val="Calibri"/>
        <family val="2"/>
        <scheme val="minor"/>
      </rPr>
      <t xml:space="preserve"> Construction Scenario</t>
    </r>
  </si>
  <si>
    <t>Allowable Local Buckling stress (Mpa)</t>
  </si>
  <si>
    <t>Attachment Point 2</t>
  </si>
  <si>
    <t>Attachment Point 3</t>
  </si>
  <si>
    <t>Tower Mass</t>
  </si>
  <si>
    <t>Mass of Tower</t>
  </si>
  <si>
    <t>Moment arm for T of 2nd Attachment Point</t>
  </si>
  <si>
    <t>Moment arm for T of 1st Attachment Point</t>
  </si>
  <si>
    <t>Moment arm for T of 3rd Attachment Point</t>
  </si>
  <si>
    <t>Minimum Tension</t>
  </si>
  <si>
    <t>Wind Parameters (From ASCE 7-10)</t>
  </si>
  <si>
    <t>N/m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</si>
  <si>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(Diameter at Z) </t>
    </r>
  </si>
  <si>
    <t>Allowable Stresses (Negative)</t>
  </si>
  <si>
    <t>Allowable  Stresses (Positive)</t>
  </si>
  <si>
    <t>Theta = 2 Moment and Stress</t>
  </si>
  <si>
    <t>Wind Turbine Tower Analysis Using Tilt-Up Erection Method</t>
  </si>
  <si>
    <t>Tab Color</t>
  </si>
  <si>
    <t>Title</t>
  </si>
  <si>
    <t>User Input Required?</t>
  </si>
  <si>
    <t>Analysis Summary</t>
  </si>
  <si>
    <t>NO</t>
  </si>
  <si>
    <t>Tower Design Inputs</t>
  </si>
  <si>
    <t>YES</t>
  </si>
  <si>
    <t>Wind Loading Analysis</t>
  </si>
  <si>
    <t>Dynamic Loading Analysis</t>
  </si>
  <si>
    <t>Combined Stress Analysis</t>
  </si>
  <si>
    <t>Center Of Gravity Anaylsis</t>
  </si>
  <si>
    <t>Step 1:</t>
  </si>
  <si>
    <t>Step 2:</t>
  </si>
  <si>
    <t xml:space="preserve">The purpose of this Excel design tool is to compare three different wind turbine tower designs using a tilt-up method for erection. These tower designs will be analyzed during construction and operation scenarios.   </t>
  </si>
  <si>
    <t>Tilt-Up Analysis (Construction)</t>
  </si>
  <si>
    <t>Excel Tab Legend</t>
  </si>
  <si>
    <t>Instructions</t>
  </si>
  <si>
    <t>Description</t>
  </si>
  <si>
    <t>Based off Princeton, MA</t>
  </si>
  <si>
    <t>Legend</t>
  </si>
  <si>
    <t>Do Not Change</t>
  </si>
  <si>
    <t>User Input Needed</t>
  </si>
  <si>
    <t>Pre-populated Formula</t>
  </si>
  <si>
    <t>Using a 3-Point Attachment</t>
  </si>
  <si>
    <t>Results for the 3 Alternative Designs</t>
  </si>
  <si>
    <t>Key Parameters such as Tower Height, Diameter and Thickness</t>
  </si>
  <si>
    <t>Locates CoG Based on Geometry</t>
  </si>
  <si>
    <t>Calculates Force Generated by Rotation of Blades</t>
  </si>
  <si>
    <t>Calculates Stress Due to Axial and Bending Stresses</t>
  </si>
  <si>
    <t>Minimum Tension Reuired for Tower</t>
  </si>
  <si>
    <t xml:space="preserve">Minimum Tension (N) </t>
  </si>
  <si>
    <t xml:space="preserve">Max Stress (MPa) </t>
  </si>
  <si>
    <t>Maximum Stress on Tower</t>
  </si>
  <si>
    <t>COLUMN BUCKLING - TIMOSHENKO</t>
  </si>
  <si>
    <t>I1/I2 Ratio</t>
  </si>
  <si>
    <t>m factor</t>
  </si>
  <si>
    <t>I1/I2 ratio =</t>
  </si>
  <si>
    <t>m factor =</t>
  </si>
  <si>
    <t>K =</t>
  </si>
  <si>
    <t>λ =</t>
  </si>
  <si>
    <t>Column &amp; Local Buckling Analysis</t>
  </si>
  <si>
    <t xml:space="preserve">                                                                                                                                                                              Click the 3 links above to input different tower designs</t>
  </si>
  <si>
    <t xml:space="preserve">                                                                                                                                                                                Click the above link to view the analysis results and summary</t>
  </si>
  <si>
    <t>Using AISC, Timoshenko,  and Troitksy Theories</t>
  </si>
  <si>
    <t>Axial Stress =</t>
  </si>
  <si>
    <t>Yielding Check @ Base</t>
  </si>
  <si>
    <t>Degree</t>
  </si>
  <si>
    <t>Pr/Pc</t>
  </si>
  <si>
    <t>Mr/Mc</t>
  </si>
  <si>
    <t>Pr/Pc + Mr/Mc</t>
  </si>
  <si>
    <r>
      <t>Bending Stress @ 2</t>
    </r>
    <r>
      <rPr>
        <sz val="11"/>
        <color theme="0"/>
        <rFont val="Times New Roman"/>
        <family val="1"/>
      </rPr>
      <t>°</t>
    </r>
  </si>
  <si>
    <t>Bending Stress @ 10°</t>
  </si>
  <si>
    <t>Bending Stress @ 20°</t>
  </si>
  <si>
    <t>Bending Stress @ 30°</t>
  </si>
  <si>
    <t>Bending Stress @ 40°</t>
  </si>
  <si>
    <t>Bending Stress @ 50°</t>
  </si>
  <si>
    <t>Bending Stress @ 60°</t>
  </si>
  <si>
    <t>Bending Stress @ 70°</t>
  </si>
  <si>
    <t>Bending Stress @ 80°</t>
  </si>
  <si>
    <r>
      <t>Bending Stress @ 90</t>
    </r>
    <r>
      <rPr>
        <b/>
        <sz val="11"/>
        <color theme="0"/>
        <rFont val="Calibri"/>
        <family val="2"/>
        <scheme val="minor"/>
      </rPr>
      <t>°</t>
    </r>
  </si>
  <si>
    <t>Allowable Stress (Mpa)</t>
  </si>
  <si>
    <t>σe =</t>
  </si>
  <si>
    <t>σcr =</t>
  </si>
  <si>
    <t>σallowable =</t>
  </si>
  <si>
    <t>Yielding Check</t>
  </si>
  <si>
    <t>Uses AISC to check if Tower will fail by Yielding</t>
  </si>
  <si>
    <t>Note:</t>
  </si>
  <si>
    <t>must be less/equal to 1.0 to pass test</t>
  </si>
  <si>
    <t>°</t>
  </si>
  <si>
    <t>Allowable Stresses</t>
  </si>
  <si>
    <t>Tower 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</si>
</sst>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0.0"/>
    <numFmt numFmtId="168" formatCode="0.00_);\(0.00\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5A82E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Down">
        <fgColor theme="4" tint="-0.24994659260841701"/>
        <bgColor theme="4" tint="0.39994506668294322"/>
      </patternFill>
    </fill>
    <fill>
      <patternFill patternType="solid">
        <fgColor theme="0"/>
        <bgColor indexed="64"/>
      </patternFill>
    </fill>
    <fill>
      <patternFill patternType="darkDown">
        <fgColor theme="4" tint="-0.499984740745262"/>
        <bgColor theme="4" tint="0.39994506668294322"/>
      </patternFill>
    </fill>
    <fill>
      <patternFill patternType="darkDown">
        <fgColor theme="4" tint="-0.24994659260841701"/>
        <bgColor theme="3" tint="-0.49998474074526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-0.24994659260841701"/>
        <bgColor theme="3" tint="0.39994506668294322"/>
      </patternFill>
    </fill>
    <fill>
      <patternFill patternType="darkDown">
        <fgColor theme="3" tint="-0.24994659260841701"/>
        <bgColor theme="3" tint="-0.499984740745262"/>
      </patternFill>
    </fill>
    <fill>
      <patternFill patternType="darkDown">
        <fgColor theme="3" tint="-0.499984740745262"/>
        <bgColor theme="3" tint="-0.24994659260841701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Down">
        <fgColor theme="3" tint="-0.24994659260841701"/>
        <bgColor theme="4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darkDown">
        <fgColor theme="4" tint="-0.499984740745262"/>
        <bgColor theme="1"/>
      </patternFill>
    </fill>
    <fill>
      <patternFill patternType="darkDown">
        <fgColor theme="4" tint="-0.499984740745262"/>
        <bgColor indexed="65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91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0" fontId="0" fillId="0" borderId="5" xfId="0" applyBorder="1" applyAlignment="1">
      <alignment horizontal="right"/>
    </xf>
    <xf numFmtId="0" fontId="5" fillId="0" borderId="0" xfId="0" applyFont="1"/>
    <xf numFmtId="0" fontId="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/>
    </xf>
    <xf numFmtId="0" fontId="0" fillId="0" borderId="5" xfId="0" applyFont="1" applyFill="1" applyBorder="1"/>
    <xf numFmtId="4" fontId="0" fillId="0" borderId="5" xfId="0" applyNumberFormat="1" applyFont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12" fillId="11" borderId="4" xfId="0" applyFont="1" applyFill="1" applyBorder="1" applyAlignment="1"/>
    <xf numFmtId="0" fontId="13" fillId="11" borderId="4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quotePrefix="1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15" borderId="0" xfId="0" applyFill="1" applyBorder="1"/>
    <xf numFmtId="0" fontId="0" fillId="15" borderId="0" xfId="0" applyFill="1" applyBorder="1" applyAlignment="1"/>
    <xf numFmtId="0" fontId="0" fillId="19" borderId="5" xfId="0" applyFont="1" applyFill="1" applyBorder="1"/>
    <xf numFmtId="0" fontId="0" fillId="19" borderId="5" xfId="0" applyFill="1" applyBorder="1"/>
    <xf numFmtId="0" fontId="20" fillId="19" borderId="5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20" borderId="5" xfId="0" applyFill="1" applyBorder="1"/>
    <xf numFmtId="1" fontId="0" fillId="20" borderId="5" xfId="0" applyNumberFormat="1" applyFill="1" applyBorder="1"/>
    <xf numFmtId="3" fontId="0" fillId="20" borderId="5" xfId="0" applyNumberFormat="1" applyFill="1" applyBorder="1"/>
    <xf numFmtId="165" fontId="0" fillId="20" borderId="5" xfId="0" applyNumberFormat="1" applyFill="1" applyBorder="1"/>
    <xf numFmtId="0" fontId="0" fillId="21" borderId="5" xfId="0" applyFont="1" applyFill="1" applyBorder="1"/>
    <xf numFmtId="0" fontId="0" fillId="21" borderId="5" xfId="0" applyFill="1" applyBorder="1"/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16" borderId="6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21" fillId="13" borderId="5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0" fillId="0" borderId="5" xfId="0" applyNumberForma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4" borderId="5" xfId="1" applyFont="1" applyFill="1" applyBorder="1" applyAlignment="1">
      <alignment horizontal="center" vertical="center"/>
    </xf>
    <xf numFmtId="43" fontId="0" fillId="12" borderId="5" xfId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43" fontId="0" fillId="0" borderId="5" xfId="1" applyNumberFormat="1" applyFont="1" applyBorder="1" applyAlignment="1">
      <alignment horizontal="center" vertical="center"/>
    </xf>
    <xf numFmtId="0" fontId="0" fillId="22" borderId="0" xfId="0" applyFill="1"/>
    <xf numFmtId="0" fontId="5" fillId="0" borderId="5" xfId="0" applyFont="1" applyBorder="1"/>
    <xf numFmtId="0" fontId="23" fillId="2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27" borderId="5" xfId="0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1" borderId="5" xfId="0" applyFill="1" applyBorder="1" applyAlignment="1">
      <alignment horizontal="center" vertical="center"/>
    </xf>
    <xf numFmtId="0" fontId="20" fillId="6" borderId="0" xfId="0" applyFont="1" applyFill="1" applyBorder="1"/>
    <xf numFmtId="0" fontId="0" fillId="6" borderId="0" xfId="0" applyFill="1" applyBorder="1" applyAlignment="1"/>
    <xf numFmtId="0" fontId="0" fillId="6" borderId="0" xfId="0" applyFill="1" applyBorder="1"/>
    <xf numFmtId="0" fontId="20" fillId="6" borderId="17" xfId="0" applyFont="1" applyFill="1" applyBorder="1"/>
    <xf numFmtId="0" fontId="20" fillId="6" borderId="18" xfId="0" applyFont="1" applyFill="1" applyBorder="1"/>
    <xf numFmtId="0" fontId="0" fillId="6" borderId="17" xfId="0" applyFill="1" applyBorder="1" applyAlignment="1"/>
    <xf numFmtId="0" fontId="0" fillId="6" borderId="18" xfId="0" applyFill="1" applyBorder="1"/>
    <xf numFmtId="0" fontId="0" fillId="6" borderId="17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0" fillId="8" borderId="5" xfId="0" applyFont="1" applyFill="1" applyBorder="1" applyAlignment="1">
      <alignment horizontal="center" vertical="center"/>
    </xf>
    <xf numFmtId="0" fontId="0" fillId="32" borderId="17" xfId="0" applyFill="1" applyBorder="1" applyAlignment="1">
      <alignment horizontal="center"/>
    </xf>
    <xf numFmtId="0" fontId="0" fillId="0" borderId="6" xfId="0" applyBorder="1"/>
    <xf numFmtId="0" fontId="0" fillId="0" borderId="6" xfId="0" quotePrefix="1" applyBorder="1"/>
    <xf numFmtId="0" fontId="0" fillId="0" borderId="6" xfId="0" applyFill="1" applyBorder="1"/>
    <xf numFmtId="0" fontId="0" fillId="0" borderId="6" xfId="0" quotePrefix="1" applyFont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11" xfId="0" applyFont="1" applyBorder="1"/>
    <xf numFmtId="0" fontId="0" fillId="19" borderId="5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" fontId="20" fillId="19" borderId="5" xfId="0" applyNumberFormat="1" applyFont="1" applyFill="1" applyBorder="1" applyProtection="1">
      <protection locked="0"/>
    </xf>
    <xf numFmtId="1" fontId="0" fillId="19" borderId="5" xfId="0" applyNumberFormat="1" applyFill="1" applyBorder="1"/>
    <xf numFmtId="2" fontId="20" fillId="20" borderId="5" xfId="0" applyNumberFormat="1" applyFont="1" applyFill="1" applyBorder="1"/>
    <xf numFmtId="2" fontId="0" fillId="19" borderId="5" xfId="0" applyNumberFormat="1" applyFill="1" applyBorder="1"/>
    <xf numFmtId="2" fontId="0" fillId="20" borderId="5" xfId="0" applyNumberFormat="1" applyFill="1" applyBorder="1"/>
    <xf numFmtId="166" fontId="0" fillId="19" borderId="5" xfId="0" applyNumberFormat="1" applyFill="1" applyBorder="1"/>
    <xf numFmtId="2" fontId="0" fillId="21" borderId="5" xfId="0" applyNumberFormat="1" applyFill="1" applyBorder="1"/>
    <xf numFmtId="43" fontId="0" fillId="20" borderId="5" xfId="0" applyNumberFormat="1" applyFill="1" applyBorder="1"/>
    <xf numFmtId="2" fontId="0" fillId="19" borderId="5" xfId="0" applyNumberFormat="1" applyFont="1" applyFill="1" applyBorder="1"/>
    <xf numFmtId="167" fontId="0" fillId="19" borderId="5" xfId="0" applyNumberFormat="1" applyFont="1" applyFill="1" applyBorder="1"/>
    <xf numFmtId="1" fontId="0" fillId="19" borderId="5" xfId="0" applyNumberFormat="1" applyFont="1" applyFill="1" applyBorder="1"/>
    <xf numFmtId="166" fontId="0" fillId="20" borderId="5" xfId="0" applyNumberFormat="1" applyFont="1" applyFill="1" applyBorder="1"/>
    <xf numFmtId="2" fontId="0" fillId="20" borderId="5" xfId="0" applyNumberFormat="1" applyFont="1" applyFill="1" applyBorder="1"/>
    <xf numFmtId="2" fontId="0" fillId="20" borderId="7" xfId="0" applyNumberFormat="1" applyFont="1" applyFill="1" applyBorder="1"/>
    <xf numFmtId="1" fontId="0" fillId="21" borderId="5" xfId="0" applyNumberFormat="1" applyFill="1" applyBorder="1"/>
    <xf numFmtId="2" fontId="0" fillId="2" borderId="5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/>
    </xf>
    <xf numFmtId="43" fontId="0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0" fillId="19" borderId="5" xfId="0" applyFont="1" applyFill="1" applyBorder="1" applyAlignment="1">
      <alignment horizontal="center"/>
    </xf>
    <xf numFmtId="2" fontId="0" fillId="20" borderId="5" xfId="0" applyNumberFormat="1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1" fontId="0" fillId="20" borderId="5" xfId="0" applyNumberFormat="1" applyFill="1" applyBorder="1" applyAlignment="1">
      <alignment horizontal="center"/>
    </xf>
    <xf numFmtId="3" fontId="0" fillId="20" borderId="5" xfId="0" applyNumberFormat="1" applyFill="1" applyBorder="1" applyAlignment="1">
      <alignment horizontal="center"/>
    </xf>
    <xf numFmtId="43" fontId="0" fillId="20" borderId="5" xfId="0" applyNumberFormat="1" applyFill="1" applyBorder="1" applyAlignment="1">
      <alignment horizontal="center"/>
    </xf>
    <xf numFmtId="0" fontId="0" fillId="19" borderId="5" xfId="0" applyFont="1" applyFill="1" applyBorder="1" applyAlignment="1">
      <alignment horizontal="center"/>
    </xf>
    <xf numFmtId="2" fontId="0" fillId="20" borderId="5" xfId="0" applyNumberFormat="1" applyFont="1" applyFill="1" applyBorder="1" applyAlignment="1">
      <alignment horizontal="center"/>
    </xf>
    <xf numFmtId="0" fontId="0" fillId="21" borderId="5" xfId="0" applyFont="1" applyFill="1" applyBorder="1" applyAlignment="1">
      <alignment horizontal="center"/>
    </xf>
    <xf numFmtId="2" fontId="0" fillId="20" borderId="7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quotePrefix="1" applyFont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168" fontId="4" fillId="5" borderId="5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23" fillId="6" borderId="5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31" fillId="15" borderId="0" xfId="0" applyFont="1" applyFill="1" applyBorder="1"/>
    <xf numFmtId="0" fontId="2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 vertical="center" wrapText="1"/>
    </xf>
    <xf numFmtId="0" fontId="0" fillId="24" borderId="3" xfId="0" applyFill="1" applyBorder="1" applyAlignment="1">
      <alignment horizontal="center" vertical="center" wrapText="1"/>
    </xf>
    <xf numFmtId="0" fontId="0" fillId="24" borderId="4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" fillId="24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0" fillId="32" borderId="0" xfId="0" applyFill="1" applyAlignment="1">
      <alignment horizontal="center"/>
    </xf>
    <xf numFmtId="0" fontId="2" fillId="24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17" fillId="13" borderId="6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0" fontId="16" fillId="13" borderId="8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21" fillId="13" borderId="5" xfId="0" applyFont="1" applyFill="1" applyBorder="1" applyAlignment="1">
      <alignment horizontal="center" vertical="center"/>
    </xf>
    <xf numFmtId="3" fontId="21" fillId="13" borderId="5" xfId="0" applyNumberFormat="1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/>
    </xf>
    <xf numFmtId="3" fontId="21" fillId="13" borderId="6" xfId="0" applyNumberFormat="1" applyFont="1" applyFill="1" applyBorder="1" applyAlignment="1">
      <alignment horizontal="center" vertical="center"/>
    </xf>
    <xf numFmtId="3" fontId="21" fillId="13" borderId="9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/>
    </xf>
    <xf numFmtId="0" fontId="6" fillId="11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" fontId="0" fillId="33" borderId="5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2" xfId="0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/>
    </xf>
    <xf numFmtId="168" fontId="4" fillId="5" borderId="5" xfId="0" applyNumberFormat="1" applyFont="1" applyFill="1" applyBorder="1" applyAlignment="1">
      <alignment horizontal="center" vertical="center"/>
    </xf>
    <xf numFmtId="168" fontId="0" fillId="18" borderId="0" xfId="0" applyNumberFormat="1" applyFill="1" applyBorder="1" applyAlignment="1">
      <alignment horizontal="center" vertical="center"/>
    </xf>
    <xf numFmtId="2" fontId="0" fillId="21" borderId="5" xfId="0" applyNumberFormat="1" applyFill="1" applyBorder="1" applyAlignment="1">
      <alignment horizontal="center"/>
    </xf>
    <xf numFmtId="0" fontId="15" fillId="15" borderId="6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5A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</a:t>
            </a:r>
            <a:r>
              <a:rPr lang="en-US" u="sng" baseline="0"/>
              <a:t> 1</a:t>
            </a:r>
            <a:r>
              <a:rPr lang="en-US" baseline="0"/>
              <a:t>: </a:t>
            </a:r>
            <a:r>
              <a:rPr lang="en-US"/>
              <a:t>Allowable vs </a:t>
            </a:r>
            <a:r>
              <a:rPr lang="en-US" baseline="0"/>
              <a:t> Calculated O</a:t>
            </a:r>
            <a:r>
              <a:rPr lang="en-US"/>
              <a:t>peration Stresses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'Alternative 1'!$E$4:$E$70</c:f>
            </c:numRef>
          </c:xVal>
          <c:yVal>
            <c:numRef>
              <c:f>'Local Buckling'!$G$4:$G$70</c:f>
              <c:numCache>
                <c:formatCode>General</c:formatCode>
                <c:ptCount val="67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Calculated Combined Stresses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'Alternative 1'!$E$4:$E$70</c:f>
            </c:numRef>
          </c:xVal>
          <c:yVal>
            <c:numRef>
              <c:f>'Combined Stress'!$J$3:$J$69</c:f>
              <c:numCache>
                <c:formatCode>#,##0.00</c:formatCode>
                <c:ptCount val="67"/>
                <c:pt idx="0">
                  <c:v>10.733331701805849</c:v>
                </c:pt>
                <c:pt idx="1">
                  <c:v>9.7326103074284696</c:v>
                </c:pt>
                <c:pt idx="2">
                  <c:v>10.378990567558766</c:v>
                </c:pt>
                <c:pt idx="3">
                  <c:v>10.222683828700388</c:v>
                </c:pt>
                <c:pt idx="4">
                  <c:v>10.081271146613389</c:v>
                </c:pt>
                <c:pt idx="5">
                  <c:v>9.9555365425044027</c:v>
                </c:pt>
                <c:pt idx="6">
                  <c:v>9.8345434700340952</c:v>
                </c:pt>
                <c:pt idx="7">
                  <c:v>9.7065497778083909</c:v>
                </c:pt>
                <c:pt idx="8">
                  <c:v>9.5711984997304747</c:v>
                </c:pt>
                <c:pt idx="9">
                  <c:v>9.428111931112916</c:v>
                </c:pt>
                <c:pt idx="10">
                  <c:v>9.2768902278098277</c:v>
                </c:pt>
                <c:pt idx="11">
                  <c:v>9.117109896141951</c:v>
                </c:pt>
                <c:pt idx="12">
                  <c:v>8.9483221639017145</c:v>
                </c:pt>
                <c:pt idx="13">
                  <c:v>8.7700512217509417</c:v>
                </c:pt>
                <c:pt idx="14">
                  <c:v>8.5817923232396893</c:v>
                </c:pt>
                <c:pt idx="15">
                  <c:v>8.3830097304679789</c:v>
                </c:pt>
                <c:pt idx="16">
                  <c:v>8.1731344910669215</c:v>
                </c:pt>
                <c:pt idx="17">
                  <c:v>7.9515620306747659</c:v>
                </c:pt>
                <c:pt idx="18">
                  <c:v>7.7176495434063588</c:v>
                </c:pt>
                <c:pt idx="19">
                  <c:v>7.4707131609389297</c:v>
                </c:pt>
                <c:pt idx="20">
                  <c:v>7.210024878736319</c:v>
                </c:pt>
                <c:pt idx="21">
                  <c:v>6.9348092155785412</c:v>
                </c:pt>
                <c:pt idx="22">
                  <c:v>6.6442395799189988</c:v>
                </c:pt>
                <c:pt idx="23">
                  <c:v>6.3374343136186386</c:v>
                </c:pt>
                <c:pt idx="24">
                  <c:v>6.0134523802597961</c:v>
                </c:pt>
                <c:pt idx="25">
                  <c:v>5.6712886614697009</c:v>
                </c:pt>
                <c:pt idx="26">
                  <c:v>5.3098688204250521</c:v>
                </c:pt>
                <c:pt idx="27">
                  <c:v>4.9280436868946849</c:v>
                </c:pt>
                <c:pt idx="28">
                  <c:v>4.5245831127268756</c:v>
                </c:pt>
                <c:pt idx="29">
                  <c:v>4.0981692405078221</c:v>
                </c:pt>
                <c:pt idx="30">
                  <c:v>3.6473891210996876</c:v>
                </c:pt>
                <c:pt idx="31">
                  <c:v>3.1707266077840952</c:v>
                </c:pt>
                <c:pt idx="32">
                  <c:v>2.6665534456427684</c:v>
                </c:pt>
                <c:pt idx="33">
                  <c:v>2.1331194644287881</c:v>
                </c:pt>
                <c:pt idx="34">
                  <c:v>1.5685417713183549</c:v>
                </c:pt>
                <c:pt idx="35">
                  <c:v>0.97079282634716058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80768"/>
        <c:axId val="190482688"/>
      </c:scatterChart>
      <c:valAx>
        <c:axId val="1904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Tower Height (meters)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482688"/>
        <c:crosses val="autoZero"/>
        <c:crossBetween val="midCat"/>
      </c:valAx>
      <c:valAx>
        <c:axId val="190482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480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3:</a:t>
            </a:r>
            <a:r>
              <a:rPr lang="en-US"/>
              <a:t> Allowable vs </a:t>
            </a:r>
            <a:r>
              <a:rPr lang="en-US" baseline="0"/>
              <a:t> Calculated O</a:t>
            </a:r>
            <a:r>
              <a:rPr lang="en-US"/>
              <a:t>peration Stresses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'Alternative 3'!$E$4:$E$70</c:f>
            </c:numRef>
          </c:xVal>
          <c:yVal>
            <c:numRef>
              <c:f>'Local Buckling'!$S$4:$S$93</c:f>
              <c:numCache>
                <c:formatCode>General</c:formatCode>
                <c:ptCount val="90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Calculated Combined Stresses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'Alternative 3'!$E$4:$E$70</c:f>
            </c:numRef>
          </c:xVal>
          <c:yVal>
            <c:numRef>
              <c:f>'Combined Stress'!$AF$3:$AF$92</c:f>
              <c:numCache>
                <c:formatCode>#,##0.00</c:formatCode>
                <c:ptCount val="90"/>
                <c:pt idx="0">
                  <c:v>10.809720949997091</c:v>
                </c:pt>
                <c:pt idx="1">
                  <c:v>10.627303899761117</c:v>
                </c:pt>
                <c:pt idx="2">
                  <c:v>10.458363752084077</c:v>
                </c:pt>
                <c:pt idx="3">
                  <c:v>10.303614977008964</c:v>
                </c:pt>
                <c:pt idx="4">
                  <c:v>10.163806583329713</c:v>
                </c:pt>
                <c:pt idx="5">
                  <c:v>10.039724447182811</c:v>
                </c:pt>
                <c:pt idx="6">
                  <c:v>9.9204339709406284</c:v>
                </c:pt>
                <c:pt idx="7">
                  <c:v>9.794195051450437</c:v>
                </c:pt>
                <c:pt idx="8">
                  <c:v>9.6606528765494435</c:v>
                </c:pt>
                <c:pt idx="9">
                  <c:v>9.5194320077897938</c:v>
                </c:pt>
                <c:pt idx="10">
                  <c:v>9.3701349866714203</c:v>
                </c:pt>
                <c:pt idx="11">
                  <c:v>9.2123408321971514</c:v>
                </c:pt>
                <c:pt idx="12">
                  <c:v>9.0456034200827293</c:v>
                </c:pt>
                <c:pt idx="13">
                  <c:v>8.8694497329844744</c:v>
                </c:pt>
                <c:pt idx="14">
                  <c:v>8.6833779700280402</c:v>
                </c:pt>
                <c:pt idx="15">
                  <c:v>8.4868555027205961</c:v>
                </c:pt>
                <c:pt idx="16">
                  <c:v>8.2793166629895083</c:v>
                </c:pt>
                <c:pt idx="17">
                  <c:v>8.0601603475965593</c:v>
                </c:pt>
                <c:pt idx="18">
                  <c:v>7.8287474215072352</c:v>
                </c:pt>
                <c:pt idx="19">
                  <c:v>7.5843979009275682</c:v>
                </c:pt>
                <c:pt idx="20">
                  <c:v>7.3263878946297041</c:v>
                </c:pt>
                <c:pt idx="21">
                  <c:v>7.053946279842771</c:v>
                </c:pt>
                <c:pt idx="22">
                  <c:v>6.7662510863529475</c:v>
                </c:pt>
                <c:pt idx="23">
                  <c:v>6.4624255594969853</c:v>
                </c:pt>
                <c:pt idx="24">
                  <c:v>6.1415338694018793</c:v>
                </c:pt>
                <c:pt idx="25">
                  <c:v>5.8025764300675275</c:v>
                </c:pt>
                <c:pt idx="26">
                  <c:v>5.4444847876496754</c:v>
                </c:pt>
                <c:pt idx="27">
                  <c:v>5.0661160325075159</c:v>
                </c:pt>
                <c:pt idx="28">
                  <c:v>4.6662466841541494</c:v>
                </c:pt>
                <c:pt idx="29">
                  <c:v>4.2435659920955091</c:v>
                </c:pt>
                <c:pt idx="30">
                  <c:v>3.7966685885564009</c:v>
                </c:pt>
                <c:pt idx="31">
                  <c:v>3.3240464211450953</c:v>
                </c:pt>
                <c:pt idx="32">
                  <c:v>2.8240798844539552</c:v>
                </c:pt>
                <c:pt idx="33">
                  <c:v>2.2950280592611056</c:v>
                </c:pt>
                <c:pt idx="34">
                  <c:v>1.7350179561868471</c:v>
                </c:pt>
                <c:pt idx="35">
                  <c:v>1.1420326471324089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48320"/>
        <c:axId val="214663552"/>
      </c:scatterChart>
      <c:valAx>
        <c:axId val="2146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Tower Height (meters)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4663552"/>
        <c:crosses val="autoZero"/>
        <c:crossBetween val="midCat"/>
      </c:valAx>
      <c:valAx>
        <c:axId val="21466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4648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Summary'!$B$101</c:f>
              <c:strCache>
                <c:ptCount val="1"/>
                <c:pt idx="0">
                  <c:v>Minimum Tension (N) </c:v>
                </c:pt>
              </c:strCache>
            </c:strRef>
          </c:tx>
          <c:invertIfNegative val="0"/>
          <c:cat>
            <c:strRef>
              <c:f>'Analysis Summary'!$C$100:$H$100</c:f>
              <c:strCache>
                <c:ptCount val="5"/>
                <c:pt idx="0">
                  <c:v>Alternative 1</c:v>
                </c:pt>
                <c:pt idx="2">
                  <c:v>Alternative 2</c:v>
                </c:pt>
                <c:pt idx="4">
                  <c:v>Alternative 3</c:v>
                </c:pt>
              </c:strCache>
            </c:strRef>
          </c:cat>
          <c:val>
            <c:numRef>
              <c:f>'Analysis Summary'!$C$101:$H$101</c:f>
              <c:numCache>
                <c:formatCode>#,##0</c:formatCode>
                <c:ptCount val="6"/>
                <c:pt idx="0">
                  <c:v>5996068.2740079593</c:v>
                </c:pt>
                <c:pt idx="2">
                  <c:v>5996068.2740079593</c:v>
                </c:pt>
                <c:pt idx="4">
                  <c:v>5996068.2740079593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84800"/>
        <c:axId val="214686336"/>
      </c:barChart>
      <c:catAx>
        <c:axId val="21468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686336"/>
        <c:crosses val="autoZero"/>
        <c:auto val="1"/>
        <c:lblAlgn val="ctr"/>
        <c:lblOffset val="100"/>
        <c:noMultiLvlLbl val="0"/>
      </c:catAx>
      <c:valAx>
        <c:axId val="214686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68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1</a:t>
            </a:r>
            <a:r>
              <a:rPr lang="en-US"/>
              <a:t>: Allowable Column Buckling Stress vs </a:t>
            </a:r>
            <a:r>
              <a:rPr lang="en-US" baseline="0"/>
              <a:t> Calculated Operation Stress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Allowable Column Buckling</c:v>
          </c:tx>
          <c:invertIfNegative val="0"/>
          <c:val>
            <c:numRef>
              <c:f>'Column Buckling'!$C$21</c:f>
              <c:numCache>
                <c:formatCode>0.000</c:formatCode>
                <c:ptCount val="1"/>
                <c:pt idx="0">
                  <c:v>0.19156577073625661</c:v>
                </c:pt>
              </c:numCache>
            </c:numRef>
          </c:val>
        </c:ser>
        <c:ser>
          <c:idx val="1"/>
          <c:order val="1"/>
          <c:tx>
            <c:v>Calculated Axial Stress</c:v>
          </c:tx>
          <c:invertIfNegative val="0"/>
          <c:val>
            <c:numRef>
              <c:f>'Column Buckling'!$C$23</c:f>
              <c:numCache>
                <c:formatCode>#,##0.00</c:formatCode>
                <c:ptCount val="1"/>
                <c:pt idx="0">
                  <c:v>9.2995614292993578E-2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17216"/>
        <c:axId val="215831296"/>
      </c:barChart>
      <c:catAx>
        <c:axId val="215817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215831296"/>
        <c:crosses val="autoZero"/>
        <c:auto val="1"/>
        <c:lblAlgn val="ctr"/>
        <c:lblOffset val="100"/>
        <c:noMultiLvlLbl val="0"/>
      </c:catAx>
      <c:valAx>
        <c:axId val="2158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21581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2</a:t>
            </a:r>
            <a:r>
              <a:rPr lang="en-US"/>
              <a:t>: Allowable Column Buckling Stress vs </a:t>
            </a:r>
            <a:r>
              <a:rPr lang="en-US" baseline="0"/>
              <a:t> Calculated Operation Stress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Allowable Column Buckling</c:v>
          </c:tx>
          <c:invertIfNegative val="0"/>
          <c:val>
            <c:numRef>
              <c:f>'Column Buckling'!$F$21</c:f>
              <c:numCache>
                <c:formatCode>0.000</c:formatCode>
                <c:ptCount val="1"/>
                <c:pt idx="0">
                  <c:v>0.19156577073625661</c:v>
                </c:pt>
              </c:numCache>
            </c:numRef>
          </c:val>
        </c:ser>
        <c:ser>
          <c:idx val="1"/>
          <c:order val="1"/>
          <c:tx>
            <c:v>Calculated Axial Stress</c:v>
          </c:tx>
          <c:invertIfNegative val="0"/>
          <c:val>
            <c:numRef>
              <c:f>'Column Buckling'!$F$23</c:f>
              <c:numCache>
                <c:formatCode>#,##0.00</c:formatCode>
                <c:ptCount val="1"/>
                <c:pt idx="0">
                  <c:v>9.2995614292993578E-2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65216"/>
        <c:axId val="215866752"/>
      </c:barChart>
      <c:catAx>
        <c:axId val="215865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215866752"/>
        <c:crosses val="autoZero"/>
        <c:auto val="1"/>
        <c:lblAlgn val="ctr"/>
        <c:lblOffset val="100"/>
        <c:noMultiLvlLbl val="0"/>
      </c:catAx>
      <c:valAx>
        <c:axId val="21586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21586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3</a:t>
            </a:r>
            <a:r>
              <a:rPr lang="en-US"/>
              <a:t>: Allowable Column Buckling Stress vs </a:t>
            </a:r>
            <a:r>
              <a:rPr lang="en-US" baseline="0"/>
              <a:t> Calculated Operation Stress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Allowable Column Buckling</c:v>
          </c:tx>
          <c:invertIfNegative val="0"/>
          <c:val>
            <c:numRef>
              <c:f>'Column Buckling'!$I$21</c:f>
              <c:numCache>
                <c:formatCode>0.000</c:formatCode>
                <c:ptCount val="1"/>
                <c:pt idx="0">
                  <c:v>0.19156577073625661</c:v>
                </c:pt>
              </c:numCache>
            </c:numRef>
          </c:val>
        </c:ser>
        <c:ser>
          <c:idx val="1"/>
          <c:order val="1"/>
          <c:tx>
            <c:v>Calculated Axial Stress</c:v>
          </c:tx>
          <c:invertIfNegative val="0"/>
          <c:val>
            <c:numRef>
              <c:f>'Column Buckling'!$I$23</c:f>
              <c:numCache>
                <c:formatCode>#,##0.00</c:formatCode>
                <c:ptCount val="1"/>
                <c:pt idx="0">
                  <c:v>0.16938486248423676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59520"/>
        <c:axId val="218061056"/>
      </c:barChart>
      <c:catAx>
        <c:axId val="218059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8061056"/>
        <c:crosses val="autoZero"/>
        <c:auto val="1"/>
        <c:lblAlgn val="ctr"/>
        <c:lblOffset val="100"/>
        <c:noMultiLvlLbl val="0"/>
      </c:catAx>
      <c:valAx>
        <c:axId val="21806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21805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1</a:t>
            </a:r>
            <a:r>
              <a:rPr lang="en-US"/>
              <a:t>:</a:t>
            </a:r>
            <a:r>
              <a:rPr lang="en-US" baseline="0"/>
              <a:t> Yielding Test at Base of Tower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2°</c:v>
          </c:tx>
          <c:invertIfNegative val="0"/>
          <c:val>
            <c:numRef>
              <c:f>'Yielding Stress (1)'!$F$4</c:f>
              <c:numCache>
                <c:formatCode>_(* #,##0.00_);_(* \(#,##0.00\);_(* "-"??_);_(@_)</c:formatCode>
                <c:ptCount val="1"/>
                <c:pt idx="0">
                  <c:v>15.991064823981173</c:v>
                </c:pt>
              </c:numCache>
            </c:numRef>
          </c:val>
        </c:ser>
        <c:ser>
          <c:idx val="1"/>
          <c:order val="1"/>
          <c:tx>
            <c:v>10°</c:v>
          </c:tx>
          <c:invertIfNegative val="0"/>
          <c:val>
            <c:numRef>
              <c:f>'Yielding Stress (1)'!$F$5</c:f>
              <c:numCache>
                <c:formatCode>_(* #,##0.00_);_(* \(#,##0.00\);_(* "-"??_);_(@_)</c:formatCode>
                <c:ptCount val="1"/>
                <c:pt idx="0">
                  <c:v>4.1025998274322726</c:v>
                </c:pt>
              </c:numCache>
            </c:numRef>
          </c:val>
        </c:ser>
        <c:ser>
          <c:idx val="2"/>
          <c:order val="2"/>
          <c:tx>
            <c:v>20°</c:v>
          </c:tx>
          <c:invertIfNegative val="0"/>
          <c:val>
            <c:numRef>
              <c:f>'Yielding Stress (1)'!$F$6</c:f>
              <c:numCache>
                <c:formatCode>_(* #,##0.00_);_(* \(#,##0.00\);_(* "-"??_);_(@_)</c:formatCode>
                <c:ptCount val="1"/>
                <c:pt idx="0">
                  <c:v>2.2732534747377033</c:v>
                </c:pt>
              </c:numCache>
            </c:numRef>
          </c:val>
        </c:ser>
        <c:ser>
          <c:idx val="3"/>
          <c:order val="3"/>
          <c:tx>
            <c:v>30°</c:v>
          </c:tx>
          <c:invertIfNegative val="0"/>
          <c:val>
            <c:numRef>
              <c:f>'Yielding Stress (1)'!$F$7</c:f>
              <c:numCache>
                <c:formatCode>_(* #,##0.00_);_(* \(#,##0.00\);_(* "-"??_);_(@_)</c:formatCode>
                <c:ptCount val="1"/>
                <c:pt idx="0">
                  <c:v>1.6562347682777689</c:v>
                </c:pt>
              </c:numCache>
            </c:numRef>
          </c:val>
        </c:ser>
        <c:ser>
          <c:idx val="4"/>
          <c:order val="4"/>
          <c:tx>
            <c:v>40°</c:v>
          </c:tx>
          <c:invertIfNegative val="0"/>
          <c:val>
            <c:numRef>
              <c:f>'Yielding Stress (1)'!$F$8</c:f>
              <c:numCache>
                <c:formatCode>_(* #,##0.00_);_(* \(#,##0.00\);_(* "-"??_);_(@_)</c:formatCode>
                <c:ptCount val="1"/>
                <c:pt idx="0">
                  <c:v>1.3250744754682029</c:v>
                </c:pt>
              </c:numCache>
            </c:numRef>
          </c:val>
        </c:ser>
        <c:ser>
          <c:idx val="5"/>
          <c:order val="5"/>
          <c:tx>
            <c:v>50°</c:v>
          </c:tx>
          <c:invertIfNegative val="0"/>
          <c:val>
            <c:numRef>
              <c:f>'Yielding Stress (1)'!$F$9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6"/>
          <c:order val="6"/>
          <c:tx>
            <c:v>60°</c:v>
          </c:tx>
          <c:invertIfNegative val="0"/>
          <c:val>
            <c:numRef>
              <c:f>'Yielding Stress (1)'!$F$9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7"/>
          <c:order val="7"/>
          <c:tx>
            <c:v>70°</c:v>
          </c:tx>
          <c:invertIfNegative val="0"/>
          <c:val>
            <c:numRef>
              <c:f>'Yielding Stress (1)'!$F$10</c:f>
              <c:numCache>
                <c:formatCode>_(* #,##0.00_);_(* \(#,##0.00\);_(* "-"??_);_(@_)</c:formatCode>
                <c:ptCount val="1"/>
                <c:pt idx="0">
                  <c:v>0.96499713263383158</c:v>
                </c:pt>
              </c:numCache>
            </c:numRef>
          </c:val>
        </c:ser>
        <c:ser>
          <c:idx val="8"/>
          <c:order val="8"/>
          <c:tx>
            <c:v>80°</c:v>
          </c:tx>
          <c:invertIfNegative val="0"/>
          <c:val>
            <c:numRef>
              <c:f>'Yielding Stress (1)'!$F$11</c:f>
              <c:numCache>
                <c:formatCode>_(* #,##0.00_);_(* \(#,##0.00\);_(* "-"??_);_(@_)</c:formatCode>
                <c:ptCount val="1"/>
                <c:pt idx="0">
                  <c:v>0.86356123633134974</c:v>
                </c:pt>
              </c:numCache>
            </c:numRef>
          </c:val>
        </c:ser>
        <c:ser>
          <c:idx val="9"/>
          <c:order val="9"/>
          <c:tx>
            <c:v>90°</c:v>
          </c:tx>
          <c:invertIfNegative val="0"/>
          <c:val>
            <c:numRef>
              <c:f>'Yielding Stress (1)'!$F$12</c:f>
              <c:numCache>
                <c:formatCode>_(* #,##0.00_);_(* \(#,##0.00\);_(* "-"??_);_(@_)</c:formatCode>
                <c:ptCount val="1"/>
                <c:pt idx="0">
                  <c:v>0.79892211725416973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26208"/>
        <c:axId val="218127744"/>
      </c:barChart>
      <c:catAx>
        <c:axId val="218126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218127744"/>
        <c:crosses val="autoZero"/>
        <c:auto val="1"/>
        <c:lblAlgn val="ctr"/>
        <c:lblOffset val="100"/>
        <c:noMultiLvlLbl val="0"/>
      </c:catAx>
      <c:valAx>
        <c:axId val="21812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(MPa)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crossAx val="21812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2</a:t>
            </a:r>
            <a:r>
              <a:rPr lang="en-US"/>
              <a:t>:</a:t>
            </a:r>
            <a:r>
              <a:rPr lang="en-US" baseline="0"/>
              <a:t> Yielding Test at Base of Tower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2°</c:v>
          </c:tx>
          <c:invertIfNegative val="0"/>
          <c:val>
            <c:numRef>
              <c:f>'Yielding Stress (1)'!$M$4</c:f>
              <c:numCache>
                <c:formatCode>_(* #,##0.00_);_(* \(#,##0.00\);_(* "-"??_);_(@_)</c:formatCode>
                <c:ptCount val="1"/>
                <c:pt idx="0">
                  <c:v>15.991064823981173</c:v>
                </c:pt>
              </c:numCache>
            </c:numRef>
          </c:val>
        </c:ser>
        <c:ser>
          <c:idx val="1"/>
          <c:order val="1"/>
          <c:tx>
            <c:v>10°</c:v>
          </c:tx>
          <c:invertIfNegative val="0"/>
          <c:val>
            <c:numRef>
              <c:f>'Yielding Stress (1)'!$M$5</c:f>
              <c:numCache>
                <c:formatCode>_(* #,##0.00_);_(* \(#,##0.00\);_(* "-"??_);_(@_)</c:formatCode>
                <c:ptCount val="1"/>
                <c:pt idx="0">
                  <c:v>4.1025998274322726</c:v>
                </c:pt>
              </c:numCache>
            </c:numRef>
          </c:val>
        </c:ser>
        <c:ser>
          <c:idx val="2"/>
          <c:order val="2"/>
          <c:tx>
            <c:v>20°</c:v>
          </c:tx>
          <c:invertIfNegative val="0"/>
          <c:val>
            <c:numRef>
              <c:f>'Yielding Stress (1)'!$M$6</c:f>
              <c:numCache>
                <c:formatCode>_(* #,##0.00_);_(* \(#,##0.00\);_(* "-"??_);_(@_)</c:formatCode>
                <c:ptCount val="1"/>
                <c:pt idx="0">
                  <c:v>2.2732534747377033</c:v>
                </c:pt>
              </c:numCache>
            </c:numRef>
          </c:val>
        </c:ser>
        <c:ser>
          <c:idx val="3"/>
          <c:order val="3"/>
          <c:tx>
            <c:v>30°</c:v>
          </c:tx>
          <c:invertIfNegative val="0"/>
          <c:val>
            <c:numRef>
              <c:f>'Yielding Stress (1)'!$M$7</c:f>
              <c:numCache>
                <c:formatCode>_(* #,##0.00_);_(* \(#,##0.00\);_(* "-"??_);_(@_)</c:formatCode>
                <c:ptCount val="1"/>
                <c:pt idx="0">
                  <c:v>1.6562347682777689</c:v>
                </c:pt>
              </c:numCache>
            </c:numRef>
          </c:val>
        </c:ser>
        <c:ser>
          <c:idx val="4"/>
          <c:order val="4"/>
          <c:tx>
            <c:v>40°</c:v>
          </c:tx>
          <c:invertIfNegative val="0"/>
          <c:val>
            <c:numRef>
              <c:f>'Yielding Stress (1)'!$M$8</c:f>
              <c:numCache>
                <c:formatCode>_(* #,##0.00_);_(* \(#,##0.00\);_(* "-"??_);_(@_)</c:formatCode>
                <c:ptCount val="1"/>
                <c:pt idx="0">
                  <c:v>1.3250744754682029</c:v>
                </c:pt>
              </c:numCache>
            </c:numRef>
          </c:val>
        </c:ser>
        <c:ser>
          <c:idx val="5"/>
          <c:order val="5"/>
          <c:tx>
            <c:v>50°</c:v>
          </c:tx>
          <c:invertIfNegative val="0"/>
          <c:val>
            <c:numRef>
              <c:f>'Yielding Stress (1)'!$M$9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6"/>
          <c:order val="6"/>
          <c:tx>
            <c:v>60°</c:v>
          </c:tx>
          <c:invertIfNegative val="0"/>
          <c:val>
            <c:numRef>
              <c:f>'Yielding Stress (1)'!$M$9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7"/>
          <c:order val="7"/>
          <c:tx>
            <c:v>70°</c:v>
          </c:tx>
          <c:invertIfNegative val="0"/>
          <c:val>
            <c:numRef>
              <c:f>'Yielding Stress (1)'!$M$10</c:f>
              <c:numCache>
                <c:formatCode>_(* #,##0.00_);_(* \(#,##0.00\);_(* "-"??_);_(@_)</c:formatCode>
                <c:ptCount val="1"/>
                <c:pt idx="0">
                  <c:v>0.96499713263383158</c:v>
                </c:pt>
              </c:numCache>
            </c:numRef>
          </c:val>
        </c:ser>
        <c:ser>
          <c:idx val="8"/>
          <c:order val="8"/>
          <c:tx>
            <c:v>80°</c:v>
          </c:tx>
          <c:invertIfNegative val="0"/>
          <c:val>
            <c:numRef>
              <c:f>'Yielding Stress (1)'!$M$11</c:f>
              <c:numCache>
                <c:formatCode>_(* #,##0.00_);_(* \(#,##0.00\);_(* "-"??_);_(@_)</c:formatCode>
                <c:ptCount val="1"/>
                <c:pt idx="0">
                  <c:v>0.86356123633134974</c:v>
                </c:pt>
              </c:numCache>
            </c:numRef>
          </c:val>
        </c:ser>
        <c:ser>
          <c:idx val="9"/>
          <c:order val="9"/>
          <c:tx>
            <c:v>90°</c:v>
          </c:tx>
          <c:invertIfNegative val="0"/>
          <c:val>
            <c:numRef>
              <c:f>'Yielding Stress (1)'!$M$12</c:f>
              <c:numCache>
                <c:formatCode>_(* #,##0.00_);_(* \(#,##0.00\);_(* "-"??_);_(@_)</c:formatCode>
                <c:ptCount val="1"/>
                <c:pt idx="0">
                  <c:v>0.79892211725416973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68320"/>
        <c:axId val="218190592"/>
      </c:barChart>
      <c:catAx>
        <c:axId val="218168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8190592"/>
        <c:crosses val="autoZero"/>
        <c:auto val="1"/>
        <c:lblAlgn val="ctr"/>
        <c:lblOffset val="100"/>
        <c:noMultiLvlLbl val="0"/>
      </c:catAx>
      <c:valAx>
        <c:axId val="21819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(MPa)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crossAx val="21816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3</a:t>
            </a:r>
            <a:r>
              <a:rPr lang="en-US"/>
              <a:t>:</a:t>
            </a:r>
            <a:r>
              <a:rPr lang="en-US" baseline="0"/>
              <a:t> Yielding Test at Base of Tower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2°</c:v>
          </c:tx>
          <c:invertIfNegative val="0"/>
          <c:val>
            <c:numRef>
              <c:f>'Yielding Stress (1)'!$T$4</c:f>
              <c:numCache>
                <c:formatCode>_(* #,##0.00_);_(* \(#,##0.00\);_(* "-"??_);_(@_)</c:formatCode>
                <c:ptCount val="1"/>
                <c:pt idx="0">
                  <c:v>15.991064823981173</c:v>
                </c:pt>
              </c:numCache>
            </c:numRef>
          </c:val>
        </c:ser>
        <c:ser>
          <c:idx val="1"/>
          <c:order val="1"/>
          <c:tx>
            <c:v>10°</c:v>
          </c:tx>
          <c:invertIfNegative val="0"/>
          <c:val>
            <c:numRef>
              <c:f>'Yielding Stress (1)'!$T$5</c:f>
              <c:numCache>
                <c:formatCode>_(* #,##0.00_);_(* \(#,##0.00\);_(* "-"??_);_(@_)</c:formatCode>
                <c:ptCount val="1"/>
                <c:pt idx="0">
                  <c:v>4.1025998274322726</c:v>
                </c:pt>
              </c:numCache>
            </c:numRef>
          </c:val>
        </c:ser>
        <c:ser>
          <c:idx val="2"/>
          <c:order val="2"/>
          <c:tx>
            <c:v>20°</c:v>
          </c:tx>
          <c:invertIfNegative val="0"/>
          <c:val>
            <c:numRef>
              <c:f>'Yielding Stress (1)'!$T$6</c:f>
              <c:numCache>
                <c:formatCode>_(* #,##0.00_);_(* \(#,##0.00\);_(* "-"??_);_(@_)</c:formatCode>
                <c:ptCount val="1"/>
                <c:pt idx="0">
                  <c:v>2.2732534747377033</c:v>
                </c:pt>
              </c:numCache>
            </c:numRef>
          </c:val>
        </c:ser>
        <c:ser>
          <c:idx val="3"/>
          <c:order val="3"/>
          <c:tx>
            <c:v>30°</c:v>
          </c:tx>
          <c:invertIfNegative val="0"/>
          <c:val>
            <c:numRef>
              <c:f>'Yielding Stress (1)'!$T$7</c:f>
              <c:numCache>
                <c:formatCode>_(* #,##0.00_);_(* \(#,##0.00\);_(* "-"??_);_(@_)</c:formatCode>
                <c:ptCount val="1"/>
                <c:pt idx="0">
                  <c:v>1.6562347682777689</c:v>
                </c:pt>
              </c:numCache>
            </c:numRef>
          </c:val>
        </c:ser>
        <c:ser>
          <c:idx val="4"/>
          <c:order val="4"/>
          <c:tx>
            <c:v>40°</c:v>
          </c:tx>
          <c:invertIfNegative val="0"/>
          <c:val>
            <c:numRef>
              <c:f>'Yielding Stress (1)'!$T$8</c:f>
              <c:numCache>
                <c:formatCode>_(* #,##0.00_);_(* \(#,##0.00\);_(* "-"??_);_(@_)</c:formatCode>
                <c:ptCount val="1"/>
                <c:pt idx="0">
                  <c:v>1.3250744754682029</c:v>
                </c:pt>
              </c:numCache>
            </c:numRef>
          </c:val>
        </c:ser>
        <c:ser>
          <c:idx val="5"/>
          <c:order val="5"/>
          <c:tx>
            <c:v>50°</c:v>
          </c:tx>
          <c:invertIfNegative val="0"/>
          <c:val>
            <c:numRef>
              <c:f>'Yielding Stress (1)'!$T$9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6"/>
          <c:order val="6"/>
          <c:tx>
            <c:v>60°</c:v>
          </c:tx>
          <c:invertIfNegative val="0"/>
          <c:val>
            <c:numRef>
              <c:f>'Yielding Stress (1)'!$T$9</c:f>
              <c:numCache>
                <c:formatCode>_(* #,##0.00_);_(* \(#,##0.00\);_(* "-"??_);_(@_)</c:formatCode>
                <c:ptCount val="1"/>
                <c:pt idx="0">
                  <c:v>1.1120361176659634</c:v>
                </c:pt>
              </c:numCache>
            </c:numRef>
          </c:val>
        </c:ser>
        <c:ser>
          <c:idx val="7"/>
          <c:order val="7"/>
          <c:tx>
            <c:v>70°</c:v>
          </c:tx>
          <c:invertIfNegative val="0"/>
          <c:val>
            <c:numRef>
              <c:f>'Yielding Stress (1)'!$T$10</c:f>
              <c:numCache>
                <c:formatCode>_(* #,##0.00_);_(* \(#,##0.00\);_(* "-"??_);_(@_)</c:formatCode>
                <c:ptCount val="1"/>
                <c:pt idx="0">
                  <c:v>1.1204801706908798</c:v>
                </c:pt>
              </c:numCache>
            </c:numRef>
          </c:val>
        </c:ser>
        <c:ser>
          <c:idx val="8"/>
          <c:order val="8"/>
          <c:tx>
            <c:v>80°</c:v>
          </c:tx>
          <c:invertIfNegative val="0"/>
          <c:val>
            <c:numRef>
              <c:f>'Yielding Stress (1)'!$T$11</c:f>
              <c:numCache>
                <c:formatCode>_(* #,##0.00_);_(* \(#,##0.00\);_(* "-"??_);_(@_)</c:formatCode>
                <c:ptCount val="1"/>
                <c:pt idx="0">
                  <c:v>0.86356123633134974</c:v>
                </c:pt>
              </c:numCache>
            </c:numRef>
          </c:val>
        </c:ser>
        <c:ser>
          <c:idx val="9"/>
          <c:order val="9"/>
          <c:tx>
            <c:v>90°</c:v>
          </c:tx>
          <c:invertIfNegative val="0"/>
          <c:val>
            <c:numRef>
              <c:f>'Yielding Stress (1)'!$T$12</c:f>
              <c:numCache>
                <c:formatCode>_(* #,##0.00_);_(* \(#,##0.00\);_(* "-"??_);_(@_)</c:formatCode>
                <c:ptCount val="1"/>
                <c:pt idx="0">
                  <c:v>0.79892211725416973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12224"/>
        <c:axId val="219813760"/>
      </c:barChart>
      <c:catAx>
        <c:axId val="219812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219813760"/>
        <c:crosses val="autoZero"/>
        <c:auto val="1"/>
        <c:lblAlgn val="ctr"/>
        <c:lblOffset val="100"/>
        <c:noMultiLvlLbl val="0"/>
      </c:catAx>
      <c:valAx>
        <c:axId val="21981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(MPa)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crossAx val="21981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Combined Stresses (Alternative 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theta = 2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Up'!$V$3:$V$24</c:f>
              <c:numCache>
                <c:formatCode>_(* #,##0.00_);_(* \(#,##0.00\);_(* "-"??_);_(@_)</c:formatCode>
                <c:ptCount val="22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</c:numCache>
            </c:numRef>
          </c:val>
          <c:smooth val="0"/>
        </c:ser>
        <c:ser>
          <c:idx val="1"/>
          <c:order val="1"/>
          <c:tx>
            <c:v>theta = 10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Up'!$AB$3:$AB$24</c:f>
              <c:numCache>
                <c:formatCode>_(* #,##0.00_);_(* \(#,##0.00\);_(* "-"??_);_(@_)</c:formatCode>
                <c:ptCount val="22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</c:numCache>
            </c:numRef>
          </c:val>
          <c:smooth val="0"/>
        </c:ser>
        <c:ser>
          <c:idx val="2"/>
          <c:order val="2"/>
          <c:tx>
            <c:v>theta = 20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Up'!$AH$3:$AH$24</c:f>
              <c:numCache>
                <c:formatCode>_(* #,##0.00_);_(* \(#,##0.00\);_(* "-"??_);_(@_)</c:formatCode>
                <c:ptCount val="22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</c:numCache>
            </c:numRef>
          </c:val>
          <c:smooth val="0"/>
        </c:ser>
        <c:ser>
          <c:idx val="3"/>
          <c:order val="3"/>
          <c:tx>
            <c:v>theta = 30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Up'!$AN$3:$AN$24</c:f>
              <c:numCache>
                <c:formatCode>_(* #,##0.00_);_(* \(#,##0.00\);_(* "-"??_);_(@_)</c:formatCode>
                <c:ptCount val="22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</c:numCache>
            </c:numRef>
          </c:val>
          <c:smooth val="0"/>
        </c:ser>
        <c:ser>
          <c:idx val="4"/>
          <c:order val="4"/>
          <c:tx>
            <c:v>theta = 40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Up'!$AT$3:$AT$24</c:f>
              <c:numCache>
                <c:formatCode>_(* #,##0.00_);_(* \(#,##0.00\);_(* "-"??_);_(@_)</c:formatCode>
                <c:ptCount val="22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</c:numCache>
            </c:numRef>
          </c:val>
          <c:smooth val="0"/>
        </c:ser>
        <c:ser>
          <c:idx val="5"/>
          <c:order val="5"/>
          <c:tx>
            <c:v>theta = 50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Up'!$AZ$3:$AZ$24</c:f>
              <c:numCache>
                <c:formatCode>_(* #,##0.00_);_(* \(#,##0.00\);_(* "-"??_);_(@_)</c:formatCode>
                <c:ptCount val="22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</c:numCache>
            </c:numRef>
          </c:val>
          <c:smooth val="0"/>
        </c:ser>
        <c:ser>
          <c:idx val="6"/>
          <c:order val="6"/>
          <c:tx>
            <c:v>theta = 60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Up'!$BF$3:$BF$24</c:f>
              <c:numCache>
                <c:formatCode>_(* #,##0.00_);_(* \(#,##0.00\);_(* "-"??_);_(@_)</c:formatCode>
                <c:ptCount val="22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</c:numCache>
            </c:numRef>
          </c:val>
          <c:smooth val="0"/>
        </c:ser>
        <c:ser>
          <c:idx val="7"/>
          <c:order val="7"/>
          <c:tx>
            <c:v>theta = 70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Up'!$BL$3:$BL$24</c:f>
              <c:numCache>
                <c:formatCode>_(* #,##0.00_);_(* \(#,##0.00\);_(* "-"??_);_(@_)</c:formatCode>
                <c:ptCount val="22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</c:numCache>
            </c:numRef>
          </c:val>
          <c:smooth val="0"/>
        </c:ser>
        <c:ser>
          <c:idx val="8"/>
          <c:order val="8"/>
          <c:tx>
            <c:v>theta = 80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Up'!$BR$3:$BR$24</c:f>
              <c:numCache>
                <c:formatCode>_(* #,##0.00_);_(* \(#,##0.00\);_(* "-"??_);_(@_)</c:formatCode>
                <c:ptCount val="22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</c:numCache>
            </c:numRef>
          </c:val>
          <c:smooth val="0"/>
        </c:ser>
        <c:ser>
          <c:idx val="9"/>
          <c:order val="9"/>
          <c:tx>
            <c:v>theta = 90</c:v>
          </c:tx>
          <c:marker>
            <c:symbol val="none"/>
          </c:marker>
          <c:cat>
            <c:numRef>
              <c:f>'Alternative 2-Tilt Up'!$A$3:$A$24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'Alternative 2-Tilt Up'!$BX$3:$BX$24</c:f>
              <c:numCache>
                <c:formatCode>_(* #,##0.00_);_(* \(#,##0.00\);_(* "-"??_);_(@_)</c:formatCode>
                <c:ptCount val="22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40096"/>
        <c:axId val="334750464"/>
      </c:lineChart>
      <c:catAx>
        <c:axId val="3347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Tower Height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750464"/>
        <c:crosses val="autoZero"/>
        <c:auto val="1"/>
        <c:lblAlgn val="ctr"/>
        <c:lblOffset val="100"/>
        <c:noMultiLvlLbl val="0"/>
      </c:catAx>
      <c:valAx>
        <c:axId val="334750464"/>
        <c:scaling>
          <c:orientation val="minMax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Stresses (MPa)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474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Calculated at Theta = 2°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Calculated Stress</c:v>
          </c:tx>
          <c:marker>
            <c:symbol val="none"/>
          </c:marker>
          <c:cat>
            <c:numRef>
              <c:f>'Alternative 2-Tilt Up'!$A$3:$A$25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'Alternative 2-Tilt Up'!$V$3:$V$25</c:f>
              <c:numCache>
                <c:formatCode>_(* #,##0.00_);_(* \(#,##0.00\);_(* "-"??_);_(@_)</c:formatCode>
                <c:ptCount val="23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</c:numCache>
            </c:numRef>
          </c:val>
          <c:smooth val="0"/>
        </c:ser>
        <c:ser>
          <c:idx val="1"/>
          <c:order val="1"/>
          <c:tx>
            <c:v>Allowable Stress</c:v>
          </c:tx>
          <c:marker>
            <c:symbol val="none"/>
          </c:marker>
          <c:cat>
            <c:numRef>
              <c:f>'Alternative 2-Tilt Up'!$A$3:$A$25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'Alternative 2-Tilt Up'!$BZ$3:$BZ$25</c:f>
              <c:numCache>
                <c:formatCode>_(* #,##0.00_);_(* \(#,##0.00\);_(* "-"??_);_(@_)</c:formatCode>
                <c:ptCount val="23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v>Allowable Column Buckling</c:v>
          </c:tx>
          <c:marker>
            <c:symbol val="none"/>
          </c:marker>
          <c:cat>
            <c:numRef>
              <c:f>'Alternative 2-Tilt Up'!$A$3:$A$25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'Local Buckling'!#REF!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Alllowable Local Buckling</c:v>
          </c:tx>
          <c:marker>
            <c:symbol val="none"/>
          </c:marker>
          <c:cat>
            <c:numRef>
              <c:f>'Alternative 2-Tilt Up'!$A$3:$A$25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'Local Buckling'!$M$4:$M$26</c:f>
              <c:numCache>
                <c:formatCode>General</c:formatCode>
                <c:ptCount val="23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5696"/>
        <c:axId val="176451968"/>
      </c:lineChart>
      <c:catAx>
        <c:axId val="1764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Tower Height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451968"/>
        <c:crosses val="autoZero"/>
        <c:auto val="1"/>
        <c:lblAlgn val="ctr"/>
        <c:lblOffset val="100"/>
        <c:noMultiLvlLbl val="0"/>
      </c:catAx>
      <c:valAx>
        <c:axId val="17645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7644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Up'!$BZ$3:$BZ$93</c:f>
              <c:numCache>
                <c:formatCode>_(* #,##0.00_);_(* \(#,##0.00\);_(* "-"??_);_(@_)</c:formatCode>
                <c:ptCount val="9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</c:numCache>
            </c:numRef>
          </c:yVal>
          <c:smooth val="0"/>
        </c:ser>
        <c:ser>
          <c:idx val="11"/>
          <c:order val="11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Up'!$CA$3:$CA$93</c:f>
              <c:numCache>
                <c:formatCode>_(* #,##0.00_);_(* \(#,##0.00\);_(* "-"??_);_(@_)</c:formatCode>
                <c:ptCount val="91"/>
                <c:pt idx="0">
                  <c:v>-150</c:v>
                </c:pt>
                <c:pt idx="1">
                  <c:v>-150</c:v>
                </c:pt>
                <c:pt idx="2">
                  <c:v>-150</c:v>
                </c:pt>
                <c:pt idx="3">
                  <c:v>-150</c:v>
                </c:pt>
                <c:pt idx="4">
                  <c:v>-150</c:v>
                </c:pt>
                <c:pt idx="5">
                  <c:v>-150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-150</c:v>
                </c:pt>
                <c:pt idx="12">
                  <c:v>-150</c:v>
                </c:pt>
                <c:pt idx="13">
                  <c:v>-150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-150</c:v>
                </c:pt>
                <c:pt idx="19">
                  <c:v>-150</c:v>
                </c:pt>
                <c:pt idx="20">
                  <c:v>-150</c:v>
                </c:pt>
                <c:pt idx="21">
                  <c:v>-150</c:v>
                </c:pt>
                <c:pt idx="22">
                  <c:v>-150</c:v>
                </c:pt>
                <c:pt idx="23">
                  <c:v>-150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-150</c:v>
                </c:pt>
                <c:pt idx="29">
                  <c:v>-150</c:v>
                </c:pt>
                <c:pt idx="30">
                  <c:v>-150</c:v>
                </c:pt>
                <c:pt idx="31">
                  <c:v>-150</c:v>
                </c:pt>
                <c:pt idx="32">
                  <c:v>-150</c:v>
                </c:pt>
                <c:pt idx="33">
                  <c:v>-150</c:v>
                </c:pt>
                <c:pt idx="34">
                  <c:v>-150</c:v>
                </c:pt>
                <c:pt idx="35">
                  <c:v>-150</c:v>
                </c:pt>
                <c:pt idx="36">
                  <c:v>-150</c:v>
                </c:pt>
                <c:pt idx="37">
                  <c:v>-150</c:v>
                </c:pt>
                <c:pt idx="38">
                  <c:v>-150</c:v>
                </c:pt>
                <c:pt idx="39">
                  <c:v>-150</c:v>
                </c:pt>
                <c:pt idx="40">
                  <c:v>-150</c:v>
                </c:pt>
                <c:pt idx="41">
                  <c:v>-150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-150</c:v>
                </c:pt>
                <c:pt idx="49">
                  <c:v>-150</c:v>
                </c:pt>
                <c:pt idx="50">
                  <c:v>-150</c:v>
                </c:pt>
                <c:pt idx="51">
                  <c:v>-150</c:v>
                </c:pt>
                <c:pt idx="52">
                  <c:v>-150</c:v>
                </c:pt>
                <c:pt idx="53">
                  <c:v>-150</c:v>
                </c:pt>
                <c:pt idx="54">
                  <c:v>-150</c:v>
                </c:pt>
                <c:pt idx="55">
                  <c:v>-150</c:v>
                </c:pt>
                <c:pt idx="56">
                  <c:v>-150</c:v>
                </c:pt>
                <c:pt idx="57">
                  <c:v>-150</c:v>
                </c:pt>
                <c:pt idx="58">
                  <c:v>-150</c:v>
                </c:pt>
                <c:pt idx="59">
                  <c:v>-150</c:v>
                </c:pt>
                <c:pt idx="60">
                  <c:v>-150</c:v>
                </c:pt>
                <c:pt idx="61">
                  <c:v>-150</c:v>
                </c:pt>
                <c:pt idx="62">
                  <c:v>-150</c:v>
                </c:pt>
                <c:pt idx="63">
                  <c:v>-150</c:v>
                </c:pt>
                <c:pt idx="64">
                  <c:v>-150</c:v>
                </c:pt>
                <c:pt idx="65">
                  <c:v>-150</c:v>
                </c:pt>
                <c:pt idx="66">
                  <c:v>-150</c:v>
                </c:pt>
              </c:numCache>
            </c:numRef>
          </c:yVal>
          <c:smooth val="0"/>
        </c:ser>
        <c:ser>
          <c:idx val="12"/>
          <c:order val="12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'Local Buckling'!$G$4:$G$93</c:f>
              <c:numCache>
                <c:formatCode>General</c:formatCode>
                <c:ptCount val="90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64128"/>
        <c:axId val="190071168"/>
      </c:scatterChart>
      <c:valAx>
        <c:axId val="1900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71168"/>
        <c:crosses val="autoZero"/>
        <c:crossBetween val="midCat"/>
      </c:valAx>
      <c:valAx>
        <c:axId val="190071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006412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1'!$F$4:$F$93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1-Tilt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48384"/>
        <c:axId val="190854272"/>
      </c:scatterChart>
      <c:valAx>
        <c:axId val="190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854272"/>
        <c:crosses val="autoZero"/>
        <c:crossBetween val="midCat"/>
      </c:valAx>
      <c:valAx>
        <c:axId val="190854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0848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Up'!$BZ$3:$BZ$93</c:f>
              <c:numCache>
                <c:formatCode>_(* #,##0.00_);_(* \(#,##0.00\);_(* "-"??_);_(@_)</c:formatCode>
                <c:ptCount val="9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</c:numCache>
            </c:numRef>
          </c:yVal>
          <c:smooth val="0"/>
        </c:ser>
        <c:ser>
          <c:idx val="11"/>
          <c:order val="11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Up'!$CA$3:$CA$93</c:f>
              <c:numCache>
                <c:formatCode>_(* #,##0.00_);_(* \(#,##0.00\);_(* "-"??_);_(@_)</c:formatCode>
                <c:ptCount val="91"/>
                <c:pt idx="0">
                  <c:v>-150</c:v>
                </c:pt>
                <c:pt idx="1">
                  <c:v>-150</c:v>
                </c:pt>
                <c:pt idx="2">
                  <c:v>-150</c:v>
                </c:pt>
                <c:pt idx="3">
                  <c:v>-150</c:v>
                </c:pt>
                <c:pt idx="4">
                  <c:v>-150</c:v>
                </c:pt>
                <c:pt idx="5">
                  <c:v>-150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-150</c:v>
                </c:pt>
                <c:pt idx="12">
                  <c:v>-150</c:v>
                </c:pt>
                <c:pt idx="13">
                  <c:v>-150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-150</c:v>
                </c:pt>
                <c:pt idx="19">
                  <c:v>-150</c:v>
                </c:pt>
                <c:pt idx="20">
                  <c:v>-150</c:v>
                </c:pt>
                <c:pt idx="21">
                  <c:v>-150</c:v>
                </c:pt>
                <c:pt idx="22">
                  <c:v>-150</c:v>
                </c:pt>
                <c:pt idx="23">
                  <c:v>-150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-150</c:v>
                </c:pt>
                <c:pt idx="29">
                  <c:v>-150</c:v>
                </c:pt>
                <c:pt idx="30">
                  <c:v>-150</c:v>
                </c:pt>
                <c:pt idx="31">
                  <c:v>-150</c:v>
                </c:pt>
                <c:pt idx="32">
                  <c:v>-150</c:v>
                </c:pt>
                <c:pt idx="33">
                  <c:v>-150</c:v>
                </c:pt>
                <c:pt idx="34">
                  <c:v>-150</c:v>
                </c:pt>
                <c:pt idx="35">
                  <c:v>-150</c:v>
                </c:pt>
                <c:pt idx="36">
                  <c:v>-150</c:v>
                </c:pt>
                <c:pt idx="37">
                  <c:v>-150</c:v>
                </c:pt>
                <c:pt idx="38">
                  <c:v>-150</c:v>
                </c:pt>
                <c:pt idx="39">
                  <c:v>-150</c:v>
                </c:pt>
                <c:pt idx="40">
                  <c:v>-150</c:v>
                </c:pt>
                <c:pt idx="41">
                  <c:v>-150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-150</c:v>
                </c:pt>
                <c:pt idx="49">
                  <c:v>-150</c:v>
                </c:pt>
                <c:pt idx="50">
                  <c:v>-150</c:v>
                </c:pt>
                <c:pt idx="51">
                  <c:v>-150</c:v>
                </c:pt>
                <c:pt idx="52">
                  <c:v>-150</c:v>
                </c:pt>
                <c:pt idx="53">
                  <c:v>-150</c:v>
                </c:pt>
                <c:pt idx="54">
                  <c:v>-150</c:v>
                </c:pt>
                <c:pt idx="55">
                  <c:v>-150</c:v>
                </c:pt>
                <c:pt idx="56">
                  <c:v>-150</c:v>
                </c:pt>
                <c:pt idx="57">
                  <c:v>-150</c:v>
                </c:pt>
                <c:pt idx="58">
                  <c:v>-150</c:v>
                </c:pt>
                <c:pt idx="59">
                  <c:v>-150</c:v>
                </c:pt>
                <c:pt idx="60">
                  <c:v>-150</c:v>
                </c:pt>
                <c:pt idx="61">
                  <c:v>-150</c:v>
                </c:pt>
                <c:pt idx="62">
                  <c:v>-150</c:v>
                </c:pt>
                <c:pt idx="63">
                  <c:v>-150</c:v>
                </c:pt>
                <c:pt idx="64">
                  <c:v>-150</c:v>
                </c:pt>
                <c:pt idx="65">
                  <c:v>-150</c:v>
                </c:pt>
                <c:pt idx="66">
                  <c:v>-150</c:v>
                </c:pt>
              </c:numCache>
            </c:numRef>
          </c:yVal>
          <c:smooth val="0"/>
        </c:ser>
        <c:ser>
          <c:idx val="12"/>
          <c:order val="12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dPt>
            <c:idx val="23"/>
            <c:bubble3D val="0"/>
          </c:dPt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'Local Buckling'!$M$4:$M$93</c:f>
              <c:numCache>
                <c:formatCode>General</c:formatCode>
                <c:ptCount val="90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87264"/>
        <c:axId val="190994304"/>
      </c:scatterChart>
      <c:valAx>
        <c:axId val="1909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994304"/>
        <c:crosses val="autoZero"/>
        <c:crossBetween val="midCat"/>
      </c:valAx>
      <c:valAx>
        <c:axId val="1909943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0987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1302802760165E-2"/>
          <c:y val="1.8748140353423565E-2"/>
          <c:w val="0.73419902883082433"/>
          <c:h val="0.9317817530873157"/>
        </c:manualLayout>
      </c:layout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Up'!$BZ$3:$BZ$93</c:f>
              <c:numCache>
                <c:formatCode>_(* #,##0.00_);_(* \(#,##0.00\);_(* "-"??_);_(@_)</c:formatCode>
                <c:ptCount val="9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</c:numCache>
            </c:numRef>
          </c:yVal>
          <c:smooth val="0"/>
        </c:ser>
        <c:ser>
          <c:idx val="11"/>
          <c:order val="11"/>
          <c:tx>
            <c:v>Allowable Bending Stresses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Up'!$CA$3:$CA$93</c:f>
              <c:numCache>
                <c:formatCode>_(* #,##0.00_);_(* \(#,##0.00\);_(* "-"??_);_(@_)</c:formatCode>
                <c:ptCount val="91"/>
                <c:pt idx="0">
                  <c:v>-150</c:v>
                </c:pt>
                <c:pt idx="1">
                  <c:v>-150</c:v>
                </c:pt>
                <c:pt idx="2">
                  <c:v>-150</c:v>
                </c:pt>
                <c:pt idx="3">
                  <c:v>-150</c:v>
                </c:pt>
                <c:pt idx="4">
                  <c:v>-150</c:v>
                </c:pt>
                <c:pt idx="5">
                  <c:v>-150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-150</c:v>
                </c:pt>
                <c:pt idx="12">
                  <c:v>-150</c:v>
                </c:pt>
                <c:pt idx="13">
                  <c:v>-150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-150</c:v>
                </c:pt>
                <c:pt idx="19">
                  <c:v>-150</c:v>
                </c:pt>
                <c:pt idx="20">
                  <c:v>-150</c:v>
                </c:pt>
                <c:pt idx="21">
                  <c:v>-150</c:v>
                </c:pt>
                <c:pt idx="22">
                  <c:v>-150</c:v>
                </c:pt>
                <c:pt idx="23">
                  <c:v>-150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-150</c:v>
                </c:pt>
                <c:pt idx="29">
                  <c:v>-150</c:v>
                </c:pt>
                <c:pt idx="30">
                  <c:v>-150</c:v>
                </c:pt>
                <c:pt idx="31">
                  <c:v>-150</c:v>
                </c:pt>
                <c:pt idx="32">
                  <c:v>-150</c:v>
                </c:pt>
                <c:pt idx="33">
                  <c:v>-150</c:v>
                </c:pt>
                <c:pt idx="34">
                  <c:v>-150</c:v>
                </c:pt>
                <c:pt idx="35">
                  <c:v>-150</c:v>
                </c:pt>
                <c:pt idx="36">
                  <c:v>-150</c:v>
                </c:pt>
                <c:pt idx="37">
                  <c:v>-150</c:v>
                </c:pt>
                <c:pt idx="38">
                  <c:v>-150</c:v>
                </c:pt>
                <c:pt idx="39">
                  <c:v>-150</c:v>
                </c:pt>
                <c:pt idx="40">
                  <c:v>-150</c:v>
                </c:pt>
                <c:pt idx="41">
                  <c:v>-150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-150</c:v>
                </c:pt>
                <c:pt idx="49">
                  <c:v>-150</c:v>
                </c:pt>
                <c:pt idx="50">
                  <c:v>-150</c:v>
                </c:pt>
                <c:pt idx="51">
                  <c:v>-150</c:v>
                </c:pt>
                <c:pt idx="52">
                  <c:v>-150</c:v>
                </c:pt>
                <c:pt idx="53">
                  <c:v>-150</c:v>
                </c:pt>
                <c:pt idx="54">
                  <c:v>-150</c:v>
                </c:pt>
                <c:pt idx="55">
                  <c:v>-150</c:v>
                </c:pt>
                <c:pt idx="56">
                  <c:v>-150</c:v>
                </c:pt>
                <c:pt idx="57">
                  <c:v>-150</c:v>
                </c:pt>
                <c:pt idx="58">
                  <c:v>-150</c:v>
                </c:pt>
                <c:pt idx="59">
                  <c:v>-150</c:v>
                </c:pt>
                <c:pt idx="60">
                  <c:v>-150</c:v>
                </c:pt>
                <c:pt idx="61">
                  <c:v>-150</c:v>
                </c:pt>
                <c:pt idx="62">
                  <c:v>-150</c:v>
                </c:pt>
                <c:pt idx="63">
                  <c:v>-150</c:v>
                </c:pt>
                <c:pt idx="64">
                  <c:v>-150</c:v>
                </c:pt>
                <c:pt idx="65">
                  <c:v>-150</c:v>
                </c:pt>
                <c:pt idx="66">
                  <c:v>-150</c:v>
                </c:pt>
              </c:numCache>
            </c:numRef>
          </c:yVal>
          <c:smooth val="0"/>
        </c:ser>
        <c:ser>
          <c:idx val="12"/>
          <c:order val="12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'Local Buckling'!$S$4:$S$93</c:f>
              <c:numCache>
                <c:formatCode>General</c:formatCode>
                <c:ptCount val="90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87360"/>
        <c:axId val="191090048"/>
      </c:scatterChart>
      <c:valAx>
        <c:axId val="191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090048"/>
        <c:crosses val="autoZero"/>
        <c:crossBetween val="midCat"/>
      </c:valAx>
      <c:valAx>
        <c:axId val="191090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108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2'!$F$4:$F$93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2-Tilt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52736"/>
        <c:axId val="213909888"/>
      </c:scatterChart>
      <c:valAx>
        <c:axId val="2132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909888"/>
        <c:crosses val="autoZero"/>
        <c:crossBetween val="midCat"/>
      </c:valAx>
      <c:valAx>
        <c:axId val="2139098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325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Stresses @ 2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Up'!$V$3:$V$93</c:f>
              <c:numCache>
                <c:formatCode>_(* #,##0.00_);_(* \(#,##0.00\);_(* "-"??_);_(@_)</c:formatCode>
                <c:ptCount val="91"/>
                <c:pt idx="0">
                  <c:v>16.931848514174092</c:v>
                </c:pt>
                <c:pt idx="1">
                  <c:v>15.890322044209206</c:v>
                </c:pt>
                <c:pt idx="2">
                  <c:v>14.933081589252733</c:v>
                </c:pt>
                <c:pt idx="3">
                  <c:v>14.065686403047316</c:v>
                </c:pt>
                <c:pt idx="4">
                  <c:v>13.294038154071645</c:v>
                </c:pt>
                <c:pt idx="5">
                  <c:v>12.62440417145187</c:v>
                </c:pt>
                <c:pt idx="6">
                  <c:v>12.063442471722135</c:v>
                </c:pt>
                <c:pt idx="7">
                  <c:v>11.618228720265341</c:v>
                </c:pt>
                <c:pt idx="8">
                  <c:v>11.296285296153638</c:v>
                </c:pt>
                <c:pt idx="9">
                  <c:v>11.105612645598619</c:v>
                </c:pt>
                <c:pt idx="10">
                  <c:v>11.054723127504309</c:v>
                </c:pt>
                <c:pt idx="11">
                  <c:v>11.152677574907999</c:v>
                </c:pt>
                <c:pt idx="12">
                  <c:v>11.409124818637734</c:v>
                </c:pt>
                <c:pt idx="13">
                  <c:v>11.83434444458746</c:v>
                </c:pt>
                <c:pt idx="14">
                  <c:v>12.439293083924531</c:v>
                </c:pt>
                <c:pt idx="15">
                  <c:v>12.448756046533619</c:v>
                </c:pt>
                <c:pt idx="16">
                  <c:v>12.026422853382931</c:v>
                </c:pt>
                <c:pt idx="17">
                  <c:v>11.756734872935841</c:v>
                </c:pt>
                <c:pt idx="18">
                  <c:v>11.650564011602484</c:v>
                </c:pt>
                <c:pt idx="19">
                  <c:v>11.719549335192383</c:v>
                </c:pt>
                <c:pt idx="20">
                  <c:v>11.976157615461442</c:v>
                </c:pt>
                <c:pt idx="21">
                  <c:v>12.433749305520687</c:v>
                </c:pt>
                <c:pt idx="22">
                  <c:v>10.654386171249932</c:v>
                </c:pt>
                <c:pt idx="23">
                  <c:v>9.8483837617300711</c:v>
                </c:pt>
                <c:pt idx="24">
                  <c:v>9.2057674052858882</c:v>
                </c:pt>
                <c:pt idx="25">
                  <c:v>8.7395555842384507</c:v>
                </c:pt>
                <c:pt idx="26">
                  <c:v>8.463775809979051</c:v>
                </c:pt>
                <c:pt idx="27">
                  <c:v>8.3935517914443523</c:v>
                </c:pt>
                <c:pt idx="28">
                  <c:v>8.5451991528736837</c:v>
                </c:pt>
                <c:pt idx="29">
                  <c:v>5.7748537907952073</c:v>
                </c:pt>
                <c:pt idx="30">
                  <c:v>4.360176852181521</c:v>
                </c:pt>
                <c:pt idx="31">
                  <c:v>3.1139741915468417</c:v>
                </c:pt>
                <c:pt idx="32">
                  <c:v>2.0516889378600789</c:v>
                </c:pt>
                <c:pt idx="33">
                  <c:v>1.190096856817729</c:v>
                </c:pt>
                <c:pt idx="34">
                  <c:v>0.54743372467230578</c:v>
                </c:pt>
                <c:pt idx="35">
                  <c:v>0.1435365019089431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Stresses @ 10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Up'!$AB$3:$AB$93</c:f>
              <c:numCache>
                <c:formatCode>_(* #,##0.00_);_(* \(#,##0.00\);_(* "-"??_);_(@_)</c:formatCode>
                <c:ptCount val="91"/>
                <c:pt idx="0">
                  <c:v>8.1313548774260305</c:v>
                </c:pt>
                <c:pt idx="1">
                  <c:v>7.285323344524997</c:v>
                </c:pt>
                <c:pt idx="2">
                  <c:v>6.5309573134543948</c:v>
                </c:pt>
                <c:pt idx="3">
                  <c:v>5.8741386965346116</c:v>
                </c:pt>
                <c:pt idx="4">
                  <c:v>5.3211087908471271</c:v>
                </c:pt>
                <c:pt idx="5">
                  <c:v>4.8784925826575094</c:v>
                </c:pt>
                <c:pt idx="6">
                  <c:v>4.5533249095943962</c:v>
                </c:pt>
                <c:pt idx="7">
                  <c:v>4.3530786408215913</c:v>
                </c:pt>
                <c:pt idx="8">
                  <c:v>4.2856950509329996</c:v>
                </c:pt>
                <c:pt idx="9">
                  <c:v>4.3596165804579448</c:v>
                </c:pt>
                <c:pt idx="10">
                  <c:v>4.5838221948862694</c:v>
                </c:pt>
                <c:pt idx="11">
                  <c:v>4.9678655752324996</c:v>
                </c:pt>
                <c:pt idx="12">
                  <c:v>5.521916396609889</c:v>
                </c:pt>
                <c:pt idx="13">
                  <c:v>6.2568049773639496</c:v>
                </c:pt>
                <c:pt idx="14">
                  <c:v>7.1840706103482024</c:v>
                </c:pt>
                <c:pt idx="15">
                  <c:v>8.1450492663458594</c:v>
                </c:pt>
                <c:pt idx="16">
                  <c:v>7.9497449478870603</c:v>
                </c:pt>
                <c:pt idx="17">
                  <c:v>7.9159651249250143</c:v>
                </c:pt>
                <c:pt idx="18">
                  <c:v>8.0550164555227575</c:v>
                </c:pt>
                <c:pt idx="19">
                  <c:v>8.3789989726022664</c:v>
                </c:pt>
                <c:pt idx="20">
                  <c:v>8.9008685260480274</c:v>
                </c:pt>
                <c:pt idx="21">
                  <c:v>9.634504814378543</c:v>
                </c:pt>
                <c:pt idx="22">
                  <c:v>8.7095480383971058</c:v>
                </c:pt>
                <c:pt idx="23">
                  <c:v>8.0562163707149246</c:v>
                </c:pt>
                <c:pt idx="24">
                  <c:v>7.5713944665907276</c:v>
                </c:pt>
                <c:pt idx="25">
                  <c:v>7.2683438560336695</c:v>
                </c:pt>
                <c:pt idx="26">
                  <c:v>7.1613499886610237</c:v>
                </c:pt>
                <c:pt idx="27">
                  <c:v>7.2658105227871888</c:v>
                </c:pt>
                <c:pt idx="28">
                  <c:v>7.5983322640912956</c:v>
                </c:pt>
                <c:pt idx="29">
                  <c:v>5.6910664141313827</c:v>
                </c:pt>
                <c:pt idx="30">
                  <c:v>4.2969749153937027</c:v>
                </c:pt>
                <c:pt idx="31">
                  <c:v>3.0688960399325254</c:v>
                </c:pt>
                <c:pt idx="32">
                  <c:v>2.0220473648418844</c:v>
                </c:pt>
                <c:pt idx="33">
                  <c:v>1.17295964272135</c:v>
                </c:pt>
                <c:pt idx="34">
                  <c:v>0.53960231550250193</c:v>
                </c:pt>
                <c:pt idx="35">
                  <c:v>0.14152262661531995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Stresses @ 20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Up'!$AH$3:$AH$93</c:f>
              <c:numCache>
                <c:formatCode>_(* #,##0.00_);_(* \(#,##0.00\);_(* "-"??_);_(@_)</c:formatCode>
                <c:ptCount val="91"/>
                <c:pt idx="0">
                  <c:v>10.988811133076444</c:v>
                </c:pt>
                <c:pt idx="1">
                  <c:v>10.080187327274215</c:v>
                </c:pt>
                <c:pt idx="2">
                  <c:v>9.254485418837131</c:v>
                </c:pt>
                <c:pt idx="3">
                  <c:v>8.5171082746241069</c:v>
                </c:pt>
                <c:pt idx="4">
                  <c:v>7.8737903684090256</c:v>
                </c:pt>
                <c:pt idx="5">
                  <c:v>7.3306202552000093</c:v>
                </c:pt>
                <c:pt idx="6">
                  <c:v>6.8940647656027219</c:v>
                </c:pt>
                <c:pt idx="7">
                  <c:v>6.5709950687107117</c:v>
                </c:pt>
                <c:pt idx="8">
                  <c:v>6.3687147663694734</c:v>
                </c:pt>
                <c:pt idx="9">
                  <c:v>6.2949901975708409</c:v>
                </c:pt>
                <c:pt idx="10">
                  <c:v>6.3580831493722405</c:v>
                </c:pt>
                <c:pt idx="11">
                  <c:v>6.5667861903108413</c:v>
                </c:pt>
                <c:pt idx="12">
                  <c:v>6.9304608640302918</c:v>
                </c:pt>
                <c:pt idx="13">
                  <c:v>7.4590790050226028</c:v>
                </c:pt>
                <c:pt idx="14">
                  <c:v>8.1632674653139805</c:v>
                </c:pt>
                <c:pt idx="15">
                  <c:v>8.9793184138476079</c:v>
                </c:pt>
                <c:pt idx="16">
                  <c:v>8.6713982245708774</c:v>
                </c:pt>
                <c:pt idx="17">
                  <c:v>8.5117615771941875</c:v>
                </c:pt>
                <c:pt idx="18">
                  <c:v>8.5108893198585491</c:v>
                </c:pt>
                <c:pt idx="19">
                  <c:v>8.6800000505538168</c:v>
                </c:pt>
                <c:pt idx="20">
                  <c:v>9.0311082720192069</c:v>
                </c:pt>
                <c:pt idx="21">
                  <c:v>9.5770877572944446</c:v>
                </c:pt>
                <c:pt idx="22">
                  <c:v>8.7256992689701427</c:v>
                </c:pt>
                <c:pt idx="23">
                  <c:v>8.0249915622910031</c:v>
                </c:pt>
                <c:pt idx="24">
                  <c:v>7.4811260927543959</c:v>
                </c:pt>
                <c:pt idx="25">
                  <c:v>7.1065321505315371</c:v>
                </c:pt>
                <c:pt idx="26">
                  <c:v>6.9146007684120407</c:v>
                </c:pt>
                <c:pt idx="27">
                  <c:v>6.9197677372632276</c:v>
                </c:pt>
                <c:pt idx="28">
                  <c:v>7.1376047595100003</c:v>
                </c:pt>
                <c:pt idx="29">
                  <c:v>5.4318564166165997</c:v>
                </c:pt>
                <c:pt idx="30">
                  <c:v>4.1014493537875625</c:v>
                </c:pt>
                <c:pt idx="31">
                  <c:v>2.9294393815053321</c:v>
                </c:pt>
                <c:pt idx="32">
                  <c:v>1.930346295130535</c:v>
                </c:pt>
                <c:pt idx="33">
                  <c:v>1.1199428590457423</c:v>
                </c:pt>
                <c:pt idx="34">
                  <c:v>0.51537456626066946</c:v>
                </c:pt>
                <c:pt idx="35">
                  <c:v>0.13529237295850022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Stresses @ 30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Up'!$AN$3:$AN$93</c:f>
              <c:numCache>
                <c:formatCode>_(* #,##0.00_);_(* \(#,##0.00\);_(* "-"??_);_(@_)</c:formatCode>
                <c:ptCount val="91"/>
                <c:pt idx="0">
                  <c:v>10.943903124425169</c:v>
                </c:pt>
                <c:pt idx="1">
                  <c:v>10.080590252302555</c:v>
                </c:pt>
                <c:pt idx="2">
                  <c:v>9.2925381700878376</c:v>
                </c:pt>
                <c:pt idx="3">
                  <c:v>8.5846726885430229</c:v>
                </c:pt>
                <c:pt idx="4">
                  <c:v>7.9622223416416036</c:v>
                </c:pt>
                <c:pt idx="5">
                  <c:v>7.4307389161326984</c:v>
                </c:pt>
                <c:pt idx="6">
                  <c:v>6.9961195528836964</c:v>
                </c:pt>
                <c:pt idx="7">
                  <c:v>6.6646305557178742</c:v>
                </c:pt>
                <c:pt idx="8">
                  <c:v>6.4429330565945921</c:v>
                </c:pt>
                <c:pt idx="9">
                  <c:v>6.3381107005239805</c:v>
                </c:pt>
                <c:pt idx="10">
                  <c:v>6.3576995297327201</c:v>
                </c:pt>
                <c:pt idx="11">
                  <c:v>6.5097202644937262</c:v>
                </c:pt>
                <c:pt idx="12">
                  <c:v>6.8027131979145654</c:v>
                </c:pt>
                <c:pt idx="13">
                  <c:v>7.2457759440898819</c:v>
                </c:pt>
                <c:pt idx="14">
                  <c:v>7.8486043036404549</c:v>
                </c:pt>
                <c:pt idx="15">
                  <c:v>8.5785781090452531</c:v>
                </c:pt>
                <c:pt idx="16">
                  <c:v>8.2636714323889287</c:v>
                </c:pt>
                <c:pt idx="17">
                  <c:v>8.0839294726747983</c:v>
                </c:pt>
                <c:pt idx="18">
                  <c:v>8.048932715617795</c:v>
                </c:pt>
                <c:pt idx="19">
                  <c:v>8.1689366317278793</c:v>
                </c:pt>
                <c:pt idx="20">
                  <c:v>8.4549249074409651</c:v>
                </c:pt>
                <c:pt idx="21">
                  <c:v>8.9186674470069214</c:v>
                </c:pt>
                <c:pt idx="22">
                  <c:v>8.1518637337980433</c:v>
                </c:pt>
                <c:pt idx="23">
                  <c:v>7.4866030521488964</c:v>
                </c:pt>
                <c:pt idx="24">
                  <c:v>6.9648922029101197</c:v>
                </c:pt>
                <c:pt idx="25">
                  <c:v>6.5981293160493539</c:v>
                </c:pt>
                <c:pt idx="26">
                  <c:v>6.3985950098747573</c:v>
                </c:pt>
                <c:pt idx="27">
                  <c:v>6.3795285879009791</c:v>
                </c:pt>
                <c:pt idx="28">
                  <c:v>6.5552117066109208</c:v>
                </c:pt>
                <c:pt idx="29">
                  <c:v>5.0085997797948538</c:v>
                </c:pt>
                <c:pt idx="30">
                  <c:v>3.7821812221122859</c:v>
                </c:pt>
                <c:pt idx="31">
                  <c:v>2.7017245680559516</c:v>
                </c:pt>
                <c:pt idx="32">
                  <c:v>1.7806102250286537</c:v>
                </c:pt>
                <c:pt idx="33">
                  <c:v>1.0333732599994561</c:v>
                </c:pt>
                <c:pt idx="34">
                  <c:v>0.47581376320455399</c:v>
                </c:pt>
                <c:pt idx="35">
                  <c:v>0.12511916885906529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Stresses @ 40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Up'!$AT$3:$AT$93</c:f>
              <c:numCache>
                <c:formatCode>_(* #,##0.00_);_(* \(#,##0.00\);_(* "-"??_);_(@_)</c:formatCode>
                <c:ptCount val="91"/>
                <c:pt idx="0">
                  <c:v>9.9299717848194931</c:v>
                </c:pt>
                <c:pt idx="1">
                  <c:v>9.1581440493268289</c:v>
                </c:pt>
                <c:pt idx="2">
                  <c:v>8.4525236040066964</c:v>
                </c:pt>
                <c:pt idx="3">
                  <c:v>7.8174507867766252</c:v>
                </c:pt>
                <c:pt idx="4">
                  <c:v>7.2575328038709843</c:v>
                </c:pt>
                <c:pt idx="5">
                  <c:v>6.7776618319353545</c:v>
                </c:pt>
                <c:pt idx="6">
                  <c:v>6.3830345062307599</c:v>
                </c:pt>
                <c:pt idx="7">
                  <c:v>6.0791729146426592</c:v>
                </c:pt>
                <c:pt idx="8">
                  <c:v>5.8719472287718562</c:v>
                </c:pt>
                <c:pt idx="9">
                  <c:v>5.7676001162119217</c:v>
                </c:pt>
                <c:pt idx="10">
                  <c:v>5.7727730923405902</c:v>
                </c:pt>
                <c:pt idx="11">
                  <c:v>5.8945349857369012</c:v>
                </c:pt>
                <c:pt idx="12">
                  <c:v>6.1404127088721587</c:v>
                </c:pt>
                <c:pt idx="13">
                  <c:v>6.5184245452251908</c:v>
                </c:pt>
                <c:pt idx="14">
                  <c:v>7.0371161856847353</c:v>
                </c:pt>
                <c:pt idx="15">
                  <c:v>7.6795887709946973</c:v>
                </c:pt>
                <c:pt idx="16">
                  <c:v>7.3911552274413683</c:v>
                </c:pt>
                <c:pt idx="17">
                  <c:v>7.2218087657481567</c:v>
                </c:pt>
                <c:pt idx="18">
                  <c:v>7.1799989173579633</c:v>
                </c:pt>
                <c:pt idx="19">
                  <c:v>7.2747707138657773</c:v>
                </c:pt>
                <c:pt idx="20">
                  <c:v>7.5158116573961928</c:v>
                </c:pt>
                <c:pt idx="21">
                  <c:v>7.9135029010349243</c:v>
                </c:pt>
                <c:pt idx="22">
                  <c:v>7.2528110418981981</c:v>
                </c:pt>
                <c:pt idx="23">
                  <c:v>6.6585868556343835</c:v>
                </c:pt>
                <c:pt idx="24">
                  <c:v>6.1910421097966175</c:v>
                </c:pt>
                <c:pt idx="25">
                  <c:v>5.8602420282727419</c:v>
                </c:pt>
                <c:pt idx="26">
                  <c:v>5.6770312835219823</c:v>
                </c:pt>
                <c:pt idx="27">
                  <c:v>5.6531013033453874</c:v>
                </c:pt>
                <c:pt idx="28">
                  <c:v>5.8010641772903595</c:v>
                </c:pt>
                <c:pt idx="29">
                  <c:v>4.4341569423977827</c:v>
                </c:pt>
                <c:pt idx="30">
                  <c:v>3.3488713209913561</c:v>
                </c:pt>
                <c:pt idx="31">
                  <c:v>2.3926705989617889</c:v>
                </c:pt>
                <c:pt idx="32">
                  <c:v>1.5773888092561781</c:v>
                </c:pt>
                <c:pt idx="33">
                  <c:v>0.91588121904318109</c:v>
                </c:pt>
                <c:pt idx="34">
                  <c:v>0.42212194131628294</c:v>
                </c:pt>
                <c:pt idx="35">
                  <c:v>0.11131212197568686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Stresses @ 50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Up'!$AZ$3:$AZ$93</c:f>
              <c:numCache>
                <c:formatCode>_(* #,##0.00_);_(* \(#,##0.00\);_(* "-"??_);_(@_)</c:formatCode>
                <c:ptCount val="91"/>
                <c:pt idx="0">
                  <c:v>8.3412364004511126</c:v>
                </c:pt>
                <c:pt idx="1">
                  <c:v>7.6929358057811275</c:v>
                </c:pt>
                <c:pt idx="2">
                  <c:v>7.1001623734658557</c:v>
                </c:pt>
                <c:pt idx="3">
                  <c:v>6.5665568467722757</c:v>
                </c:pt>
                <c:pt idx="4">
                  <c:v>6.0959838322587352</c:v>
                </c:pt>
                <c:pt idx="5">
                  <c:v>5.6925469850933146</c:v>
                </c:pt>
                <c:pt idx="6">
                  <c:v>5.3606053571537267</c:v>
                </c:pt>
                <c:pt idx="7">
                  <c:v>5.1047910083194115</c:v>
                </c:pt>
                <c:pt idx="8">
                  <c:v>4.9300279910824694</c:v>
                </c:pt>
                <c:pt idx="9">
                  <c:v>4.8415528293655132</c:v>
                </c:pt>
                <c:pt idx="10">
                  <c:v>4.8449366243654506</c:v>
                </c:pt>
                <c:pt idx="11">
                  <c:v>4.9461089334837256</c:v>
                </c:pt>
                <c:pt idx="12">
                  <c:v>5.1513835831149013</c:v>
                </c:pt>
                <c:pt idx="13">
                  <c:v>5.4674865924254954</c:v>
                </c:pt>
                <c:pt idx="14">
                  <c:v>5.9015864034697483</c:v>
                </c:pt>
                <c:pt idx="15">
                  <c:v>6.4459625342141038</c:v>
                </c:pt>
                <c:pt idx="16">
                  <c:v>6.2030420569153142</c:v>
                </c:pt>
                <c:pt idx="17">
                  <c:v>6.0600062120486777</c:v>
                </c:pt>
                <c:pt idx="18">
                  <c:v>6.0239428509109514</c:v>
                </c:pt>
                <c:pt idx="19">
                  <c:v>6.1024393751444741</c:v>
                </c:pt>
                <c:pt idx="20">
                  <c:v>6.3036221397149896</c:v>
                </c:pt>
                <c:pt idx="21">
                  <c:v>6.6361993876982952</c:v>
                </c:pt>
                <c:pt idx="22">
                  <c:v>6.1023828237623947</c:v>
                </c:pt>
                <c:pt idx="23">
                  <c:v>5.6039439867330705</c:v>
                </c:pt>
                <c:pt idx="24">
                  <c:v>5.2118054508252252</c:v>
                </c:pt>
                <c:pt idx="25">
                  <c:v>4.9344130522876757</c:v>
                </c:pt>
                <c:pt idx="26">
                  <c:v>4.7808666666828046</c:v>
                </c:pt>
                <c:pt idx="27">
                  <c:v>4.7609766861655469</c:v>
                </c:pt>
                <c:pt idx="28">
                  <c:v>4.8853260345213503</c:v>
                </c:pt>
                <c:pt idx="29">
                  <c:v>3.7259820593575941</c:v>
                </c:pt>
                <c:pt idx="30">
                  <c:v>2.8146855525049417</c:v>
                </c:pt>
                <c:pt idx="31">
                  <c:v>2.0116679226849161</c:v>
                </c:pt>
                <c:pt idx="32">
                  <c:v>1.3268568276963573</c:v>
                </c:pt>
                <c:pt idx="33">
                  <c:v>0.77103667238753293</c:v>
                </c:pt>
                <c:pt idx="34">
                  <c:v>0.3559304994345589</c:v>
                </c:pt>
                <c:pt idx="35">
                  <c:v>9.4290752441213543E-2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Stresses @ 60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Up'!$BF$3:$BF$93</c:f>
              <c:numCache>
                <c:formatCode>_(* #,##0.00_);_(* \(#,##0.00\);_(* "-"??_);_(@_)</c:formatCode>
                <c:ptCount val="91"/>
                <c:pt idx="0">
                  <c:v>6.3457364239688232</c:v>
                </c:pt>
                <c:pt idx="1">
                  <c:v>5.8455103249306308</c:v>
                </c:pt>
                <c:pt idx="2">
                  <c:v>5.3886612896334336</c:v>
                </c:pt>
                <c:pt idx="3">
                  <c:v>4.9780298588762228</c:v>
                </c:pt>
                <c:pt idx="4">
                  <c:v>4.6166311702718597</c:v>
                </c:pt>
                <c:pt idx="5">
                  <c:v>4.3076667996281</c:v>
                </c:pt>
                <c:pt idx="6">
                  <c:v>4.0545375089640077</c:v>
                </c:pt>
                <c:pt idx="7">
                  <c:v>3.8608569794482839</c:v>
                </c:pt>
                <c:pt idx="8">
                  <c:v>3.7304666151204993</c:v>
                </c:pt>
                <c:pt idx="9">
                  <c:v>3.6674515116461577</c:v>
                </c:pt>
                <c:pt idx="10">
                  <c:v>3.6761576936581459</c:v>
                </c:pt>
                <c:pt idx="11">
                  <c:v>3.761210734560493</c:v>
                </c:pt>
                <c:pt idx="12">
                  <c:v>3.9275358841393526</c:v>
                </c:pt>
                <c:pt idx="13">
                  <c:v>4.1803798420807281</c:v>
                </c:pt>
                <c:pt idx="14">
                  <c:v>4.5253343296949007</c:v>
                </c:pt>
                <c:pt idx="15">
                  <c:v>4.9601007203741885</c:v>
                </c:pt>
                <c:pt idx="16">
                  <c:v>4.7758632639637986</c:v>
                </c:pt>
                <c:pt idx="17">
                  <c:v>4.6695509297963333</c:v>
                </c:pt>
                <c:pt idx="18">
                  <c:v>4.6466891680532276</c:v>
                </c:pt>
                <c:pt idx="19">
                  <c:v>4.713192767601881</c:v>
                </c:pt>
                <c:pt idx="20">
                  <c:v>4.8753965621646245</c:v>
                </c:pt>
                <c:pt idx="21">
                  <c:v>5.1400888885797897</c:v>
                </c:pt>
                <c:pt idx="22">
                  <c:v>4.7508669116964857</c:v>
                </c:pt>
                <c:pt idx="23">
                  <c:v>4.3671905644600146</c:v>
                </c:pt>
                <c:pt idx="24">
                  <c:v>4.0663997275839394</c:v>
                </c:pt>
                <c:pt idx="25">
                  <c:v>3.8550752557831633</c:v>
                </c:pt>
                <c:pt idx="26">
                  <c:v>3.7403075097012395</c:v>
                </c:pt>
                <c:pt idx="27">
                  <c:v>3.7297403478660103</c:v>
                </c:pt>
                <c:pt idx="28">
                  <c:v>3.8316194319129675</c:v>
                </c:pt>
                <c:pt idx="29">
                  <c:v>2.9055926661416818</c:v>
                </c:pt>
                <c:pt idx="30">
                  <c:v>2.1958548809174627</c:v>
                </c:pt>
                <c:pt idx="31">
                  <c:v>1.5702931127473494</c:v>
                </c:pt>
                <c:pt idx="32">
                  <c:v>1.0366265678335858</c:v>
                </c:pt>
                <c:pt idx="33">
                  <c:v>0.60324064828776625</c:v>
                </c:pt>
                <c:pt idx="34">
                  <c:v>0.27925063102647207</c:v>
                </c:pt>
                <c:pt idx="35">
                  <c:v>7.4572245955721719E-2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Stresses @ 70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Up'!$BL$3:$BL$93</c:f>
              <c:numCache>
                <c:formatCode>_(* #,##0.00_);_(* \(#,##0.00\);_(* "-"??_);_(@_)</c:formatCode>
                <c:ptCount val="91"/>
                <c:pt idx="0">
                  <c:v>4.0549248649458765</c:v>
                </c:pt>
                <c:pt idx="1">
                  <c:v>3.7212338781713177</c:v>
                </c:pt>
                <c:pt idx="2">
                  <c:v>3.4175978349574203</c:v>
                </c:pt>
                <c:pt idx="3">
                  <c:v>3.1459774940309244</c:v>
                </c:pt>
                <c:pt idx="4">
                  <c:v>2.9084540025662728</c:v>
                </c:pt>
                <c:pt idx="5">
                  <c:v>2.707237056835293</c:v>
                </c:pt>
                <c:pt idx="6">
                  <c:v>2.5446736874868168</c:v>
                </c:pt>
                <c:pt idx="7">
                  <c:v>2.423257723381107</c:v>
                </c:pt>
                <c:pt idx="8">
                  <c:v>2.3456399931209191</c:v>
                </c:pt>
                <c:pt idx="9">
                  <c:v>2.3146393291990313</c:v>
                </c:pt>
                <c:pt idx="10">
                  <c:v>2.3332544460883318</c:v>
                </c:pt>
                <c:pt idx="11">
                  <c:v>2.4046767707101031</c:v>
                </c:pt>
                <c:pt idx="12">
                  <c:v>2.5323043116147965</c:v>
                </c:pt>
                <c:pt idx="13">
                  <c:v>2.7197566619934817</c:v>
                </c:pt>
                <c:pt idx="14">
                  <c:v>2.9708912414176161</c:v>
                </c:pt>
                <c:pt idx="15">
                  <c:v>3.2862107165404852</c:v>
                </c:pt>
                <c:pt idx="16">
                  <c:v>3.1701391678733728</c:v>
                </c:pt>
                <c:pt idx="17">
                  <c:v>3.1078518694006849</c:v>
                </c:pt>
                <c:pt idx="18">
                  <c:v>3.1031537977336203</c:v>
                </c:pt>
                <c:pt idx="19">
                  <c:v>3.160117841225718</c:v>
                </c:pt>
                <c:pt idx="20">
                  <c:v>3.2831059218119689</c:v>
                </c:pt>
                <c:pt idx="21">
                  <c:v>3.4767920095175677</c:v>
                </c:pt>
                <c:pt idx="22">
                  <c:v>3.2458345656269652</c:v>
                </c:pt>
                <c:pt idx="23">
                  <c:v>2.991196697723784</c:v>
                </c:pt>
                <c:pt idx="24">
                  <c:v>2.7936433437221124</c:v>
                </c:pt>
                <c:pt idx="25">
                  <c:v>2.6576979204260427</c:v>
                </c:pt>
                <c:pt idx="26">
                  <c:v>2.5882338448250817</c:v>
                </c:pt>
                <c:pt idx="27">
                  <c:v>2.5905047449544214</c:v>
                </c:pt>
                <c:pt idx="28">
                  <c:v>2.6701776323099726</c:v>
                </c:pt>
                <c:pt idx="29">
                  <c:v>1.9979158793258478</c:v>
                </c:pt>
                <c:pt idx="30">
                  <c:v>1.511182163041674</c:v>
                </c:pt>
                <c:pt idx="31">
                  <c:v>1.0819571194026103</c:v>
                </c:pt>
                <c:pt idx="32">
                  <c:v>0.71551652925019649</c:v>
                </c:pt>
                <c:pt idx="33">
                  <c:v>0.41759154402726728</c:v>
                </c:pt>
                <c:pt idx="34">
                  <c:v>0.19441221509171663</c:v>
                </c:pt>
                <c:pt idx="35">
                  <c:v>5.2755739360727333E-2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Stresses @ 80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Up'!$BR$3:$BR$93</c:f>
              <c:numCache>
                <c:formatCode>_(* #,##0.00_);_(* \(#,##0.00\);_(* "-"??_);_(@_)</c:formatCode>
                <c:ptCount val="91"/>
                <c:pt idx="0">
                  <c:v>1.5627061487824374</c:v>
                </c:pt>
                <c:pt idx="1">
                  <c:v>1.4081917302546814</c:v>
                </c:pt>
                <c:pt idx="2">
                  <c:v>1.2696088439463429</c:v>
                </c:pt>
                <c:pt idx="3">
                  <c:v>1.1479840477058254</c:v>
                </c:pt>
                <c:pt idx="4">
                  <c:v>1.0444066998592487</c:v>
                </c:pt>
                <c:pt idx="5">
                  <c:v>0.96003320879957765</c:v>
                </c:pt>
                <c:pt idx="6">
                  <c:v>0.89609160751483252</c:v>
                </c:pt>
                <c:pt idx="7">
                  <c:v>0.85388648108888598</c:v>
                </c:pt>
                <c:pt idx="8">
                  <c:v>0.8348042779191075</c:v>
                </c:pt>
                <c:pt idx="9">
                  <c:v>0.84031903839737465</c:v>
                </c:pt>
                <c:pt idx="10">
                  <c:v>0.87199857812964121</c:v>
                </c:pt>
                <c:pt idx="11">
                  <c:v>0.9315111664628859</c:v>
                </c:pt>
                <c:pt idx="12">
                  <c:v>1.0206327451922133</c:v>
                </c:pt>
                <c:pt idx="13">
                  <c:v>1.1412547368841575</c:v>
                </c:pt>
                <c:pt idx="14">
                  <c:v>1.2953924973329034</c:v>
                </c:pt>
                <c:pt idx="15">
                  <c:v>1.4842662210153958</c:v>
                </c:pt>
                <c:pt idx="16">
                  <c:v>1.4428619011007171</c:v>
                </c:pt>
                <c:pt idx="17">
                  <c:v>1.42960934192855</c:v>
                </c:pt>
                <c:pt idx="18">
                  <c:v>1.4464849431506339</c:v>
                </c:pt>
                <c:pt idx="19">
                  <c:v>1.4956039189574408</c:v>
                </c:pt>
                <c:pt idx="20">
                  <c:v>1.5792312285903958</c:v>
                </c:pt>
                <c:pt idx="21">
                  <c:v>1.6997934855879984</c:v>
                </c:pt>
                <c:pt idx="22">
                  <c:v>1.6361262537749364</c:v>
                </c:pt>
                <c:pt idx="23">
                  <c:v>1.5203015555702235</c:v>
                </c:pt>
                <c:pt idx="24">
                  <c:v>1.4341284744587535</c:v>
                </c:pt>
                <c:pt idx="25">
                  <c:v>1.3799413598206234</c:v>
                </c:pt>
                <c:pt idx="26">
                  <c:v>1.3602548149615588</c:v>
                </c:pt>
                <c:pt idx="27">
                  <c:v>1.3777792406090477</c:v>
                </c:pt>
                <c:pt idx="28">
                  <c:v>1.4354379012339884</c:v>
                </c:pt>
                <c:pt idx="29">
                  <c:v>1.0305309987708757</c:v>
                </c:pt>
                <c:pt idx="30">
                  <c:v>0.78147083294911979</c:v>
                </c:pt>
                <c:pt idx="31">
                  <c:v>0.56149778469854295</c:v>
                </c:pt>
                <c:pt idx="32">
                  <c:v>0.37328347797902622</c:v>
                </c:pt>
                <c:pt idx="33">
                  <c:v>0.21973021369601142</c:v>
                </c:pt>
                <c:pt idx="34">
                  <c:v>0.10399302396816024</c:v>
                </c:pt>
                <c:pt idx="35">
                  <c:v>2.9504116169434266E-2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Stresses @ 90 Deg</c:v>
          </c:tx>
          <c:xVal>
            <c:strRef>
              <c:f>'Alternative 3'!$F$4:$F$93</c:f>
              <c:strCach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x</c:v>
                </c:pt>
                <c:pt idx="37">
                  <c:v>x</c:v>
                </c:pt>
                <c:pt idx="38">
                  <c:v>x</c:v>
                </c:pt>
                <c:pt idx="39">
                  <c:v>x</c:v>
                </c:pt>
                <c:pt idx="40">
                  <c:v>x</c:v>
                </c:pt>
                <c:pt idx="41">
                  <c:v>x</c:v>
                </c:pt>
                <c:pt idx="42">
                  <c:v>x</c:v>
                </c:pt>
                <c:pt idx="43">
                  <c:v>x</c:v>
                </c:pt>
                <c:pt idx="44">
                  <c:v>x</c:v>
                </c:pt>
                <c:pt idx="45">
                  <c:v>x</c:v>
                </c:pt>
                <c:pt idx="46">
                  <c:v>x</c:v>
                </c:pt>
                <c:pt idx="47">
                  <c:v>x</c:v>
                </c:pt>
                <c:pt idx="48">
                  <c:v>x</c:v>
                </c:pt>
                <c:pt idx="49">
                  <c:v>x</c:v>
                </c:pt>
                <c:pt idx="50">
                  <c:v>x</c:v>
                </c:pt>
                <c:pt idx="51">
                  <c:v>x</c:v>
                </c:pt>
                <c:pt idx="52">
                  <c:v>x</c:v>
                </c:pt>
                <c:pt idx="53">
                  <c:v>x</c:v>
                </c:pt>
                <c:pt idx="54">
                  <c:v>x</c:v>
                </c:pt>
                <c:pt idx="55">
                  <c:v>x</c:v>
                </c:pt>
                <c:pt idx="56">
                  <c:v>x</c:v>
                </c:pt>
                <c:pt idx="57">
                  <c:v>x</c:v>
                </c:pt>
                <c:pt idx="58">
                  <c:v>x</c:v>
                </c:pt>
                <c:pt idx="59">
                  <c:v>x</c:v>
                </c:pt>
                <c:pt idx="60">
                  <c:v>x</c:v>
                </c:pt>
                <c:pt idx="61">
                  <c:v>x</c:v>
                </c:pt>
                <c:pt idx="62">
                  <c:v>x</c:v>
                </c:pt>
                <c:pt idx="63">
                  <c:v>x</c:v>
                </c:pt>
                <c:pt idx="64">
                  <c:v>x</c:v>
                </c:pt>
                <c:pt idx="65">
                  <c:v>x</c:v>
                </c:pt>
                <c:pt idx="66">
                  <c:v>x</c:v>
                </c:pt>
                <c:pt idx="67">
                  <c:v>x</c:v>
                </c:pt>
                <c:pt idx="68">
                  <c:v>x</c:v>
                </c:pt>
                <c:pt idx="69">
                  <c:v>x</c:v>
                </c:pt>
                <c:pt idx="70">
                  <c:v>x</c:v>
                </c:pt>
                <c:pt idx="71">
                  <c:v>x</c:v>
                </c:pt>
                <c:pt idx="72">
                  <c:v>x</c:v>
                </c:pt>
                <c:pt idx="73">
                  <c:v>x</c:v>
                </c:pt>
                <c:pt idx="74">
                  <c:v>x</c:v>
                </c:pt>
                <c:pt idx="75">
                  <c:v>x</c:v>
                </c:pt>
                <c:pt idx="76">
                  <c:v>x</c:v>
                </c:pt>
                <c:pt idx="77">
                  <c:v>x</c:v>
                </c:pt>
                <c:pt idx="78">
                  <c:v>x</c:v>
                </c:pt>
                <c:pt idx="79">
                  <c:v>x</c:v>
                </c:pt>
                <c:pt idx="80">
                  <c:v>x</c:v>
                </c:pt>
                <c:pt idx="81">
                  <c:v>x</c:v>
                </c:pt>
                <c:pt idx="82">
                  <c:v>x</c:v>
                </c:pt>
                <c:pt idx="83">
                  <c:v>x</c:v>
                </c:pt>
                <c:pt idx="84">
                  <c:v>x</c:v>
                </c:pt>
                <c:pt idx="85">
                  <c:v>x</c:v>
                </c:pt>
                <c:pt idx="86">
                  <c:v>x</c:v>
                </c:pt>
                <c:pt idx="87">
                  <c:v>x</c:v>
                </c:pt>
                <c:pt idx="88">
                  <c:v>x</c:v>
                </c:pt>
                <c:pt idx="89">
                  <c:v>x</c:v>
                </c:pt>
              </c:strCache>
            </c:strRef>
          </c:xVal>
          <c:yVal>
            <c:numRef>
              <c:f>'Alternative 3-Tilt Up'!$BX$3:$BX$93</c:f>
              <c:numCache>
                <c:formatCode>_(* #,##0.00_);_(* \(#,##0.00\);_(* "-"??_);_(@_)</c:formatCode>
                <c:ptCount val="91"/>
                <c:pt idx="0">
                  <c:v>8.8229943512941889E-2</c:v>
                </c:pt>
                <c:pt idx="1">
                  <c:v>8.7439747983248869E-2</c:v>
                </c:pt>
                <c:pt idx="2">
                  <c:v>8.6602326025396803E-2</c:v>
                </c:pt>
                <c:pt idx="3">
                  <c:v>8.5715348942799696E-2</c:v>
                </c:pt>
                <c:pt idx="4">
                  <c:v>8.4776358520319714E-2</c:v>
                </c:pt>
                <c:pt idx="5">
                  <c:v>8.3782758679787656E-2</c:v>
                </c:pt>
                <c:pt idx="6">
                  <c:v>8.2731806516314468E-2</c:v>
                </c:pt>
                <c:pt idx="7">
                  <c:v>8.1620602663041317E-2</c:v>
                </c:pt>
                <c:pt idx="8">
                  <c:v>8.044608092698638E-2</c:v>
                </c:pt>
                <c:pt idx="9">
                  <c:v>7.9204997133128341E-2</c:v>
                </c:pt>
                <c:pt idx="10">
                  <c:v>7.789391710775119E-2</c:v>
                </c:pt>
                <c:pt idx="11">
                  <c:v>7.650920372529936E-2</c:v>
                </c:pt>
                <c:pt idx="12">
                  <c:v>7.504700293547098E-2</c:v>
                </c:pt>
                <c:pt idx="13">
                  <c:v>7.3503228678921173E-2</c:v>
                </c:pt>
                <c:pt idx="14">
                  <c:v>7.1873546590656381E-2</c:v>
                </c:pt>
                <c:pt idx="15">
                  <c:v>7.0153356379854481E-2</c:v>
                </c:pt>
                <c:pt idx="16">
                  <c:v>6.8327344370596593E-2</c:v>
                </c:pt>
                <c:pt idx="17">
                  <c:v>6.6400273441250379E-2</c:v>
                </c:pt>
                <c:pt idx="18">
                  <c:v>6.4366600068579236E-2</c:v>
                </c:pt>
                <c:pt idx="19">
                  <c:v>6.2220426902883874E-2</c:v>
                </c:pt>
                <c:pt idx="20">
                  <c:v>5.9955476294532253E-2</c:v>
                </c:pt>
                <c:pt idx="21">
                  <c:v>5.7565061524240832E-2</c:v>
                </c:pt>
                <c:pt idx="22">
                  <c:v>0.141618883499144</c:v>
                </c:pt>
                <c:pt idx="23">
                  <c:v>0.14508974587246026</c:v>
                </c:pt>
                <c:pt idx="24">
                  <c:v>0.14868947714443831</c:v>
                </c:pt>
                <c:pt idx="25">
                  <c:v>0.15242453293437452</c:v>
                </c:pt>
                <c:pt idx="26">
                  <c:v>0.1563017781218751</c:v>
                </c:pt>
                <c:pt idx="27">
                  <c:v>0.16032851837694889</c:v>
                </c:pt>
                <c:pt idx="28">
                  <c:v>0.16451253456070575</c:v>
                </c:pt>
                <c:pt idx="29">
                  <c:v>3.283152455205874E-2</c:v>
                </c:pt>
                <c:pt idx="30">
                  <c:v>2.8892800152912509E-2</c:v>
                </c:pt>
                <c:pt idx="31">
                  <c:v>2.4729002155000242E-2</c:v>
                </c:pt>
                <c:pt idx="32">
                  <c:v>2.0325992104669351E-2</c:v>
                </c:pt>
                <c:pt idx="33">
                  <c:v>1.5668573693450136E-2</c:v>
                </c:pt>
                <c:pt idx="34">
                  <c:v>1.0740399023773732E-2</c:v>
                </c:pt>
                <c:pt idx="35">
                  <c:v>5.5238651866209203E-3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73632"/>
        <c:axId val="215880064"/>
      </c:scatterChart>
      <c:valAx>
        <c:axId val="2139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880064"/>
        <c:crosses val="autoZero"/>
        <c:crossBetween val="midCat"/>
      </c:valAx>
      <c:valAx>
        <c:axId val="215880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3973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Summary'!$B$86</c:f>
              <c:strCache>
                <c:ptCount val="1"/>
                <c:pt idx="0">
                  <c:v>Max Stress (MPa) </c:v>
                </c:pt>
              </c:strCache>
            </c:strRef>
          </c:tx>
          <c:invertIfNegative val="0"/>
          <c:cat>
            <c:strRef>
              <c:f>'Analysis Summary'!$C$85:$H$85</c:f>
              <c:strCache>
                <c:ptCount val="5"/>
                <c:pt idx="0">
                  <c:v>Alternative 1</c:v>
                </c:pt>
                <c:pt idx="2">
                  <c:v>Alternative 2</c:v>
                </c:pt>
                <c:pt idx="4">
                  <c:v>Alternative 3</c:v>
                </c:pt>
              </c:strCache>
            </c:strRef>
          </c:cat>
          <c:val>
            <c:numRef>
              <c:f>'Analysis Summary'!$C$86:$H$86</c:f>
              <c:numCache>
                <c:formatCode>#,##0</c:formatCode>
                <c:ptCount val="6"/>
                <c:pt idx="0">
                  <c:v>16.931848514174092</c:v>
                </c:pt>
                <c:pt idx="2">
                  <c:v>16.931848514174092</c:v>
                </c:pt>
                <c:pt idx="4">
                  <c:v>16.931848514174092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95424"/>
        <c:axId val="215897216"/>
      </c:barChart>
      <c:catAx>
        <c:axId val="21589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15897216"/>
        <c:crosses val="autoZero"/>
        <c:auto val="1"/>
        <c:lblAlgn val="ctr"/>
        <c:lblOffset val="100"/>
        <c:noMultiLvlLbl val="0"/>
      </c:catAx>
      <c:valAx>
        <c:axId val="215897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1589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Alternative 2</a:t>
            </a:r>
            <a:r>
              <a:rPr lang="en-US"/>
              <a:t>: Allowable vs </a:t>
            </a:r>
            <a:r>
              <a:rPr lang="en-US" baseline="0"/>
              <a:t> Calculated O</a:t>
            </a:r>
            <a:r>
              <a:rPr lang="en-US"/>
              <a:t>peration Stresses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Allowable Local Buckling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'Alternative 2'!$E$4:$E$70</c:f>
            </c:numRef>
          </c:xVal>
          <c:yVal>
            <c:numRef>
              <c:f>'Local Buckling'!$M$4:$M$93</c:f>
              <c:numCache>
                <c:formatCode>General</c:formatCode>
                <c:ptCount val="90"/>
                <c:pt idx="0">
                  <c:v>181.10090722034982</c:v>
                </c:pt>
                <c:pt idx="1">
                  <c:v>181.5180929720149</c:v>
                </c:pt>
                <c:pt idx="2">
                  <c:v>181.94334877820509</c:v>
                </c:pt>
                <c:pt idx="3">
                  <c:v>182.37691108693866</c:v>
                </c:pt>
                <c:pt idx="4">
                  <c:v>182.81902567439434</c:v>
                </c:pt>
                <c:pt idx="5">
                  <c:v>183.26994810950217</c:v>
                </c:pt>
                <c:pt idx="6">
                  <c:v>183.72994424658108</c:v>
                </c:pt>
                <c:pt idx="7">
                  <c:v>184.19929074801811</c:v>
                </c:pt>
                <c:pt idx="8">
                  <c:v>184.67827563914796</c:v>
                </c:pt>
                <c:pt idx="9">
                  <c:v>185.16719889767225</c:v>
                </c:pt>
                <c:pt idx="10">
                  <c:v>185.66637308015274</c:v>
                </c:pt>
                <c:pt idx="11">
                  <c:v>186.17612398832733</c:v>
                </c:pt>
                <c:pt idx="12">
                  <c:v>186.69679137823468</c:v>
                </c:pt>
                <c:pt idx="13">
                  <c:v>187.22872971539002</c:v>
                </c:pt>
                <c:pt idx="14">
                  <c:v>187.77230897953976</c:v>
                </c:pt>
                <c:pt idx="15">
                  <c:v>188.32791552283447</c:v>
                </c:pt>
                <c:pt idx="16">
                  <c:v>188.89595298560295</c:v>
                </c:pt>
                <c:pt idx="17">
                  <c:v>189.47684327428919</c:v>
                </c:pt>
                <c:pt idx="18">
                  <c:v>190.07102760653163</c:v>
                </c:pt>
                <c:pt idx="19">
                  <c:v>190.67896762882469</c:v>
                </c:pt>
                <c:pt idx="20">
                  <c:v>191.30114661271287</c:v>
                </c:pt>
                <c:pt idx="21">
                  <c:v>191.93807073603116</c:v>
                </c:pt>
                <c:pt idx="22">
                  <c:v>192.5902704563313</c:v>
                </c:pt>
                <c:pt idx="23">
                  <c:v>193.25830198432521</c:v>
                </c:pt>
                <c:pt idx="24">
                  <c:v>193.94274886594818</c:v>
                </c:pt>
                <c:pt idx="25">
                  <c:v>194.64422368249964</c:v>
                </c:pt>
                <c:pt idx="26">
                  <c:v>195.36336987927243</c:v>
                </c:pt>
                <c:pt idx="27">
                  <c:v>196.10086373414421</c:v>
                </c:pt>
                <c:pt idx="28">
                  <c:v>196.85741647879036</c:v>
                </c:pt>
                <c:pt idx="29">
                  <c:v>197.63377658650381</c:v>
                </c:pt>
                <c:pt idx="30">
                  <c:v>198.43073224209144</c:v>
                </c:pt>
                <c:pt idx="31">
                  <c:v>199.2491140109789</c:v>
                </c:pt>
                <c:pt idx="32">
                  <c:v>200.08979772652549</c:v>
                </c:pt>
                <c:pt idx="33">
                  <c:v>200.9537076166489</c:v>
                </c:pt>
                <c:pt idx="34">
                  <c:v>201.84181969322381</c:v>
                </c:pt>
                <c:pt idx="35">
                  <c:v>202.75516543038714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Calculated Combined Stresses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'Alternative 2'!$E$4:$E$70</c:f>
            </c:numRef>
          </c:xVal>
          <c:yVal>
            <c:numRef>
              <c:f>'Combined Stress'!$U$3:$U$92</c:f>
              <c:numCache>
                <c:formatCode>#,##0.00</c:formatCode>
                <c:ptCount val="90"/>
                <c:pt idx="0">
                  <c:v>10.733331701805849</c:v>
                </c:pt>
                <c:pt idx="1">
                  <c:v>10.549444120906825</c:v>
                </c:pt>
                <c:pt idx="2">
                  <c:v>10.378990567558766</c:v>
                </c:pt>
                <c:pt idx="3">
                  <c:v>10.222683828700388</c:v>
                </c:pt>
                <c:pt idx="4">
                  <c:v>10.081271146613389</c:v>
                </c:pt>
                <c:pt idx="5">
                  <c:v>9.9555365425044027</c:v>
                </c:pt>
                <c:pt idx="6">
                  <c:v>9.8345434700340952</c:v>
                </c:pt>
                <c:pt idx="7">
                  <c:v>9.7065497778083909</c:v>
                </c:pt>
                <c:pt idx="8">
                  <c:v>9.5711984997304747</c:v>
                </c:pt>
                <c:pt idx="9">
                  <c:v>9.428111931112916</c:v>
                </c:pt>
                <c:pt idx="10">
                  <c:v>9.2768902278098277</c:v>
                </c:pt>
                <c:pt idx="11">
                  <c:v>9.117109896141951</c:v>
                </c:pt>
                <c:pt idx="12">
                  <c:v>8.9483221639017145</c:v>
                </c:pt>
                <c:pt idx="13">
                  <c:v>8.7700512217509417</c:v>
                </c:pt>
                <c:pt idx="14">
                  <c:v>8.5817923232396893</c:v>
                </c:pt>
                <c:pt idx="15">
                  <c:v>8.3830097304679789</c:v>
                </c:pt>
                <c:pt idx="16">
                  <c:v>8.1731344910669215</c:v>
                </c:pt>
                <c:pt idx="17">
                  <c:v>7.9515620306747659</c:v>
                </c:pt>
                <c:pt idx="18">
                  <c:v>7.7176495434063588</c:v>
                </c:pt>
                <c:pt idx="19">
                  <c:v>7.4707131609389297</c:v>
                </c:pt>
                <c:pt idx="20">
                  <c:v>7.210024878736319</c:v>
                </c:pt>
                <c:pt idx="21">
                  <c:v>6.9348092155785412</c:v>
                </c:pt>
                <c:pt idx="22">
                  <c:v>6.6442395799189988</c:v>
                </c:pt>
                <c:pt idx="23">
                  <c:v>6.3374343136186386</c:v>
                </c:pt>
                <c:pt idx="24">
                  <c:v>6.0134523802597961</c:v>
                </c:pt>
                <c:pt idx="25">
                  <c:v>5.6712886614697009</c:v>
                </c:pt>
                <c:pt idx="26">
                  <c:v>5.3098688204250521</c:v>
                </c:pt>
                <c:pt idx="27">
                  <c:v>4.9280436868946849</c:v>
                </c:pt>
                <c:pt idx="28">
                  <c:v>4.5245831127268756</c:v>
                </c:pt>
                <c:pt idx="29">
                  <c:v>4.0981692405078221</c:v>
                </c:pt>
                <c:pt idx="30">
                  <c:v>3.6473891210996876</c:v>
                </c:pt>
                <c:pt idx="31">
                  <c:v>3.1707266077840952</c:v>
                </c:pt>
                <c:pt idx="32">
                  <c:v>2.6665534456427684</c:v>
                </c:pt>
                <c:pt idx="33">
                  <c:v>2.1331194644287881</c:v>
                </c:pt>
                <c:pt idx="34">
                  <c:v>1.5685417713183549</c:v>
                </c:pt>
                <c:pt idx="35">
                  <c:v>0.97079282634716058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8080"/>
        <c:axId val="215925120"/>
      </c:scatterChart>
      <c:valAx>
        <c:axId val="215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Tower Height (meters)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5925120"/>
        <c:crosses val="autoZero"/>
        <c:crossBetween val="midCat"/>
      </c:valAx>
      <c:valAx>
        <c:axId val="21592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(Mpa)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591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lternative 3'!A1"/><Relationship Id="rId2" Type="http://schemas.openxmlformats.org/officeDocument/2006/relationships/hyperlink" Target="#'Alternative 2'!A1"/><Relationship Id="rId1" Type="http://schemas.openxmlformats.org/officeDocument/2006/relationships/hyperlink" Target="#'Alternative 1'!A1"/><Relationship Id="rId4" Type="http://schemas.openxmlformats.org/officeDocument/2006/relationships/hyperlink" Target="#'Analysis Summary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485773</xdr:colOff>
      <xdr:row>19</xdr:row>
      <xdr:rowOff>38102</xdr:rowOff>
    </xdr:from>
    <xdr:to>
      <xdr:col>5</xdr:col>
      <xdr:colOff>228600</xdr:colOff>
      <xdr:row>20</xdr:row>
      <xdr:rowOff>161926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314573" y="3790952"/>
          <a:ext cx="962027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chemeClr val="tx2">
                  <a:lumMod val="75000"/>
                </a:schemeClr>
              </a:solidFill>
            </a:rPr>
            <a:t>Alternative 1</a:t>
          </a:r>
        </a:p>
      </xdr:txBody>
    </xdr:sp>
    <xdr:clientData/>
  </xdr:twoCellAnchor>
  <xdr:twoCellAnchor>
    <xdr:from>
      <xdr:col>5</xdr:col>
      <xdr:colOff>523873</xdr:colOff>
      <xdr:row>19</xdr:row>
      <xdr:rowOff>38102</xdr:rowOff>
    </xdr:from>
    <xdr:to>
      <xdr:col>7</xdr:col>
      <xdr:colOff>258535</xdr:colOff>
      <xdr:row>20</xdr:row>
      <xdr:rowOff>95251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585480" y="5147584"/>
          <a:ext cx="95930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chemeClr val="tx2">
                  <a:lumMod val="75000"/>
                </a:schemeClr>
              </a:solidFill>
            </a:rPr>
            <a:t>Alternative 2</a:t>
          </a:r>
        </a:p>
      </xdr:txBody>
    </xdr:sp>
    <xdr:clientData/>
  </xdr:twoCellAnchor>
  <xdr:twoCellAnchor>
    <xdr:from>
      <xdr:col>7</xdr:col>
      <xdr:colOff>409575</xdr:colOff>
      <xdr:row>19</xdr:row>
      <xdr:rowOff>28577</xdr:rowOff>
    </xdr:from>
    <xdr:to>
      <xdr:col>9</xdr:col>
      <xdr:colOff>161925</xdr:colOff>
      <xdr:row>20</xdr:row>
      <xdr:rowOff>66676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4676775" y="3781427"/>
          <a:ext cx="9715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chemeClr val="tx2">
                  <a:lumMod val="75000"/>
                </a:schemeClr>
              </a:solidFill>
            </a:rPr>
            <a:t>Alternative 3</a:t>
          </a:r>
        </a:p>
      </xdr:txBody>
    </xdr:sp>
    <xdr:clientData/>
  </xdr:twoCellAnchor>
  <xdr:twoCellAnchor>
    <xdr:from>
      <xdr:col>5</xdr:col>
      <xdr:colOff>594797</xdr:colOff>
      <xdr:row>22</xdr:row>
      <xdr:rowOff>57152</xdr:rowOff>
    </xdr:from>
    <xdr:to>
      <xdr:col>7</xdr:col>
      <xdr:colOff>794822</xdr:colOff>
      <xdr:row>23</xdr:row>
      <xdr:rowOff>171450</xdr:rowOff>
    </xdr:to>
    <xdr:sp macro="" textlink="">
      <xdr:nvSpPr>
        <xdr:cNvPr id="5" name="TextBox 4">
          <a:hlinkClick xmlns:r="http://schemas.openxmlformats.org/officeDocument/2006/relationships" r:id="rId4"/>
        </xdr:cNvPr>
        <xdr:cNvSpPr txBox="1"/>
      </xdr:nvSpPr>
      <xdr:spPr>
        <a:xfrm>
          <a:off x="3727464" y="5687485"/>
          <a:ext cx="1453091" cy="300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chemeClr val="tx2">
                  <a:lumMod val="75000"/>
                </a:schemeClr>
              </a:solidFill>
            </a:rPr>
            <a:t>Analysis 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206</xdr:row>
      <xdr:rowOff>174625</xdr:rowOff>
    </xdr:from>
    <xdr:to>
      <xdr:col>13</xdr:col>
      <xdr:colOff>266700</xdr:colOff>
      <xdr:row>226</xdr:row>
      <xdr:rowOff>476250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269875</xdr:colOff>
      <xdr:row>39</xdr:row>
      <xdr:rowOff>158750</xdr:rowOff>
    </xdr:from>
    <xdr:to>
      <xdr:col>14</xdr:col>
      <xdr:colOff>412750</xdr:colOff>
      <xdr:row>42</xdr:row>
      <xdr:rowOff>142875</xdr:rowOff>
    </xdr:to>
    <xdr:sp macro="" textlink="">
      <xdr:nvSpPr>
        <xdr:cNvPr id="23" name="Right Arrow 22"/>
        <xdr:cNvSpPr/>
      </xdr:nvSpPr>
      <xdr:spPr>
        <a:xfrm>
          <a:off x="8604250" y="7762875"/>
          <a:ext cx="1349375" cy="5556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111125</xdr:colOff>
      <xdr:row>32</xdr:row>
      <xdr:rowOff>174625</xdr:rowOff>
    </xdr:from>
    <xdr:to>
      <xdr:col>15</xdr:col>
      <xdr:colOff>0</xdr:colOff>
      <xdr:row>40</xdr:row>
      <xdr:rowOff>174625</xdr:rowOff>
    </xdr:to>
    <xdr:sp macro="" textlink="">
      <xdr:nvSpPr>
        <xdr:cNvPr id="24" name="TextBox 23"/>
        <xdr:cNvSpPr txBox="1"/>
      </xdr:nvSpPr>
      <xdr:spPr>
        <a:xfrm>
          <a:off x="8445500" y="6524625"/>
          <a:ext cx="1698625" cy="144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tx2">
                  <a:lumMod val="40000"/>
                  <a:lumOff val="60000"/>
                </a:schemeClr>
              </a:solidFill>
            </a:rPr>
            <a:t>Close-up</a:t>
          </a:r>
          <a:r>
            <a:rPr lang="en-US" sz="2400" b="1" baseline="0">
              <a:solidFill>
                <a:schemeClr val="tx2">
                  <a:lumMod val="40000"/>
                  <a:lumOff val="60000"/>
                </a:schemeClr>
              </a:solidFill>
            </a:rPr>
            <a:t> of Calculated Stresses</a:t>
          </a:r>
          <a:endParaRPr lang="en-US" sz="2400" b="1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12</xdr:col>
      <xdr:colOff>317500</xdr:colOff>
      <xdr:row>67</xdr:row>
      <xdr:rowOff>0</xdr:rowOff>
    </xdr:from>
    <xdr:to>
      <xdr:col>14</xdr:col>
      <xdr:colOff>460375</xdr:colOff>
      <xdr:row>69</xdr:row>
      <xdr:rowOff>174625</xdr:rowOff>
    </xdr:to>
    <xdr:sp macro="" textlink="">
      <xdr:nvSpPr>
        <xdr:cNvPr id="27" name="Right Arrow 26"/>
        <xdr:cNvSpPr/>
      </xdr:nvSpPr>
      <xdr:spPr>
        <a:xfrm>
          <a:off x="8651875" y="12874625"/>
          <a:ext cx="1349375" cy="5556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158750</xdr:colOff>
      <xdr:row>60</xdr:row>
      <xdr:rowOff>95250</xdr:rowOff>
    </xdr:from>
    <xdr:to>
      <xdr:col>15</xdr:col>
      <xdr:colOff>47625</xdr:colOff>
      <xdr:row>68</xdr:row>
      <xdr:rowOff>15875</xdr:rowOff>
    </xdr:to>
    <xdr:sp macro="" textlink="">
      <xdr:nvSpPr>
        <xdr:cNvPr id="28" name="TextBox 27"/>
        <xdr:cNvSpPr txBox="1"/>
      </xdr:nvSpPr>
      <xdr:spPr>
        <a:xfrm>
          <a:off x="8493125" y="11636375"/>
          <a:ext cx="1698625" cy="144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tx2">
                  <a:lumMod val="40000"/>
                  <a:lumOff val="60000"/>
                </a:schemeClr>
              </a:solidFill>
            </a:rPr>
            <a:t>Close-up</a:t>
          </a:r>
          <a:r>
            <a:rPr lang="en-US" sz="2400" b="1" baseline="0">
              <a:solidFill>
                <a:schemeClr val="tx2">
                  <a:lumMod val="40000"/>
                  <a:lumOff val="60000"/>
                </a:schemeClr>
              </a:solidFill>
            </a:rPr>
            <a:t> of Calculated Stresses</a:t>
          </a:r>
          <a:endParaRPr lang="en-US" sz="2400" b="1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12</xdr:col>
      <xdr:colOff>238125</xdr:colOff>
      <xdr:row>14</xdr:row>
      <xdr:rowOff>111125</xdr:rowOff>
    </xdr:from>
    <xdr:to>
      <xdr:col>14</xdr:col>
      <xdr:colOff>381000</xdr:colOff>
      <xdr:row>17</xdr:row>
      <xdr:rowOff>95250</xdr:rowOff>
    </xdr:to>
    <xdr:sp macro="" textlink="">
      <xdr:nvSpPr>
        <xdr:cNvPr id="29" name="Right Arrow 28"/>
        <xdr:cNvSpPr/>
      </xdr:nvSpPr>
      <xdr:spPr>
        <a:xfrm>
          <a:off x="8572500" y="3175000"/>
          <a:ext cx="1349375" cy="5556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79375</xdr:colOff>
      <xdr:row>8</xdr:row>
      <xdr:rowOff>15875</xdr:rowOff>
    </xdr:from>
    <xdr:to>
      <xdr:col>14</xdr:col>
      <xdr:colOff>571500</xdr:colOff>
      <xdr:row>15</xdr:row>
      <xdr:rowOff>127000</xdr:rowOff>
    </xdr:to>
    <xdr:sp macro="" textlink="">
      <xdr:nvSpPr>
        <xdr:cNvPr id="30" name="TextBox 29"/>
        <xdr:cNvSpPr txBox="1"/>
      </xdr:nvSpPr>
      <xdr:spPr>
        <a:xfrm>
          <a:off x="8413750" y="1936750"/>
          <a:ext cx="1698625" cy="144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tx2">
                  <a:lumMod val="40000"/>
                  <a:lumOff val="60000"/>
                </a:schemeClr>
              </a:solidFill>
            </a:rPr>
            <a:t>Close-up</a:t>
          </a:r>
          <a:r>
            <a:rPr lang="en-US" sz="2400" b="1" baseline="0">
              <a:solidFill>
                <a:schemeClr val="tx2">
                  <a:lumMod val="40000"/>
                  <a:lumOff val="60000"/>
                </a:schemeClr>
              </a:solidFill>
            </a:rPr>
            <a:t> of Calculated Stresses</a:t>
          </a:r>
          <a:endParaRPr lang="en-US" sz="2400" b="1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238125</xdr:colOff>
      <xdr:row>2</xdr:row>
      <xdr:rowOff>25400</xdr:rowOff>
    </xdr:from>
    <xdr:to>
      <xdr:col>11</xdr:col>
      <xdr:colOff>279400</xdr:colOff>
      <xdr:row>24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412750</xdr:colOff>
      <xdr:row>1</xdr:row>
      <xdr:rowOff>142875</xdr:rowOff>
    </xdr:from>
    <xdr:to>
      <xdr:col>28</xdr:col>
      <xdr:colOff>342900</xdr:colOff>
      <xdr:row>23</xdr:row>
      <xdr:rowOff>146050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11</xdr:col>
      <xdr:colOff>295275</xdr:colOff>
      <xdr:row>50</xdr:row>
      <xdr:rowOff>3175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295275</xdr:colOff>
      <xdr:row>74</xdr:row>
      <xdr:rowOff>114300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349250</xdr:colOff>
      <xdr:row>27</xdr:row>
      <xdr:rowOff>142875</xdr:rowOff>
    </xdr:from>
    <xdr:to>
      <xdr:col>28</xdr:col>
      <xdr:colOff>279400</xdr:colOff>
      <xdr:row>49</xdr:row>
      <xdr:rowOff>146050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317500</xdr:colOff>
      <xdr:row>53</xdr:row>
      <xdr:rowOff>142875</xdr:rowOff>
    </xdr:from>
    <xdr:to>
      <xdr:col>28</xdr:col>
      <xdr:colOff>247650</xdr:colOff>
      <xdr:row>75</xdr:row>
      <xdr:rowOff>66675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15873</xdr:colOff>
      <xdr:row>78</xdr:row>
      <xdr:rowOff>119063</xdr:rowOff>
    </xdr:from>
    <xdr:to>
      <xdr:col>25</xdr:col>
      <xdr:colOff>450213</xdr:colOff>
      <xdr:row>91</xdr:row>
      <xdr:rowOff>25718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231</xdr:row>
      <xdr:rowOff>47625</xdr:rowOff>
    </xdr:from>
    <xdr:to>
      <xdr:col>13</xdr:col>
      <xdr:colOff>282575</xdr:colOff>
      <xdr:row>255</xdr:row>
      <xdr:rowOff>47625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190499</xdr:colOff>
      <xdr:row>259</xdr:row>
      <xdr:rowOff>79374</xdr:rowOff>
    </xdr:from>
    <xdr:to>
      <xdr:col>13</xdr:col>
      <xdr:colOff>330199</xdr:colOff>
      <xdr:row>283</xdr:row>
      <xdr:rowOff>79374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111125</xdr:colOff>
      <xdr:row>94</xdr:row>
      <xdr:rowOff>0</xdr:rowOff>
    </xdr:from>
    <xdr:to>
      <xdr:col>25</xdr:col>
      <xdr:colOff>254000</xdr:colOff>
      <xdr:row>106</xdr:row>
      <xdr:rowOff>7459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190501</xdr:colOff>
      <xdr:row>84</xdr:row>
      <xdr:rowOff>176893</xdr:rowOff>
    </xdr:from>
    <xdr:to>
      <xdr:col>11</xdr:col>
      <xdr:colOff>333375</xdr:colOff>
      <xdr:row>85</xdr:row>
      <xdr:rowOff>365125</xdr:rowOff>
    </xdr:to>
    <xdr:sp macro="" textlink="">
      <xdr:nvSpPr>
        <xdr:cNvPr id="21" name="Right Arrow 20"/>
        <xdr:cNvSpPr/>
      </xdr:nvSpPr>
      <xdr:spPr>
        <a:xfrm>
          <a:off x="10028465" y="16437429"/>
          <a:ext cx="1367517" cy="5556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95250</xdr:colOff>
      <xdr:row>99</xdr:row>
      <xdr:rowOff>204107</xdr:rowOff>
    </xdr:from>
    <xdr:to>
      <xdr:col>11</xdr:col>
      <xdr:colOff>238124</xdr:colOff>
      <xdr:row>100</xdr:row>
      <xdr:rowOff>392339</xdr:rowOff>
    </xdr:to>
    <xdr:sp macro="" textlink="">
      <xdr:nvSpPr>
        <xdr:cNvPr id="22" name="Right Arrow 21"/>
        <xdr:cNvSpPr/>
      </xdr:nvSpPr>
      <xdr:spPr>
        <a:xfrm>
          <a:off x="9933214" y="20274643"/>
          <a:ext cx="1367517" cy="5556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190500</xdr:colOff>
      <xdr:row>212</xdr:row>
      <xdr:rowOff>0</xdr:rowOff>
    </xdr:from>
    <xdr:to>
      <xdr:col>21</xdr:col>
      <xdr:colOff>47625</xdr:colOff>
      <xdr:row>220</xdr:row>
      <xdr:rowOff>142876</xdr:rowOff>
    </xdr:to>
    <xdr:sp macro="" textlink="">
      <xdr:nvSpPr>
        <xdr:cNvPr id="26" name="TextBox 25"/>
        <xdr:cNvSpPr txBox="1"/>
      </xdr:nvSpPr>
      <xdr:spPr>
        <a:xfrm>
          <a:off x="13985875" y="25304750"/>
          <a:ext cx="3476625" cy="16668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Values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seen past the entered tower height do not reflect tower behavior</a:t>
          </a:r>
          <a:endParaRPr lang="en-US" sz="4800">
            <a:effectLst/>
          </a:endParaRPr>
        </a:p>
      </xdr:txBody>
    </xdr:sp>
    <xdr:clientData/>
  </xdr:twoCellAnchor>
  <xdr:twoCellAnchor>
    <xdr:from>
      <xdr:col>0</xdr:col>
      <xdr:colOff>206374</xdr:colOff>
      <xdr:row>287</xdr:row>
      <xdr:rowOff>104774</xdr:rowOff>
    </xdr:from>
    <xdr:to>
      <xdr:col>13</xdr:col>
      <xdr:colOff>301625</xdr:colOff>
      <xdr:row>316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206374</xdr:colOff>
      <xdr:row>319</xdr:row>
      <xdr:rowOff>104774</xdr:rowOff>
    </xdr:from>
    <xdr:to>
      <xdr:col>13</xdr:col>
      <xdr:colOff>301625</xdr:colOff>
      <xdr:row>348</xdr:row>
      <xdr:rowOff>63500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206374</xdr:colOff>
      <xdr:row>351</xdr:row>
      <xdr:rowOff>104774</xdr:rowOff>
    </xdr:from>
    <xdr:to>
      <xdr:col>13</xdr:col>
      <xdr:colOff>301625</xdr:colOff>
      <xdr:row>380</xdr:row>
      <xdr:rowOff>63500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142875</xdr:colOff>
      <xdr:row>238</xdr:row>
      <xdr:rowOff>31750</xdr:rowOff>
    </xdr:from>
    <xdr:to>
      <xdr:col>21</xdr:col>
      <xdr:colOff>0</xdr:colOff>
      <xdr:row>246</xdr:row>
      <xdr:rowOff>174626</xdr:rowOff>
    </xdr:to>
    <xdr:sp macro="" textlink="">
      <xdr:nvSpPr>
        <xdr:cNvPr id="38" name="TextBox 37"/>
        <xdr:cNvSpPr txBox="1"/>
      </xdr:nvSpPr>
      <xdr:spPr>
        <a:xfrm>
          <a:off x="13938250" y="30654625"/>
          <a:ext cx="3476625" cy="16668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Values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seen past the entered tower height do not reflect tower behavior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15875</xdr:colOff>
      <xdr:row>267</xdr:row>
      <xdr:rowOff>158750</xdr:rowOff>
    </xdr:from>
    <xdr:to>
      <xdr:col>20</xdr:col>
      <xdr:colOff>476250</xdr:colOff>
      <xdr:row>276</xdr:row>
      <xdr:rowOff>111126</xdr:rowOff>
    </xdr:to>
    <xdr:sp macro="" textlink="">
      <xdr:nvSpPr>
        <xdr:cNvPr id="39" name="TextBox 38"/>
        <xdr:cNvSpPr txBox="1"/>
      </xdr:nvSpPr>
      <xdr:spPr>
        <a:xfrm>
          <a:off x="13811250" y="36306125"/>
          <a:ext cx="3476625" cy="16668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Values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seen past the entered tower height do not reflect tower behavior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63500</xdr:colOff>
      <xdr:row>298</xdr:row>
      <xdr:rowOff>111125</xdr:rowOff>
    </xdr:from>
    <xdr:to>
      <xdr:col>21</xdr:col>
      <xdr:colOff>412750</xdr:colOff>
      <xdr:row>303</xdr:row>
      <xdr:rowOff>15875</xdr:rowOff>
    </xdr:to>
    <xdr:sp macro="" textlink="">
      <xdr:nvSpPr>
        <xdr:cNvPr id="40" name="TextBox 39"/>
        <xdr:cNvSpPr txBox="1"/>
      </xdr:nvSpPr>
      <xdr:spPr>
        <a:xfrm>
          <a:off x="13858875" y="42164000"/>
          <a:ext cx="3968750" cy="857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red bar is greater than blue bar,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tower will fail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0</xdr:colOff>
      <xdr:row>332</xdr:row>
      <xdr:rowOff>0</xdr:rowOff>
    </xdr:from>
    <xdr:to>
      <xdr:col>21</xdr:col>
      <xdr:colOff>349250</xdr:colOff>
      <xdr:row>336</xdr:row>
      <xdr:rowOff>95250</xdr:rowOff>
    </xdr:to>
    <xdr:sp macro="" textlink="">
      <xdr:nvSpPr>
        <xdr:cNvPr id="41" name="TextBox 40"/>
        <xdr:cNvSpPr txBox="1"/>
      </xdr:nvSpPr>
      <xdr:spPr>
        <a:xfrm>
          <a:off x="13795375" y="48529875"/>
          <a:ext cx="3968750" cy="857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red bar is greater than blue bar,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tower will fail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79375</xdr:colOff>
      <xdr:row>365</xdr:row>
      <xdr:rowOff>95250</xdr:rowOff>
    </xdr:from>
    <xdr:to>
      <xdr:col>21</xdr:col>
      <xdr:colOff>428625</xdr:colOff>
      <xdr:row>370</xdr:row>
      <xdr:rowOff>0</xdr:rowOff>
    </xdr:to>
    <xdr:sp macro="" textlink="">
      <xdr:nvSpPr>
        <xdr:cNvPr id="42" name="TextBox 41"/>
        <xdr:cNvSpPr txBox="1"/>
      </xdr:nvSpPr>
      <xdr:spPr>
        <a:xfrm>
          <a:off x="13874750" y="54911625"/>
          <a:ext cx="3968750" cy="857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red bar is greater than blue bar,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tower will fail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79375</xdr:colOff>
      <xdr:row>123</xdr:row>
      <xdr:rowOff>95250</xdr:rowOff>
    </xdr:from>
    <xdr:to>
      <xdr:col>21</xdr:col>
      <xdr:colOff>428625</xdr:colOff>
      <xdr:row>130</xdr:row>
      <xdr:rowOff>31750</xdr:rowOff>
    </xdr:to>
    <xdr:sp macro="" textlink="">
      <xdr:nvSpPr>
        <xdr:cNvPr id="59" name="TextBox 58"/>
        <xdr:cNvSpPr txBox="1"/>
      </xdr:nvSpPr>
      <xdr:spPr>
        <a:xfrm>
          <a:off x="13874750" y="80057625"/>
          <a:ext cx="3968750" cy="127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any column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 a value greater than 1.0, the tower will fail due to yielding</a:t>
          </a:r>
          <a:endParaRPr lang="en-US" sz="4800">
            <a:effectLst/>
          </a:endParaRPr>
        </a:p>
      </xdr:txBody>
    </xdr:sp>
    <xdr:clientData/>
  </xdr:twoCellAnchor>
  <xdr:twoCellAnchor>
    <xdr:from>
      <xdr:col>1</xdr:col>
      <xdr:colOff>47625</xdr:colOff>
      <xdr:row>108</xdr:row>
      <xdr:rowOff>128586</xdr:rowOff>
    </xdr:from>
    <xdr:to>
      <xdr:col>13</xdr:col>
      <xdr:colOff>349250</xdr:colOff>
      <xdr:row>138</xdr:row>
      <xdr:rowOff>95249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15875</xdr:colOff>
      <xdr:row>140</xdr:row>
      <xdr:rowOff>111125</xdr:rowOff>
    </xdr:from>
    <xdr:to>
      <xdr:col>13</xdr:col>
      <xdr:colOff>317500</xdr:colOff>
      <xdr:row>170</xdr:row>
      <xdr:rowOff>77788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111125</xdr:colOff>
      <xdr:row>173</xdr:row>
      <xdr:rowOff>15875</xdr:rowOff>
    </xdr:from>
    <xdr:to>
      <xdr:col>13</xdr:col>
      <xdr:colOff>412750</xdr:colOff>
      <xdr:row>202</xdr:row>
      <xdr:rowOff>173038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136525</xdr:colOff>
      <xdr:row>156</xdr:row>
      <xdr:rowOff>25400</xdr:rowOff>
    </xdr:from>
    <xdr:to>
      <xdr:col>21</xdr:col>
      <xdr:colOff>485775</xdr:colOff>
      <xdr:row>162</xdr:row>
      <xdr:rowOff>152400</xdr:rowOff>
    </xdr:to>
    <xdr:sp macro="" textlink="">
      <xdr:nvSpPr>
        <xdr:cNvPr id="63" name="TextBox 62"/>
        <xdr:cNvSpPr txBox="1"/>
      </xdr:nvSpPr>
      <xdr:spPr>
        <a:xfrm>
          <a:off x="13931900" y="86274275"/>
          <a:ext cx="3968750" cy="127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any column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 a value greater than 1.0, the tower will fail due to yielding</a:t>
          </a:r>
          <a:endParaRPr lang="en-US" sz="4800">
            <a:effectLst/>
          </a:endParaRPr>
        </a:p>
      </xdr:txBody>
    </xdr:sp>
    <xdr:clientData/>
  </xdr:twoCellAnchor>
  <xdr:twoCellAnchor>
    <xdr:from>
      <xdr:col>15</xdr:col>
      <xdr:colOff>111125</xdr:colOff>
      <xdr:row>186</xdr:row>
      <xdr:rowOff>79375</xdr:rowOff>
    </xdr:from>
    <xdr:to>
      <xdr:col>21</xdr:col>
      <xdr:colOff>460375</xdr:colOff>
      <xdr:row>193</xdr:row>
      <xdr:rowOff>15875</xdr:rowOff>
    </xdr:to>
    <xdr:sp macro="" textlink="">
      <xdr:nvSpPr>
        <xdr:cNvPr id="64" name="TextBox 63"/>
        <xdr:cNvSpPr txBox="1"/>
      </xdr:nvSpPr>
      <xdr:spPr>
        <a:xfrm>
          <a:off x="13906500" y="92043250"/>
          <a:ext cx="3968750" cy="127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2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any column</a:t>
          </a:r>
          <a:r>
            <a:rPr lang="en-US" sz="2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 a value greater than 1.0, the tower will fail due to yielding</a:t>
          </a:r>
          <a:endParaRPr lang="en-US" sz="48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120</xdr:row>
      <xdr:rowOff>6350</xdr:rowOff>
    </xdr:from>
    <xdr:to>
      <xdr:col>14</xdr:col>
      <xdr:colOff>673100</xdr:colOff>
      <xdr:row>148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95</xdr:row>
      <xdr:rowOff>47624</xdr:rowOff>
    </xdr:from>
    <xdr:to>
      <xdr:col>13</xdr:col>
      <xdr:colOff>914400</xdr:colOff>
      <xdr:row>117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/AppData/Roaming/Microsoft/Excel/Compiled_Excel_updated%202.19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na/AppData/Local/Microsoft/Windows/Temporary%20Internet%20Files/Low/Content.IE5/O9U3X2IZ/OLD(2-24-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QP/Master_Excel_(3.28.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eline Given"/>
      <sheetName val="Alternative 1"/>
      <sheetName val="Alternative 2"/>
      <sheetName val="Alternative 3"/>
      <sheetName val="Baseline Tilt Up"/>
      <sheetName val="1Pt Tilt Up"/>
      <sheetName val="2 Pt Tilt Up"/>
      <sheetName val="3 Pt Tilt up"/>
      <sheetName val="Center of Gravity"/>
      <sheetName val="Baseline-Tilt up (1 pt)"/>
      <sheetName val="Baseline-tilt up (2 pt)"/>
      <sheetName val="Baseline-tilt up (3 pt)"/>
      <sheetName val="Wind Loading"/>
      <sheetName val="Dynamic Loading"/>
      <sheetName val="Combined Stress"/>
      <sheetName val="Local and Global Buck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SUMMARY"/>
      <sheetName val="ALTERNATIVE SUMMARY"/>
      <sheetName val="Baseline Given"/>
      <sheetName val="Alternative 1"/>
      <sheetName val="Alternative 2"/>
      <sheetName val="Alternative 3"/>
      <sheetName val="Baseline Tilt Up"/>
      <sheetName val="1Pt Tilt Up"/>
      <sheetName val="2 Pt Tilt Up"/>
      <sheetName val="3 Pt Tilt up"/>
      <sheetName val="Baseline-Tilt up (1 pt)"/>
      <sheetName val="Alternative 1-Tilt Up (1 pt)"/>
      <sheetName val="Baseline-tilt up (2 pt)"/>
      <sheetName val="Baseline-tilt up (3 pt)"/>
      <sheetName val="Wind Loading"/>
      <sheetName val="Dynamic Loading"/>
      <sheetName val="Combined Stress"/>
      <sheetName val="Local and Global Buckling"/>
      <sheetName val="Center of Gra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SUMMARY"/>
      <sheetName val="ALTERNATIVE SUMMARY"/>
      <sheetName val="Baseline Given"/>
      <sheetName val="Alternative 1"/>
      <sheetName val="Alternative 2"/>
      <sheetName val="Alternative 3"/>
      <sheetName val="Center of Gravity"/>
      <sheetName val="Baseline-tilt up (1 pt)"/>
      <sheetName val="Baseline-tilt up (2 pt)"/>
      <sheetName val="Baseline-tilt up (3 pt)"/>
      <sheetName val="Alternative 1-Tilt Up (3pt)"/>
      <sheetName val="Alternative 2-Tilt Up (3pt)"/>
      <sheetName val="Alternative 3-Tilt Up (3pt)"/>
      <sheetName val="Wind Loading"/>
      <sheetName val="Dynamic Loading"/>
      <sheetName val="Combined Stress"/>
      <sheetName val="Local Buckling"/>
      <sheetName val="Column Buckling"/>
      <sheetName val="Yielding Stress (1)"/>
      <sheetName val="Yielding Stress (2)"/>
    </sheetNames>
    <sheetDataSet>
      <sheetData sheetId="0"/>
      <sheetData sheetId="1"/>
      <sheetData sheetId="2"/>
      <sheetData sheetId="3">
        <row r="20">
          <cell r="B20">
            <v>250</v>
          </cell>
        </row>
      </sheetData>
      <sheetData sheetId="4">
        <row r="20">
          <cell r="B20">
            <v>250</v>
          </cell>
        </row>
      </sheetData>
      <sheetData sheetId="5">
        <row r="20">
          <cell r="B20">
            <v>250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" zoomScale="60" zoomScaleNormal="60" workbookViewId="0">
      <selection activeCell="A2" sqref="A2"/>
    </sheetView>
  </sheetViews>
  <sheetFormatPr defaultColWidth="9.140625" defaultRowHeight="15" x14ac:dyDescent="0.25"/>
  <cols>
    <col min="1" max="2" width="9.140625" style="86"/>
    <col min="3" max="3" width="14" style="86" customWidth="1"/>
    <col min="4" max="5" width="9.140625" style="86"/>
    <col min="6" max="6" width="17.5703125" style="86" customWidth="1"/>
    <col min="7" max="7" width="9.140625" style="86"/>
    <col min="8" max="8" width="19.7109375" style="86" customWidth="1"/>
    <col min="9" max="12" width="9.140625" style="86"/>
    <col min="13" max="13" width="2.7109375" style="86" customWidth="1"/>
    <col min="14" max="16384" width="9.140625" style="86"/>
  </cols>
  <sheetData>
    <row r="1" spans="1:13" ht="28.5" x14ac:dyDescent="0.45">
      <c r="A1" s="192" t="s">
        <v>157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  <c r="M1" s="109"/>
    </row>
    <row r="2" spans="1:13" x14ac:dyDescent="0.25">
      <c r="A2" s="100"/>
      <c r="B2" s="97"/>
      <c r="C2" s="97"/>
      <c r="D2" s="97"/>
      <c r="E2" s="97"/>
      <c r="F2" s="97"/>
      <c r="G2" s="97"/>
      <c r="H2" s="97"/>
      <c r="I2" s="97"/>
      <c r="J2" s="97"/>
      <c r="K2" s="97"/>
      <c r="L2" s="101"/>
      <c r="M2" s="109"/>
    </row>
    <row r="3" spans="1:13" x14ac:dyDescent="0.25">
      <c r="A3" s="99"/>
      <c r="B3" s="195" t="s">
        <v>171</v>
      </c>
      <c r="C3" s="196"/>
      <c r="D3" s="196"/>
      <c r="E3" s="196"/>
      <c r="F3" s="196"/>
      <c r="G3" s="196"/>
      <c r="H3" s="196"/>
      <c r="I3" s="196"/>
      <c r="J3" s="196"/>
      <c r="K3" s="197"/>
      <c r="L3" s="103"/>
      <c r="M3" s="109"/>
    </row>
    <row r="4" spans="1:13" x14ac:dyDescent="0.25">
      <c r="A4" s="99"/>
      <c r="B4" s="198"/>
      <c r="C4" s="199"/>
      <c r="D4" s="199"/>
      <c r="E4" s="199"/>
      <c r="F4" s="199"/>
      <c r="G4" s="199"/>
      <c r="H4" s="199"/>
      <c r="I4" s="199"/>
      <c r="J4" s="199"/>
      <c r="K4" s="200"/>
      <c r="L4" s="103"/>
      <c r="M4" s="109"/>
    </row>
    <row r="5" spans="1:13" x14ac:dyDescent="0.25">
      <c r="A5" s="99"/>
      <c r="B5" s="201"/>
      <c r="C5" s="202"/>
      <c r="D5" s="202"/>
      <c r="E5" s="202"/>
      <c r="F5" s="202"/>
      <c r="G5" s="202"/>
      <c r="H5" s="202"/>
      <c r="I5" s="202"/>
      <c r="J5" s="202"/>
      <c r="K5" s="203"/>
      <c r="L5" s="103"/>
      <c r="M5" s="109"/>
    </row>
    <row r="6" spans="1:13" x14ac:dyDescent="0.25">
      <c r="A6" s="102"/>
      <c r="B6" s="98"/>
      <c r="C6" s="98"/>
      <c r="D6" s="98"/>
      <c r="E6" s="98"/>
      <c r="F6" s="98"/>
      <c r="G6" s="99"/>
      <c r="H6" s="99"/>
      <c r="I6" s="99"/>
      <c r="J6" s="99"/>
      <c r="K6" s="99"/>
      <c r="L6" s="103"/>
      <c r="M6" s="109"/>
    </row>
    <row r="7" spans="1:13" ht="21" x14ac:dyDescent="0.35">
      <c r="A7" s="99"/>
      <c r="B7" s="99"/>
      <c r="C7" s="205" t="s">
        <v>173</v>
      </c>
      <c r="D7" s="205"/>
      <c r="E7" s="205"/>
      <c r="F7" s="205"/>
      <c r="G7" s="205"/>
      <c r="H7" s="205"/>
      <c r="I7" s="205"/>
      <c r="J7" s="205"/>
      <c r="K7" s="99"/>
      <c r="L7" s="103"/>
      <c r="M7" s="109"/>
    </row>
    <row r="8" spans="1:13" ht="15" customHeight="1" x14ac:dyDescent="0.25">
      <c r="A8" s="99"/>
      <c r="B8" s="99"/>
      <c r="C8" s="108" t="s">
        <v>158</v>
      </c>
      <c r="D8" s="206" t="s">
        <v>159</v>
      </c>
      <c r="E8" s="206"/>
      <c r="F8" s="206"/>
      <c r="G8" s="206" t="s">
        <v>175</v>
      </c>
      <c r="H8" s="206"/>
      <c r="I8" s="207" t="s">
        <v>160</v>
      </c>
      <c r="J8" s="207"/>
      <c r="K8" s="99"/>
      <c r="L8" s="103"/>
      <c r="M8" s="109"/>
    </row>
    <row r="9" spans="1:13" ht="36" customHeight="1" x14ac:dyDescent="0.3">
      <c r="A9" s="99"/>
      <c r="B9" s="99"/>
      <c r="C9" s="88"/>
      <c r="D9" s="191" t="s">
        <v>161</v>
      </c>
      <c r="E9" s="191"/>
      <c r="F9" s="191"/>
      <c r="G9" s="190" t="s">
        <v>182</v>
      </c>
      <c r="H9" s="190"/>
      <c r="I9" s="189" t="s">
        <v>162</v>
      </c>
      <c r="J9" s="189"/>
      <c r="K9" s="99"/>
      <c r="L9" s="103"/>
      <c r="M9" s="109"/>
    </row>
    <row r="10" spans="1:13" ht="52.5" customHeight="1" x14ac:dyDescent="0.3">
      <c r="A10" s="99"/>
      <c r="B10" s="99"/>
      <c r="C10" s="90"/>
      <c r="D10" s="191" t="s">
        <v>163</v>
      </c>
      <c r="E10" s="191"/>
      <c r="F10" s="191"/>
      <c r="G10" s="190" t="s">
        <v>183</v>
      </c>
      <c r="H10" s="190"/>
      <c r="I10" s="204" t="s">
        <v>164</v>
      </c>
      <c r="J10" s="204"/>
      <c r="K10" s="99"/>
      <c r="L10" s="103"/>
      <c r="M10" s="109"/>
    </row>
    <row r="11" spans="1:13" ht="41.25" customHeight="1" x14ac:dyDescent="0.3">
      <c r="A11" s="99"/>
      <c r="B11" s="99"/>
      <c r="C11" s="96"/>
      <c r="D11" s="191" t="s">
        <v>168</v>
      </c>
      <c r="E11" s="191"/>
      <c r="F11" s="191"/>
      <c r="G11" s="190" t="s">
        <v>184</v>
      </c>
      <c r="H11" s="190"/>
      <c r="I11" s="189" t="s">
        <v>162</v>
      </c>
      <c r="J11" s="189"/>
      <c r="K11" s="99"/>
      <c r="L11" s="103"/>
      <c r="M11" s="109"/>
    </row>
    <row r="12" spans="1:13" ht="28.5" customHeight="1" x14ac:dyDescent="0.25">
      <c r="A12" s="99"/>
      <c r="B12" s="99"/>
      <c r="C12" s="91"/>
      <c r="D12" s="191" t="s">
        <v>172</v>
      </c>
      <c r="E12" s="191"/>
      <c r="F12" s="191"/>
      <c r="G12" s="190" t="s">
        <v>181</v>
      </c>
      <c r="H12" s="190"/>
      <c r="I12" s="189" t="s">
        <v>162</v>
      </c>
      <c r="J12" s="189"/>
      <c r="K12" s="99"/>
      <c r="L12" s="103"/>
      <c r="M12" s="109"/>
    </row>
    <row r="13" spans="1:13" ht="28.5" customHeight="1" x14ac:dyDescent="0.25">
      <c r="A13" s="99"/>
      <c r="B13" s="99"/>
      <c r="C13" s="92"/>
      <c r="D13" s="191" t="s">
        <v>165</v>
      </c>
      <c r="E13" s="191"/>
      <c r="F13" s="191"/>
      <c r="G13" s="190" t="s">
        <v>176</v>
      </c>
      <c r="H13" s="190"/>
      <c r="I13" s="189" t="s">
        <v>162</v>
      </c>
      <c r="J13" s="189"/>
      <c r="K13" s="99"/>
      <c r="L13" s="103"/>
      <c r="M13" s="109"/>
    </row>
    <row r="14" spans="1:13" ht="43.5" customHeight="1" x14ac:dyDescent="0.3">
      <c r="A14" s="99"/>
      <c r="B14" s="99"/>
      <c r="C14" s="93"/>
      <c r="D14" s="191" t="s">
        <v>166</v>
      </c>
      <c r="E14" s="191"/>
      <c r="F14" s="191"/>
      <c r="G14" s="190" t="s">
        <v>185</v>
      </c>
      <c r="H14" s="190"/>
      <c r="I14" s="189" t="s">
        <v>162</v>
      </c>
      <c r="J14" s="189"/>
      <c r="K14" s="99"/>
      <c r="L14" s="103"/>
      <c r="M14" s="109"/>
    </row>
    <row r="15" spans="1:13" ht="40.5" customHeight="1" x14ac:dyDescent="0.25">
      <c r="A15" s="99"/>
      <c r="B15" s="99"/>
      <c r="C15" s="94"/>
      <c r="D15" s="191" t="s">
        <v>167</v>
      </c>
      <c r="E15" s="191"/>
      <c r="F15" s="191"/>
      <c r="G15" s="190" t="s">
        <v>186</v>
      </c>
      <c r="H15" s="190"/>
      <c r="I15" s="189" t="s">
        <v>162</v>
      </c>
      <c r="J15" s="189"/>
      <c r="K15" s="99"/>
      <c r="L15" s="103"/>
      <c r="M15" s="109"/>
    </row>
    <row r="16" spans="1:13" ht="42" customHeight="1" x14ac:dyDescent="0.25">
      <c r="A16" s="99"/>
      <c r="B16" s="99"/>
      <c r="C16" s="95"/>
      <c r="D16" s="191" t="s">
        <v>198</v>
      </c>
      <c r="E16" s="191"/>
      <c r="F16" s="191"/>
      <c r="G16" s="190" t="s">
        <v>201</v>
      </c>
      <c r="H16" s="190"/>
      <c r="I16" s="189" t="s">
        <v>162</v>
      </c>
      <c r="J16" s="189"/>
      <c r="K16" s="99"/>
      <c r="L16" s="103"/>
      <c r="M16" s="109"/>
    </row>
    <row r="17" spans="1:13" ht="42" customHeight="1" x14ac:dyDescent="0.25">
      <c r="A17" s="99"/>
      <c r="B17" s="99"/>
      <c r="C17" s="154"/>
      <c r="D17" s="191" t="s">
        <v>222</v>
      </c>
      <c r="E17" s="191"/>
      <c r="F17" s="191"/>
      <c r="G17" s="190" t="s">
        <v>223</v>
      </c>
      <c r="H17" s="190"/>
      <c r="I17" s="189" t="s">
        <v>162</v>
      </c>
      <c r="J17" s="189"/>
      <c r="K17" s="99"/>
      <c r="L17" s="103"/>
      <c r="M17" s="109"/>
    </row>
    <row r="18" spans="1:13" x14ac:dyDescent="0.25">
      <c r="A18" s="104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3"/>
      <c r="M18" s="109"/>
    </row>
    <row r="19" spans="1:13" ht="21" customHeight="1" x14ac:dyDescent="0.4">
      <c r="A19" s="99"/>
      <c r="B19" s="99"/>
      <c r="C19" s="209" t="s">
        <v>174</v>
      </c>
      <c r="D19" s="209"/>
      <c r="E19" s="209"/>
      <c r="F19" s="209"/>
      <c r="G19" s="209"/>
      <c r="H19" s="209"/>
      <c r="I19" s="209"/>
      <c r="J19" s="209"/>
      <c r="K19" s="99"/>
      <c r="L19" s="103"/>
      <c r="M19" s="109"/>
    </row>
    <row r="20" spans="1:13" x14ac:dyDescent="0.25">
      <c r="A20" s="99"/>
      <c r="B20" s="99"/>
      <c r="C20" s="210" t="s">
        <v>169</v>
      </c>
      <c r="D20" s="190" t="s">
        <v>199</v>
      </c>
      <c r="E20" s="190"/>
      <c r="F20" s="190"/>
      <c r="G20" s="190"/>
      <c r="H20" s="190"/>
      <c r="I20" s="190"/>
      <c r="J20" s="190"/>
      <c r="K20" s="99"/>
      <c r="L20" s="103"/>
      <c r="M20" s="109"/>
    </row>
    <row r="21" spans="1:13" x14ac:dyDescent="0.25">
      <c r="A21" s="99"/>
      <c r="B21" s="99"/>
      <c r="C21" s="210"/>
      <c r="D21" s="190"/>
      <c r="E21" s="190"/>
      <c r="F21" s="190"/>
      <c r="G21" s="190"/>
      <c r="H21" s="190"/>
      <c r="I21" s="190"/>
      <c r="J21" s="190"/>
      <c r="K21" s="99"/>
      <c r="L21" s="103"/>
      <c r="M21" s="109"/>
    </row>
    <row r="22" spans="1:13" x14ac:dyDescent="0.25">
      <c r="A22" s="99"/>
      <c r="B22" s="99"/>
      <c r="C22" s="210"/>
      <c r="D22" s="190"/>
      <c r="E22" s="190"/>
      <c r="F22" s="190"/>
      <c r="G22" s="190"/>
      <c r="H22" s="190"/>
      <c r="I22" s="190"/>
      <c r="J22" s="190"/>
      <c r="K22" s="99"/>
      <c r="L22" s="103"/>
      <c r="M22" s="109"/>
    </row>
    <row r="23" spans="1:13" x14ac:dyDescent="0.25">
      <c r="A23" s="99"/>
      <c r="B23" s="99"/>
      <c r="C23" s="210" t="s">
        <v>170</v>
      </c>
      <c r="D23" s="190" t="s">
        <v>200</v>
      </c>
      <c r="E23" s="190"/>
      <c r="F23" s="190"/>
      <c r="G23" s="190"/>
      <c r="H23" s="190"/>
      <c r="I23" s="190"/>
      <c r="J23" s="190"/>
      <c r="K23" s="99"/>
      <c r="L23" s="103"/>
      <c r="M23" s="109"/>
    </row>
    <row r="24" spans="1:13" x14ac:dyDescent="0.25">
      <c r="A24" s="99"/>
      <c r="B24" s="99"/>
      <c r="C24" s="210"/>
      <c r="D24" s="190"/>
      <c r="E24" s="190"/>
      <c r="F24" s="190"/>
      <c r="G24" s="190"/>
      <c r="H24" s="190"/>
      <c r="I24" s="190"/>
      <c r="J24" s="190"/>
      <c r="K24" s="99"/>
      <c r="L24" s="103"/>
      <c r="M24" s="109"/>
    </row>
    <row r="25" spans="1:13" x14ac:dyDescent="0.25">
      <c r="A25" s="99"/>
      <c r="B25" s="99"/>
      <c r="C25" s="210"/>
      <c r="D25" s="190"/>
      <c r="E25" s="190"/>
      <c r="F25" s="190"/>
      <c r="G25" s="190"/>
      <c r="H25" s="190"/>
      <c r="I25" s="190"/>
      <c r="J25" s="190"/>
      <c r="K25" s="99"/>
      <c r="L25" s="103"/>
      <c r="M25" s="109"/>
    </row>
    <row r="26" spans="1:13" ht="15.75" thickBot="1" x14ac:dyDescent="0.3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109"/>
    </row>
    <row r="27" spans="1:13" x14ac:dyDescent="0.25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</row>
  </sheetData>
  <mergeCells count="39">
    <mergeCell ref="I16:J16"/>
    <mergeCell ref="D12:F12"/>
    <mergeCell ref="G12:H12"/>
    <mergeCell ref="I12:J12"/>
    <mergeCell ref="D15:F15"/>
    <mergeCell ref="G15:H15"/>
    <mergeCell ref="I15:J15"/>
    <mergeCell ref="D8:F8"/>
    <mergeCell ref="G8:H8"/>
    <mergeCell ref="I8:J8"/>
    <mergeCell ref="A27:M27"/>
    <mergeCell ref="C19:J19"/>
    <mergeCell ref="C20:C22"/>
    <mergeCell ref="D20:J22"/>
    <mergeCell ref="C23:C25"/>
    <mergeCell ref="D23:J25"/>
    <mergeCell ref="D9:F9"/>
    <mergeCell ref="G9:H9"/>
    <mergeCell ref="I9:J9"/>
    <mergeCell ref="G11:H11"/>
    <mergeCell ref="I11:J11"/>
    <mergeCell ref="D16:F16"/>
    <mergeCell ref="G16:H16"/>
    <mergeCell ref="I17:J17"/>
    <mergeCell ref="G17:H17"/>
    <mergeCell ref="D17:F17"/>
    <mergeCell ref="A1:L1"/>
    <mergeCell ref="B3:K5"/>
    <mergeCell ref="D14:F14"/>
    <mergeCell ref="G14:H14"/>
    <mergeCell ref="I14:J14"/>
    <mergeCell ref="D10:F10"/>
    <mergeCell ref="G10:H10"/>
    <mergeCell ref="I10:J10"/>
    <mergeCell ref="D11:F11"/>
    <mergeCell ref="D13:F13"/>
    <mergeCell ref="G13:H13"/>
    <mergeCell ref="I13:J13"/>
    <mergeCell ref="C7:J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</sheetPr>
  <dimension ref="A1:Q92"/>
  <sheetViews>
    <sheetView zoomScale="90" zoomScaleNormal="90" workbookViewId="0">
      <selection activeCell="C1" sqref="C1:C1048576"/>
    </sheetView>
  </sheetViews>
  <sheetFormatPr defaultColWidth="9.140625" defaultRowHeight="15" x14ac:dyDescent="0.25"/>
  <cols>
    <col min="1" max="1" width="12.85546875" style="13" bestFit="1" customWidth="1"/>
    <col min="2" max="2" width="10.28515625" style="10" hidden="1" customWidth="1"/>
    <col min="3" max="3" width="2.42578125" style="251" customWidth="1"/>
    <col min="4" max="6" width="9.140625" style="10"/>
    <col min="7" max="7" width="9.140625" style="10" hidden="1" customWidth="1"/>
    <col min="8" max="8" width="2.7109375" style="251" customWidth="1"/>
    <col min="9" max="11" width="9.140625" style="10"/>
    <col min="12" max="12" width="9.140625" style="10" hidden="1" customWidth="1"/>
    <col min="13" max="13" width="3" style="251" customWidth="1"/>
    <col min="14" max="16" width="9.140625" style="10"/>
    <col min="17" max="17" width="4.7109375" style="10" hidden="1" customWidth="1"/>
    <col min="18" max="16384" width="9.140625" style="10"/>
  </cols>
  <sheetData>
    <row r="1" spans="1:17" ht="18.75" x14ac:dyDescent="0.3">
      <c r="A1" s="84"/>
      <c r="B1" s="68"/>
      <c r="D1" s="250" t="s">
        <v>120</v>
      </c>
      <c r="E1" s="250"/>
      <c r="F1" s="250"/>
      <c r="G1" s="250"/>
      <c r="I1" s="250" t="s">
        <v>121</v>
      </c>
      <c r="J1" s="250"/>
      <c r="K1" s="250"/>
      <c r="L1" s="250"/>
      <c r="N1" s="250" t="s">
        <v>122</v>
      </c>
      <c r="O1" s="250"/>
      <c r="P1" s="250"/>
      <c r="Q1" s="250"/>
    </row>
    <row r="2" spans="1:17" ht="30" x14ac:dyDescent="0.25">
      <c r="A2" s="21" t="s">
        <v>228</v>
      </c>
      <c r="B2" s="22" t="s">
        <v>35</v>
      </c>
      <c r="D2" s="32" t="s">
        <v>89</v>
      </c>
      <c r="E2" s="32" t="s">
        <v>90</v>
      </c>
      <c r="F2" s="32" t="s">
        <v>34</v>
      </c>
      <c r="G2" s="22" t="s">
        <v>35</v>
      </c>
      <c r="I2" s="32" t="s">
        <v>89</v>
      </c>
      <c r="J2" s="32" t="s">
        <v>90</v>
      </c>
      <c r="K2" s="32" t="s">
        <v>34</v>
      </c>
      <c r="L2" s="22" t="s">
        <v>35</v>
      </c>
      <c r="N2" s="32" t="s">
        <v>89</v>
      </c>
      <c r="O2" s="32" t="s">
        <v>90</v>
      </c>
      <c r="P2" s="32" t="s">
        <v>34</v>
      </c>
      <c r="Q2" s="22" t="s">
        <v>35</v>
      </c>
    </row>
    <row r="3" spans="1:17" x14ac:dyDescent="0.25">
      <c r="A3" s="13">
        <v>1</v>
      </c>
      <c r="B3" s="7" t="e">
        <f>#REF!/4448.2216</f>
        <v>#REF!</v>
      </c>
      <c r="D3" s="7">
        <f>1.03</f>
        <v>1.03</v>
      </c>
      <c r="E3" s="7">
        <f>0.613*(D3*'Alternative 1'!$B$34*'Alternative 1'!$B$35*'Alternative 1'!$B$36)</f>
        <v>1198.7098482529279</v>
      </c>
      <c r="F3" s="7">
        <f>E3*'Alternative 1'!$B$32*'Alternative 1'!$B$33*'Alternative 1'!H4</f>
        <v>1516.37162076449</v>
      </c>
      <c r="G3" s="7">
        <f>F3/4448.2216</f>
        <v>0.34089390257996366</v>
      </c>
      <c r="I3" s="7">
        <f>1.03</f>
        <v>1.03</v>
      </c>
      <c r="J3" s="7">
        <f>0.613*(I3*'Alternative 2'!$B$34*'Alternative 2'!$B$35*'Alternative 2'!$B$36)</f>
        <v>1198.7098482529279</v>
      </c>
      <c r="K3" s="7">
        <f>J3*'Alternative 2'!$B$32*'Alternative 2'!$B$33*'Alternative 2'!H4</f>
        <v>1516.37162076449</v>
      </c>
      <c r="L3" s="7">
        <f>K3/4448.2216</f>
        <v>0.34089390257996366</v>
      </c>
      <c r="N3" s="7">
        <f>1.03</f>
        <v>1.03</v>
      </c>
      <c r="O3" s="7">
        <f>0.613*(N3*'Alternative 3'!$B$34*'Alternative 3'!$B$35*'Alternative 3'!$B$36)</f>
        <v>1198.7098482529279</v>
      </c>
      <c r="P3" s="7">
        <f>O3*'Alternative 3'!$B$32*'Alternative 3'!$B$33*'Alternative 3'!H4</f>
        <v>1516.37162076449</v>
      </c>
      <c r="Q3" s="7">
        <f>P3/4448.2216</f>
        <v>0.34089390257996366</v>
      </c>
    </row>
    <row r="4" spans="1:17" x14ac:dyDescent="0.25">
      <c r="A4" s="13">
        <f>A3+1</f>
        <v>2</v>
      </c>
      <c r="B4" s="7" t="e">
        <f>#REF!/4448.2216</f>
        <v>#REF!</v>
      </c>
      <c r="D4" s="7">
        <f>1.03</f>
        <v>1.03</v>
      </c>
      <c r="E4" s="7">
        <f>0.613*(D4*'Alternative 1'!$B$34*'Alternative 1'!$B$35*'Alternative 1'!$B$36)</f>
        <v>1198.7098482529279</v>
      </c>
      <c r="F4" s="7">
        <f>E4*'Alternative 1'!$B$32*'Alternative 1'!$B$33*'Alternative 1'!H5</f>
        <v>1502.1862216102479</v>
      </c>
      <c r="G4" s="7">
        <f t="shared" ref="G4:G67" si="0">F4/4448.2216</f>
        <v>0.33770489797771047</v>
      </c>
      <c r="I4" s="7">
        <f>1.03</f>
        <v>1.03</v>
      </c>
      <c r="J4" s="7">
        <f>0.613*(I4*'Alternative 2'!$B$34*'Alternative 2'!$B$35*'Alternative 2'!$B$36)</f>
        <v>1198.7098482529279</v>
      </c>
      <c r="K4" s="7">
        <f>J4*'Alternative 2'!$B$32*'Alternative 2'!$B$33*'Alternative 2'!H5</f>
        <v>1502.1862216102479</v>
      </c>
      <c r="L4" s="7">
        <f t="shared" ref="L4:L67" si="1">K4/4448.2216</f>
        <v>0.33770489797771047</v>
      </c>
      <c r="N4" s="7">
        <f>1.03</f>
        <v>1.03</v>
      </c>
      <c r="O4" s="7">
        <f>0.613*(N4*'Alternative 3'!$B$34*'Alternative 3'!$B$35*'Alternative 3'!$B$36)</f>
        <v>1198.7098482529279</v>
      </c>
      <c r="P4" s="7">
        <f>O4*'Alternative 3'!$B$32*'Alternative 3'!$B$33*'Alternative 3'!H5</f>
        <v>1502.1862216102479</v>
      </c>
      <c r="Q4" s="7">
        <f t="shared" ref="Q4:Q67" si="2">P4/4448.2216</f>
        <v>0.33770489797771047</v>
      </c>
    </row>
    <row r="5" spans="1:17" x14ac:dyDescent="0.25">
      <c r="A5" s="13">
        <f t="shared" ref="A5:A68" si="3">A4+1</f>
        <v>3</v>
      </c>
      <c r="B5" s="7" t="e">
        <f>#REF!/4448.2216</f>
        <v>#REF!</v>
      </c>
      <c r="D5" s="7">
        <f>1.03</f>
        <v>1.03</v>
      </c>
      <c r="E5" s="7">
        <f>0.613*(D5*'Alternative 1'!$B$34*'Alternative 1'!$B$35*'Alternative 1'!$B$36)</f>
        <v>1198.7098482529279</v>
      </c>
      <c r="F5" s="7">
        <f>E5*'Alternative 1'!$B$32*'Alternative 1'!$B$33*'Alternative 1'!H6</f>
        <v>1488.0008224560058</v>
      </c>
      <c r="G5" s="7">
        <f t="shared" si="0"/>
        <v>0.33451589337545728</v>
      </c>
      <c r="I5" s="7">
        <f>1.03</f>
        <v>1.03</v>
      </c>
      <c r="J5" s="7">
        <f>0.613*(I5*'Alternative 2'!$B$34*'Alternative 2'!$B$35*'Alternative 2'!$B$36)</f>
        <v>1198.7098482529279</v>
      </c>
      <c r="K5" s="7">
        <f>J5*'Alternative 2'!$B$32*'Alternative 2'!$B$33*'Alternative 2'!H6</f>
        <v>1488.0008224560058</v>
      </c>
      <c r="L5" s="7">
        <f t="shared" si="1"/>
        <v>0.33451589337545728</v>
      </c>
      <c r="N5" s="7">
        <f>1.03</f>
        <v>1.03</v>
      </c>
      <c r="O5" s="7">
        <f>0.613*(N5*'Alternative 3'!$B$34*'Alternative 3'!$B$35*'Alternative 3'!$B$36)</f>
        <v>1198.7098482529279</v>
      </c>
      <c r="P5" s="7">
        <f>O5*'Alternative 3'!$B$32*'Alternative 3'!$B$33*'Alternative 3'!H6</f>
        <v>1488.0008224560058</v>
      </c>
      <c r="Q5" s="7">
        <f t="shared" si="2"/>
        <v>0.33451589337545728</v>
      </c>
    </row>
    <row r="6" spans="1:17" x14ac:dyDescent="0.25">
      <c r="A6" s="13">
        <f t="shared" si="3"/>
        <v>4</v>
      </c>
      <c r="B6" s="7" t="e">
        <f>#REF!/4448.2216</f>
        <v>#REF!</v>
      </c>
      <c r="D6" s="7">
        <f>1.03</f>
        <v>1.03</v>
      </c>
      <c r="E6" s="7">
        <f>0.613*(D6*'Alternative 1'!$B$34*'Alternative 1'!$B$35*'Alternative 1'!$B$36)</f>
        <v>1198.7098482529279</v>
      </c>
      <c r="F6" s="7">
        <f>E6*'Alternative 1'!$B$32*'Alternative 1'!$B$33*'Alternative 1'!H7</f>
        <v>1473.815423301764</v>
      </c>
      <c r="G6" s="7">
        <f t="shared" si="0"/>
        <v>0.3313268887732041</v>
      </c>
      <c r="I6" s="7">
        <f>1.03</f>
        <v>1.03</v>
      </c>
      <c r="J6" s="7">
        <f>0.613*(I6*'Alternative 2'!$B$34*'Alternative 2'!$B$35*'Alternative 2'!$B$36)</f>
        <v>1198.7098482529279</v>
      </c>
      <c r="K6" s="7">
        <f>J6*'Alternative 2'!$B$32*'Alternative 2'!$B$33*'Alternative 2'!H7</f>
        <v>1473.815423301764</v>
      </c>
      <c r="L6" s="7">
        <f t="shared" si="1"/>
        <v>0.3313268887732041</v>
      </c>
      <c r="N6" s="7">
        <f>1.03</f>
        <v>1.03</v>
      </c>
      <c r="O6" s="7">
        <f>0.613*(N6*'Alternative 3'!$B$34*'Alternative 3'!$B$35*'Alternative 3'!$B$36)</f>
        <v>1198.7098482529279</v>
      </c>
      <c r="P6" s="7">
        <f>O6*'Alternative 3'!$B$32*'Alternative 3'!$B$33*'Alternative 3'!H7</f>
        <v>1473.815423301764</v>
      </c>
      <c r="Q6" s="7">
        <f t="shared" si="2"/>
        <v>0.3313268887732041</v>
      </c>
    </row>
    <row r="7" spans="1:17" x14ac:dyDescent="0.25">
      <c r="A7" s="13">
        <f t="shared" si="3"/>
        <v>5</v>
      </c>
      <c r="B7" s="7" t="e">
        <f>#REF!/4448.2216</f>
        <v>#REF!</v>
      </c>
      <c r="D7" s="7">
        <f>1.03</f>
        <v>1.03</v>
      </c>
      <c r="E7" s="7">
        <f>0.613*(D7*'Alternative 1'!$B$34*'Alternative 1'!$B$35*'Alternative 1'!$B$36)</f>
        <v>1198.7098482529279</v>
      </c>
      <c r="F7" s="7">
        <f>E7*'Alternative 1'!$B$32*'Alternative 1'!$B$33*'Alternative 1'!H8</f>
        <v>1459.6300241475219</v>
      </c>
      <c r="G7" s="7">
        <f t="shared" si="0"/>
        <v>0.32813788417095091</v>
      </c>
      <c r="I7" s="7">
        <f>1.03</f>
        <v>1.03</v>
      </c>
      <c r="J7" s="7">
        <f>0.613*(I7*'Alternative 2'!$B$34*'Alternative 2'!$B$35*'Alternative 2'!$B$36)</f>
        <v>1198.7098482529279</v>
      </c>
      <c r="K7" s="7">
        <f>J7*'Alternative 2'!$B$32*'Alternative 2'!$B$33*'Alternative 2'!H8</f>
        <v>1459.6300241475219</v>
      </c>
      <c r="L7" s="7">
        <f t="shared" si="1"/>
        <v>0.32813788417095091</v>
      </c>
      <c r="N7" s="7">
        <f>1.03</f>
        <v>1.03</v>
      </c>
      <c r="O7" s="7">
        <f>0.613*(N7*'Alternative 3'!$B$34*'Alternative 3'!$B$35*'Alternative 3'!$B$36)</f>
        <v>1198.7098482529279</v>
      </c>
      <c r="P7" s="7">
        <f>O7*'Alternative 3'!$B$32*'Alternative 3'!$B$33*'Alternative 3'!H8</f>
        <v>1459.6300241475219</v>
      </c>
      <c r="Q7" s="7">
        <f t="shared" si="2"/>
        <v>0.32813788417095091</v>
      </c>
    </row>
    <row r="8" spans="1:17" x14ac:dyDescent="0.25">
      <c r="A8" s="13">
        <f t="shared" si="3"/>
        <v>6</v>
      </c>
      <c r="B8" s="7" t="e">
        <f>#REF!/4448.2216</f>
        <v>#REF!</v>
      </c>
      <c r="D8" s="7">
        <f>2.01*(('Alternative 1'!G9/213.36)^(2/11.5))</f>
        <v>1.063877576076824</v>
      </c>
      <c r="E8" s="7">
        <f>0.613*(D8*'Alternative 1'!$B$34*'Alternative 1'!$B$35*'Alternative 1'!$B$36)</f>
        <v>1238.1364347366432</v>
      </c>
      <c r="F8" s="7">
        <f>E8*'Alternative 1'!$B$32*'Alternative 1'!$B$33*'Alternative 1'!H9</f>
        <v>1492.986528146723</v>
      </c>
      <c r="G8" s="7">
        <f t="shared" si="0"/>
        <v>0.33563672460623883</v>
      </c>
      <c r="I8" s="7">
        <f>2.01*(('Alternative 2'!G9/213.36)^(2/11.5))</f>
        <v>1.063877576076824</v>
      </c>
      <c r="J8" s="7">
        <f>0.613*(I8*'Alternative 2'!$B$34*'Alternative 2'!$B$35*'Alternative 2'!$B$36)</f>
        <v>1238.1364347366432</v>
      </c>
      <c r="K8" s="7">
        <f>J8*'Alternative 2'!$B$32*'Alternative 2'!$B$33*'Alternative 2'!H9</f>
        <v>1492.986528146723</v>
      </c>
      <c r="L8" s="7">
        <f t="shared" si="1"/>
        <v>0.33563672460623883</v>
      </c>
      <c r="N8" s="7">
        <f>2.01*(('Alternative 3'!G9/213.36)^(2/11.5))</f>
        <v>1.063877576076824</v>
      </c>
      <c r="O8" s="7">
        <f>0.613*(N8*'Alternative 3'!$B$34*'Alternative 3'!$B$35*'Alternative 3'!$B$36)</f>
        <v>1238.1364347366432</v>
      </c>
      <c r="P8" s="7">
        <f>O8*'Alternative 3'!$B$32*'Alternative 3'!$B$33*'Alternative 3'!H9</f>
        <v>1492.986528146723</v>
      </c>
      <c r="Q8" s="7">
        <f t="shared" si="2"/>
        <v>0.33563672460623883</v>
      </c>
    </row>
    <row r="9" spans="1:17" x14ac:dyDescent="0.25">
      <c r="A9" s="13">
        <f t="shared" si="3"/>
        <v>7</v>
      </c>
      <c r="B9" s="7" t="e">
        <f>#REF!/4448.2216</f>
        <v>#REF!</v>
      </c>
      <c r="D9" s="7">
        <f>2.01*(('Alternative 1'!G10/213.36)^(2/11.5))</f>
        <v>1.0952396617636087</v>
      </c>
      <c r="E9" s="7">
        <f>0.613*(D9*'Alternative 1'!$B$34*'Alternative 1'!$B$35*'Alternative 1'!$B$36)</f>
        <v>1274.6355036439259</v>
      </c>
      <c r="F9" s="7">
        <f>E9*'Alternative 1'!$B$32*'Alternative 1'!$B$33*'Alternative 1'!H10</f>
        <v>1521.9144372854296</v>
      </c>
      <c r="G9" s="7">
        <f t="shared" si="0"/>
        <v>0.34213997730810658</v>
      </c>
      <c r="I9" s="7">
        <f>2.01*(('Alternative 2'!G10/213.36)^(2/11.5))</f>
        <v>1.0952396617636087</v>
      </c>
      <c r="J9" s="7">
        <f>0.613*(I9*'Alternative 2'!$B$34*'Alternative 2'!$B$35*'Alternative 2'!$B$36)</f>
        <v>1274.6355036439259</v>
      </c>
      <c r="K9" s="7">
        <f>J9*'Alternative 2'!$B$32*'Alternative 2'!$B$33*'Alternative 2'!H10</f>
        <v>1521.9144372854296</v>
      </c>
      <c r="L9" s="7">
        <f t="shared" si="1"/>
        <v>0.34213997730810658</v>
      </c>
      <c r="N9" s="7">
        <f>2.01*(('Alternative 3'!G10/213.36)^(2/11.5))</f>
        <v>1.0952396617636087</v>
      </c>
      <c r="O9" s="7">
        <f>0.613*(N9*'Alternative 3'!$B$34*'Alternative 3'!$B$35*'Alternative 3'!$B$36)</f>
        <v>1274.6355036439259</v>
      </c>
      <c r="P9" s="7">
        <f>O9*'Alternative 3'!$B$32*'Alternative 3'!$B$33*'Alternative 3'!H10</f>
        <v>1521.9144372854296</v>
      </c>
      <c r="Q9" s="7">
        <f t="shared" si="2"/>
        <v>0.34213997730810658</v>
      </c>
    </row>
    <row r="10" spans="1:17" x14ac:dyDescent="0.25">
      <c r="A10" s="13">
        <f t="shared" si="3"/>
        <v>8</v>
      </c>
      <c r="B10" s="7" t="e">
        <f>#REF!/4448.2216</f>
        <v>#REF!</v>
      </c>
      <c r="D10" s="7">
        <f>2.01*(('Alternative 1'!G11/213.36)^(2/11.5))</f>
        <v>1.1228390137637763</v>
      </c>
      <c r="E10" s="7">
        <f>0.613*(D10*'Alternative 1'!$B$34*'Alternative 1'!$B$35*'Alternative 1'!$B$36)</f>
        <v>1306.7555182536344</v>
      </c>
      <c r="F10" s="7">
        <f>E10*'Alternative 1'!$B$32*'Alternative 1'!$B$33*'Alternative 1'!H11</f>
        <v>1544.8017261992393</v>
      </c>
      <c r="G10" s="7">
        <f t="shared" si="0"/>
        <v>0.34728524455688975</v>
      </c>
      <c r="I10" s="7">
        <f>2.01*(('Alternative 2'!G11/213.36)^(2/11.5))</f>
        <v>1.1228390137637763</v>
      </c>
      <c r="J10" s="7">
        <f>0.613*(I10*'Alternative 2'!$B$34*'Alternative 2'!$B$35*'Alternative 2'!$B$36)</f>
        <v>1306.7555182536344</v>
      </c>
      <c r="K10" s="7">
        <f>J10*'Alternative 2'!$B$32*'Alternative 2'!$B$33*'Alternative 2'!H11</f>
        <v>1544.8017261992393</v>
      </c>
      <c r="L10" s="7">
        <f t="shared" si="1"/>
        <v>0.34728524455688975</v>
      </c>
      <c r="N10" s="7">
        <f>2.01*(('Alternative 3'!G11/213.36)^(2/11.5))</f>
        <v>1.1228390137637763</v>
      </c>
      <c r="O10" s="7">
        <f>0.613*(N10*'Alternative 3'!$B$34*'Alternative 3'!$B$35*'Alternative 3'!$B$36)</f>
        <v>1306.7555182536344</v>
      </c>
      <c r="P10" s="7">
        <f>O10*'Alternative 3'!$B$32*'Alternative 3'!$B$33*'Alternative 3'!H11</f>
        <v>1544.8017261992393</v>
      </c>
      <c r="Q10" s="7">
        <f t="shared" si="2"/>
        <v>0.34728524455688975</v>
      </c>
    </row>
    <row r="11" spans="1:17" x14ac:dyDescent="0.25">
      <c r="A11" s="13">
        <f t="shared" si="3"/>
        <v>9</v>
      </c>
      <c r="B11" s="7" t="e">
        <f>#REF!/4448.2216</f>
        <v>#REF!</v>
      </c>
      <c r="D11" s="7">
        <f>2.01*(('Alternative 1'!G12/213.36)^(2/11.5))</f>
        <v>1.1475483703503253</v>
      </c>
      <c r="E11" s="7">
        <f>0.613*(D11*'Alternative 1'!$B$34*'Alternative 1'!$B$35*'Alternative 1'!$B$36)</f>
        <v>1335.5121678500323</v>
      </c>
      <c r="F11" s="7">
        <f>E11*'Alternative 1'!$B$32*'Alternative 1'!$B$33*'Alternative 1'!H12</f>
        <v>1562.9925522291437</v>
      </c>
      <c r="G11" s="7">
        <f t="shared" si="0"/>
        <v>0.35137470494481293</v>
      </c>
      <c r="I11" s="7">
        <f>2.01*(('Alternative 2'!G12/213.36)^(2/11.5))</f>
        <v>1.1475483703503253</v>
      </c>
      <c r="J11" s="7">
        <f>0.613*(I11*'Alternative 2'!$B$34*'Alternative 2'!$B$35*'Alternative 2'!$B$36)</f>
        <v>1335.5121678500323</v>
      </c>
      <c r="K11" s="7">
        <f>J11*'Alternative 2'!$B$32*'Alternative 2'!$B$33*'Alternative 2'!H12</f>
        <v>1562.9925522291437</v>
      </c>
      <c r="L11" s="7">
        <f t="shared" si="1"/>
        <v>0.35137470494481293</v>
      </c>
      <c r="N11" s="7">
        <f>2.01*(('Alternative 3'!G12/213.36)^(2/11.5))</f>
        <v>1.1475483703503253</v>
      </c>
      <c r="O11" s="7">
        <f>0.613*(N11*'Alternative 3'!$B$34*'Alternative 3'!$B$35*'Alternative 3'!$B$36)</f>
        <v>1335.5121678500323</v>
      </c>
      <c r="P11" s="7">
        <f>O11*'Alternative 3'!$B$32*'Alternative 3'!$B$33*'Alternative 3'!H12</f>
        <v>1562.9925522291437</v>
      </c>
      <c r="Q11" s="7">
        <f t="shared" si="2"/>
        <v>0.35137470494481293</v>
      </c>
    </row>
    <row r="12" spans="1:17" x14ac:dyDescent="0.25">
      <c r="A12" s="13">
        <f t="shared" si="3"/>
        <v>10</v>
      </c>
      <c r="B12" s="7" t="e">
        <f>#REF!/4448.2216</f>
        <v>#REF!</v>
      </c>
      <c r="D12" s="7">
        <f>2.01*(('Alternative 1'!G13/213.36)^(2/11.5))</f>
        <v>1.1699621567046941</v>
      </c>
      <c r="E12" s="7">
        <f>0.613*(D12*'Alternative 1'!$B$34*'Alternative 1'!$B$35*'Alternative 1'!$B$36)</f>
        <v>1361.5972420632545</v>
      </c>
      <c r="F12" s="7">
        <f>E12*'Alternative 1'!$B$32*'Alternative 1'!$B$33*'Alternative 1'!H13</f>
        <v>1577.4077573800873</v>
      </c>
      <c r="G12" s="7">
        <f t="shared" si="0"/>
        <v>0.35461537199047982</v>
      </c>
      <c r="I12" s="7">
        <f>2.01*(('Alternative 2'!G13/213.36)^(2/11.5))</f>
        <v>1.1699621567046941</v>
      </c>
      <c r="J12" s="7">
        <f>0.613*(I12*'Alternative 2'!$B$34*'Alternative 2'!$B$35*'Alternative 2'!$B$36)</f>
        <v>1361.5972420632545</v>
      </c>
      <c r="K12" s="7">
        <f>J12*'Alternative 2'!$B$32*'Alternative 2'!$B$33*'Alternative 2'!H13</f>
        <v>1577.4077573800873</v>
      </c>
      <c r="L12" s="7">
        <f t="shared" si="1"/>
        <v>0.35461537199047982</v>
      </c>
      <c r="N12" s="7">
        <f>2.01*(('Alternative 3'!G13/213.36)^(2/11.5))</f>
        <v>1.1699621567046941</v>
      </c>
      <c r="O12" s="7">
        <f>0.613*(N12*'Alternative 3'!$B$34*'Alternative 3'!$B$35*'Alternative 3'!$B$36)</f>
        <v>1361.5972420632545</v>
      </c>
      <c r="P12" s="7">
        <f>O12*'Alternative 3'!$B$32*'Alternative 3'!$B$33*'Alternative 3'!H13</f>
        <v>1577.4077573800873</v>
      </c>
      <c r="Q12" s="7">
        <f t="shared" si="2"/>
        <v>0.35461537199047982</v>
      </c>
    </row>
    <row r="13" spans="1:17" x14ac:dyDescent="0.25">
      <c r="A13" s="13">
        <f t="shared" si="3"/>
        <v>11</v>
      </c>
      <c r="B13" s="7" t="e">
        <f>#REF!/4448.2216</f>
        <v>#REF!</v>
      </c>
      <c r="D13" s="7">
        <f>2.01*(('Alternative 1'!G14/213.36)^(2/11.5))</f>
        <v>1.1905045662005738</v>
      </c>
      <c r="E13" s="7">
        <f>0.613*(D13*'Alternative 1'!$B$34*'Alternative 1'!$B$35*'Alternative 1'!$B$36)</f>
        <v>1385.5044154317552</v>
      </c>
      <c r="F13" s="7">
        <f>E13*'Alternative 1'!$B$32*'Alternative 1'!$B$33*'Alternative 1'!H14</f>
        <v>1588.7082659340406</v>
      </c>
      <c r="G13" s="7">
        <f t="shared" si="0"/>
        <v>0.35715582738369883</v>
      </c>
      <c r="I13" s="7">
        <f>2.01*(('Alternative 2'!G14/213.36)^(2/11.5))</f>
        <v>1.1905045662005738</v>
      </c>
      <c r="J13" s="7">
        <f>0.613*(I13*'Alternative 2'!$B$34*'Alternative 2'!$B$35*'Alternative 2'!$B$36)</f>
        <v>1385.5044154317552</v>
      </c>
      <c r="K13" s="7">
        <f>J13*'Alternative 2'!$B$32*'Alternative 2'!$B$33*'Alternative 2'!H14</f>
        <v>1588.7082659340406</v>
      </c>
      <c r="L13" s="7">
        <f t="shared" si="1"/>
        <v>0.35715582738369883</v>
      </c>
      <c r="N13" s="7">
        <f>2.01*(('Alternative 3'!G14/213.36)^(2/11.5))</f>
        <v>1.1905045662005738</v>
      </c>
      <c r="O13" s="7">
        <f>0.613*(N13*'Alternative 3'!$B$34*'Alternative 3'!$B$35*'Alternative 3'!$B$36)</f>
        <v>1385.5044154317552</v>
      </c>
      <c r="P13" s="7">
        <f>O13*'Alternative 3'!$B$32*'Alternative 3'!$B$33*'Alternative 3'!H14</f>
        <v>1588.7082659340406</v>
      </c>
      <c r="Q13" s="7">
        <f t="shared" si="2"/>
        <v>0.35715582738369883</v>
      </c>
    </row>
    <row r="14" spans="1:17" x14ac:dyDescent="0.25">
      <c r="A14" s="13">
        <f t="shared" si="3"/>
        <v>12</v>
      </c>
      <c r="B14" s="7" t="e">
        <f>#REF!/4448.2216</f>
        <v>#REF!</v>
      </c>
      <c r="D14" s="7">
        <f>2.01*(('Alternative 1'!G15/213.36)^(2/11.5))</f>
        <v>1.2094895381358994</v>
      </c>
      <c r="E14" s="7">
        <f>0.613*(D14*'Alternative 1'!$B$34*'Alternative 1'!$B$35*'Alternative 1'!$B$36)</f>
        <v>1407.5990492450369</v>
      </c>
      <c r="F14" s="7">
        <f>E14*'Alternative 1'!$B$32*'Alternative 1'!$B$33*'Alternative 1'!H15</f>
        <v>1597.3860200544812</v>
      </c>
      <c r="G14" s="7">
        <f t="shared" si="0"/>
        <v>0.35910666412268699</v>
      </c>
      <c r="I14" s="7">
        <f>2.01*(('Alternative 2'!G15/213.36)^(2/11.5))</f>
        <v>1.2094895381358994</v>
      </c>
      <c r="J14" s="7">
        <f>0.613*(I14*'Alternative 2'!$B$34*'Alternative 2'!$B$35*'Alternative 2'!$B$36)</f>
        <v>1407.5990492450369</v>
      </c>
      <c r="K14" s="7">
        <f>J14*'Alternative 2'!$B$32*'Alternative 2'!$B$33*'Alternative 2'!H15</f>
        <v>1597.3860200544812</v>
      </c>
      <c r="L14" s="7">
        <f t="shared" si="1"/>
        <v>0.35910666412268699</v>
      </c>
      <c r="N14" s="7">
        <f>2.01*(('Alternative 3'!G15/213.36)^(2/11.5))</f>
        <v>1.2094895381358994</v>
      </c>
      <c r="O14" s="7">
        <f>0.613*(N14*'Alternative 3'!$B$34*'Alternative 3'!$B$35*'Alternative 3'!$B$36)</f>
        <v>1407.5990492450369</v>
      </c>
      <c r="P14" s="7">
        <f>O14*'Alternative 3'!$B$32*'Alternative 3'!$B$33*'Alternative 3'!H15</f>
        <v>1597.3860200544812</v>
      </c>
      <c r="Q14" s="7">
        <f t="shared" si="2"/>
        <v>0.35910666412268699</v>
      </c>
    </row>
    <row r="15" spans="1:17" x14ac:dyDescent="0.25">
      <c r="A15" s="13">
        <f t="shared" si="3"/>
        <v>13</v>
      </c>
      <c r="B15" s="7" t="e">
        <f>#REF!/4448.2216</f>
        <v>#REF!</v>
      </c>
      <c r="D15" s="7">
        <f>2.01*(('Alternative 1'!G16/213.36)^(2/11.5))</f>
        <v>1.2271563112764232</v>
      </c>
      <c r="E15" s="7">
        <f>0.613*(D15*'Alternative 1'!$B$34*'Alternative 1'!$B$35*'Alternative 1'!$B$36)</f>
        <v>1428.1595686143537</v>
      </c>
      <c r="F15" s="7">
        <f>E15*'Alternative 1'!$B$32*'Alternative 1'!$B$33*'Alternative 1'!H16</f>
        <v>1603.8180383110325</v>
      </c>
      <c r="G15" s="7">
        <f t="shared" si="0"/>
        <v>0.36055263935390103</v>
      </c>
      <c r="I15" s="7">
        <f>2.01*(('Alternative 2'!G16/213.36)^(2/11.5))</f>
        <v>1.2271563112764232</v>
      </c>
      <c r="J15" s="7">
        <f>0.613*(I15*'Alternative 2'!$B$34*'Alternative 2'!$B$35*'Alternative 2'!$B$36)</f>
        <v>1428.1595686143537</v>
      </c>
      <c r="K15" s="7">
        <f>J15*'Alternative 2'!$B$32*'Alternative 2'!$B$33*'Alternative 2'!H16</f>
        <v>1603.8180383110325</v>
      </c>
      <c r="L15" s="7">
        <f t="shared" si="1"/>
        <v>0.36055263935390103</v>
      </c>
      <c r="N15" s="7">
        <f>2.01*(('Alternative 3'!G16/213.36)^(2/11.5))</f>
        <v>1.2271563112764232</v>
      </c>
      <c r="O15" s="7">
        <f>0.613*(N15*'Alternative 3'!$B$34*'Alternative 3'!$B$35*'Alternative 3'!$B$36)</f>
        <v>1428.1595686143537</v>
      </c>
      <c r="P15" s="7">
        <f>O15*'Alternative 3'!$B$32*'Alternative 3'!$B$33*'Alternative 3'!H16</f>
        <v>1603.8180383110325</v>
      </c>
      <c r="Q15" s="7">
        <f t="shared" si="2"/>
        <v>0.36055263935390103</v>
      </c>
    </row>
    <row r="16" spans="1:17" x14ac:dyDescent="0.25">
      <c r="A16" s="13">
        <f t="shared" si="3"/>
        <v>14</v>
      </c>
      <c r="B16" s="7" t="e">
        <f>#REF!/4448.2216</f>
        <v>#REF!</v>
      </c>
      <c r="D16" s="7">
        <f>2.01*(('Alternative 1'!G17/213.36)^(2/11.5))</f>
        <v>1.2436916322702423</v>
      </c>
      <c r="E16" s="7">
        <f>0.613*(D16*'Alternative 1'!$B$34*'Alternative 1'!$B$35*'Alternative 1'!$B$36)</f>
        <v>1447.4033085360177</v>
      </c>
      <c r="F16" s="7">
        <f>E16*'Alternative 1'!$B$32*'Alternative 1'!$B$33*'Alternative 1'!H17</f>
        <v>1608.3002788211527</v>
      </c>
      <c r="G16" s="7">
        <f t="shared" si="0"/>
        <v>0.36156028710915677</v>
      </c>
      <c r="I16" s="7">
        <f>2.01*(('Alternative 2'!G17/213.36)^(2/11.5))</f>
        <v>1.2436916322702423</v>
      </c>
      <c r="J16" s="7">
        <f>0.613*(I16*'Alternative 2'!$B$34*'Alternative 2'!$B$35*'Alternative 2'!$B$36)</f>
        <v>1447.4033085360177</v>
      </c>
      <c r="K16" s="7">
        <f>J16*'Alternative 2'!$B$32*'Alternative 2'!$B$33*'Alternative 2'!H17</f>
        <v>1608.3002788211527</v>
      </c>
      <c r="L16" s="7">
        <f t="shared" si="1"/>
        <v>0.36156028710915677</v>
      </c>
      <c r="N16" s="7">
        <f>2.01*(('Alternative 3'!G17/213.36)^(2/11.5))</f>
        <v>1.2436916322702423</v>
      </c>
      <c r="O16" s="7">
        <f>0.613*(N16*'Alternative 3'!$B$34*'Alternative 3'!$B$35*'Alternative 3'!$B$36)</f>
        <v>1447.4033085360177</v>
      </c>
      <c r="P16" s="7">
        <f>O16*'Alternative 3'!$B$32*'Alternative 3'!$B$33*'Alternative 3'!H17</f>
        <v>1608.3002788211527</v>
      </c>
      <c r="Q16" s="7">
        <f t="shared" si="2"/>
        <v>0.36156028710915677</v>
      </c>
    </row>
    <row r="17" spans="1:17" x14ac:dyDescent="0.25">
      <c r="A17" s="13">
        <f t="shared" si="3"/>
        <v>15</v>
      </c>
      <c r="B17" s="7" t="e">
        <f>#REF!/4448.2216</f>
        <v>#REF!</v>
      </c>
      <c r="D17" s="7">
        <f>2.01*(('Alternative 1'!G18/213.36)^(2/11.5))</f>
        <v>1.2592442324314197</v>
      </c>
      <c r="E17" s="7">
        <f>0.613*(D17*'Alternative 1'!$B$34*'Alternative 1'!$B$35*'Alternative 1'!$B$36)</f>
        <v>1465.5033619138271</v>
      </c>
      <c r="F17" s="7">
        <f>E17*'Alternative 1'!$B$32*'Alternative 1'!$B$33*'Alternative 1'!H18</f>
        <v>1611.0697754313912</v>
      </c>
      <c r="G17" s="7">
        <f t="shared" si="0"/>
        <v>0.3621828947171587</v>
      </c>
      <c r="I17" s="7">
        <f>2.01*(('Alternative 2'!G18/213.36)^(2/11.5))</f>
        <v>1.2592442324314197</v>
      </c>
      <c r="J17" s="7">
        <f>0.613*(I17*'Alternative 2'!$B$34*'Alternative 2'!$B$35*'Alternative 2'!$B$36)</f>
        <v>1465.5033619138271</v>
      </c>
      <c r="K17" s="7">
        <f>J17*'Alternative 2'!$B$32*'Alternative 2'!$B$33*'Alternative 2'!H18</f>
        <v>1611.0697754313912</v>
      </c>
      <c r="L17" s="7">
        <f t="shared" si="1"/>
        <v>0.3621828947171587</v>
      </c>
      <c r="N17" s="7">
        <f>2.01*(('Alternative 3'!G18/213.36)^(2/11.5))</f>
        <v>1.2592442324314197</v>
      </c>
      <c r="O17" s="7">
        <f>0.613*(N17*'Alternative 3'!$B$34*'Alternative 3'!$B$35*'Alternative 3'!$B$36)</f>
        <v>1465.5033619138271</v>
      </c>
      <c r="P17" s="7">
        <f>O17*'Alternative 3'!$B$32*'Alternative 3'!$B$33*'Alternative 3'!H18</f>
        <v>1611.0697754313912</v>
      </c>
      <c r="Q17" s="7">
        <f t="shared" si="2"/>
        <v>0.3621828947171587</v>
      </c>
    </row>
    <row r="18" spans="1:17" x14ac:dyDescent="0.25">
      <c r="A18" s="13">
        <f t="shared" si="3"/>
        <v>16</v>
      </c>
      <c r="B18" s="7" t="e">
        <f>#REF!/4448.2216</f>
        <v>#REF!</v>
      </c>
      <c r="D18" s="7">
        <f>2.01*(('Alternative 1'!G19/213.36)^(2/11.5))</f>
        <v>1.2739346050089417</v>
      </c>
      <c r="E18" s="7">
        <f>0.613*(D18*'Alternative 1'!$B$34*'Alternative 1'!$B$35*'Alternative 1'!$B$36)</f>
        <v>1482.5999583052644</v>
      </c>
      <c r="F18" s="7">
        <f>E18*'Alternative 1'!$B$32*'Alternative 1'!$B$33*'Alternative 1'!H19</f>
        <v>1612.3196298238615</v>
      </c>
      <c r="G18" s="7">
        <f t="shared" si="0"/>
        <v>0.36246387316312245</v>
      </c>
      <c r="I18" s="7">
        <f>2.01*(('Alternative 2'!G19/213.36)^(2/11.5))</f>
        <v>1.2739346050089417</v>
      </c>
      <c r="J18" s="7">
        <f>0.613*(I18*'Alternative 2'!$B$34*'Alternative 2'!$B$35*'Alternative 2'!$B$36)</f>
        <v>1482.5999583052644</v>
      </c>
      <c r="K18" s="7">
        <f>J18*'Alternative 2'!$B$32*'Alternative 2'!$B$33*'Alternative 2'!H19</f>
        <v>1612.3196298238615</v>
      </c>
      <c r="L18" s="7">
        <f t="shared" si="1"/>
        <v>0.36246387316312245</v>
      </c>
      <c r="N18" s="7">
        <f>2.01*(('Alternative 3'!G19/213.36)^(2/11.5))</f>
        <v>1.2739346050089417</v>
      </c>
      <c r="O18" s="7">
        <f>0.613*(N18*'Alternative 3'!$B$34*'Alternative 3'!$B$35*'Alternative 3'!$B$36)</f>
        <v>1482.5999583052644</v>
      </c>
      <c r="P18" s="7">
        <f>O18*'Alternative 3'!$B$32*'Alternative 3'!$B$33*'Alternative 3'!H19</f>
        <v>1612.3196298238615</v>
      </c>
      <c r="Q18" s="7">
        <f t="shared" si="2"/>
        <v>0.36246387316312245</v>
      </c>
    </row>
    <row r="19" spans="1:17" x14ac:dyDescent="0.25">
      <c r="A19" s="13">
        <f t="shared" si="3"/>
        <v>17</v>
      </c>
      <c r="B19" s="13" t="e">
        <f>#REF!/4448.2216</f>
        <v>#REF!</v>
      </c>
      <c r="D19" s="7">
        <f>2.01*(('Alternative 1'!G20/213.36)^(2/11.5))</f>
        <v>1.2878618092179877</v>
      </c>
      <c r="E19" s="7">
        <f>0.613*(D19*'Alternative 1'!$B$34*'Alternative 1'!$B$35*'Alternative 1'!$B$36)</f>
        <v>1498.8083824256655</v>
      </c>
      <c r="F19" s="7">
        <f>E19*'Alternative 1'!$B$32*'Alternative 1'!$B$33*'Alternative 1'!H20</f>
        <v>1612.2094736469767</v>
      </c>
      <c r="G19" s="7">
        <f t="shared" si="0"/>
        <v>0.36243910906933607</v>
      </c>
      <c r="I19" s="7">
        <f>2.01*(('Alternative 2'!G20/213.36)^(2/11.5))</f>
        <v>1.2878618092179877</v>
      </c>
      <c r="J19" s="7">
        <f>0.613*(I19*'Alternative 2'!$B$34*'Alternative 2'!$B$35*'Alternative 2'!$B$36)</f>
        <v>1498.8083824256655</v>
      </c>
      <c r="K19" s="7">
        <f>J19*'Alternative 2'!$B$32*'Alternative 2'!$B$33*'Alternative 2'!H20</f>
        <v>1612.2094736469767</v>
      </c>
      <c r="L19" s="7">
        <f t="shared" si="1"/>
        <v>0.36243910906933607</v>
      </c>
      <c r="N19" s="7">
        <f>2.01*(('Alternative 3'!G20/213.36)^(2/11.5))</f>
        <v>1.2878618092179877</v>
      </c>
      <c r="O19" s="7">
        <f>0.613*(N19*'Alternative 3'!$B$34*'Alternative 3'!$B$35*'Alternative 3'!$B$36)</f>
        <v>1498.8083824256655</v>
      </c>
      <c r="P19" s="7">
        <f>O19*'Alternative 3'!$B$32*'Alternative 3'!$B$33*'Alternative 3'!H20</f>
        <v>1612.2094736469767</v>
      </c>
      <c r="Q19" s="7">
        <f t="shared" si="2"/>
        <v>0.36243910906933607</v>
      </c>
    </row>
    <row r="20" spans="1:17" x14ac:dyDescent="0.25">
      <c r="A20" s="13">
        <f t="shared" si="3"/>
        <v>18</v>
      </c>
      <c r="B20" s="13" t="e">
        <f>#REF!/4448.2216</f>
        <v>#REF!</v>
      </c>
      <c r="D20" s="7">
        <f>2.01*(('Alternative 1'!G21/213.36)^(2/11.5))</f>
        <v>1.301108328182643</v>
      </c>
      <c r="E20" s="7">
        <f>0.613*(D20*'Alternative 1'!$B$34*'Alternative 1'!$B$35*'Alternative 1'!$B$36)</f>
        <v>1514.2246278023658</v>
      </c>
      <c r="F20" s="7">
        <f>E20*'Alternative 1'!$B$32*'Alternative 1'!$B$33*'Alternative 1'!H21</f>
        <v>1610.8729589975171</v>
      </c>
      <c r="G20" s="7">
        <f t="shared" si="0"/>
        <v>0.36213864862252304</v>
      </c>
      <c r="I20" s="7">
        <f>2.01*(('Alternative 2'!G21/213.36)^(2/11.5))</f>
        <v>1.301108328182643</v>
      </c>
      <c r="J20" s="7">
        <f>0.613*(I20*'Alternative 2'!$B$34*'Alternative 2'!$B$35*'Alternative 2'!$B$36)</f>
        <v>1514.2246278023658</v>
      </c>
      <c r="K20" s="7">
        <f>J20*'Alternative 2'!$B$32*'Alternative 2'!$B$33*'Alternative 2'!H21</f>
        <v>1610.8729589975171</v>
      </c>
      <c r="L20" s="7">
        <f t="shared" si="1"/>
        <v>0.36213864862252304</v>
      </c>
      <c r="N20" s="7">
        <f>2.01*(('Alternative 3'!G21/213.36)^(2/11.5))</f>
        <v>1.301108328182643</v>
      </c>
      <c r="O20" s="7">
        <f>0.613*(N20*'Alternative 3'!$B$34*'Alternative 3'!$B$35*'Alternative 3'!$B$36)</f>
        <v>1514.2246278023658</v>
      </c>
      <c r="P20" s="7">
        <f>O20*'Alternative 3'!$B$32*'Alternative 3'!$B$33*'Alternative 3'!H21</f>
        <v>1610.8729589975171</v>
      </c>
      <c r="Q20" s="7">
        <f t="shared" si="2"/>
        <v>0.36213864862252304</v>
      </c>
    </row>
    <row r="21" spans="1:17" x14ac:dyDescent="0.25">
      <c r="A21" s="13">
        <f t="shared" si="3"/>
        <v>19</v>
      </c>
      <c r="B21" s="13" t="e">
        <f>#REF!/4448.2216</f>
        <v>#REF!</v>
      </c>
      <c r="D21" s="7">
        <f>2.01*(('Alternative 1'!G22/213.36)^(2/11.5))</f>
        <v>1.3137436153428621</v>
      </c>
      <c r="E21" s="7">
        <f>0.613*(D21*'Alternative 1'!$B$34*'Alternative 1'!$B$35*'Alternative 1'!$B$36)</f>
        <v>1528.9295240688305</v>
      </c>
      <c r="F21" s="7">
        <f>E21*'Alternative 1'!$B$32*'Alternative 1'!$B$33*'Alternative 1'!H22</f>
        <v>1608.4232417542703</v>
      </c>
      <c r="G21" s="7">
        <f t="shared" si="0"/>
        <v>0.36158793027628622</v>
      </c>
      <c r="I21" s="7">
        <f>2.01*(('Alternative 2'!G22/213.36)^(2/11.5))</f>
        <v>1.3137436153428621</v>
      </c>
      <c r="J21" s="7">
        <f>0.613*(I21*'Alternative 2'!$B$34*'Alternative 2'!$B$35*'Alternative 2'!$B$36)</f>
        <v>1528.9295240688305</v>
      </c>
      <c r="K21" s="7">
        <f>J21*'Alternative 2'!$B$32*'Alternative 2'!$B$33*'Alternative 2'!H22</f>
        <v>1608.4232417542703</v>
      </c>
      <c r="L21" s="7">
        <f t="shared" si="1"/>
        <v>0.36158793027628622</v>
      </c>
      <c r="N21" s="7">
        <f>2.01*(('Alternative 3'!G22/213.36)^(2/11.5))</f>
        <v>1.3137436153428621</v>
      </c>
      <c r="O21" s="7">
        <f>0.613*(N21*'Alternative 3'!$B$34*'Alternative 3'!$B$35*'Alternative 3'!$B$36)</f>
        <v>1528.9295240688305</v>
      </c>
      <c r="P21" s="7">
        <f>O21*'Alternative 3'!$B$32*'Alternative 3'!$B$33*'Alternative 3'!H22</f>
        <v>1608.4232417542703</v>
      </c>
      <c r="Q21" s="7">
        <f t="shared" si="2"/>
        <v>0.36158793027628622</v>
      </c>
    </row>
    <row r="22" spans="1:17" x14ac:dyDescent="0.25">
      <c r="A22" s="13">
        <f t="shared" si="3"/>
        <v>20</v>
      </c>
      <c r="B22" s="13" t="e">
        <f>#REF!/4448.2216</f>
        <v>#REF!</v>
      </c>
      <c r="D22" s="7">
        <f>2.01*(('Alternative 1'!G23/213.36)^(2/11.5))</f>
        <v>1.3258267342447705</v>
      </c>
      <c r="E22" s="7">
        <f>0.613*(D22*'Alternative 1'!$B$34*'Alternative 1'!$B$35*'Alternative 1'!$B$36)</f>
        <v>1542.9918091419649</v>
      </c>
      <c r="F22" s="7">
        <f>E22*'Alternative 1'!$B$32*'Alternative 1'!$B$33*'Alternative 1'!H23</f>
        <v>1604.9570743705985</v>
      </c>
      <c r="G22" s="7">
        <f t="shared" si="0"/>
        <v>0.36080870484748301</v>
      </c>
      <c r="I22" s="7">
        <f>2.01*(('Alternative 2'!G23/213.36)^(2/11.5))</f>
        <v>1.3258267342447705</v>
      </c>
      <c r="J22" s="7">
        <f>0.613*(I22*'Alternative 2'!$B$34*'Alternative 2'!$B$35*'Alternative 2'!$B$36)</f>
        <v>1542.9918091419649</v>
      </c>
      <c r="K22" s="7">
        <f>J22*'Alternative 2'!$B$32*'Alternative 2'!$B$33*'Alternative 2'!H23</f>
        <v>1604.9570743705985</v>
      </c>
      <c r="L22" s="7">
        <f t="shared" si="1"/>
        <v>0.36080870484748301</v>
      </c>
      <c r="N22" s="7">
        <f>2.01*(('Alternative 3'!G23/213.36)^(2/11.5))</f>
        <v>1.3258267342447705</v>
      </c>
      <c r="O22" s="7">
        <f>0.613*(N22*'Alternative 3'!$B$34*'Alternative 3'!$B$35*'Alternative 3'!$B$36)</f>
        <v>1542.9918091419649</v>
      </c>
      <c r="P22" s="7">
        <f>O22*'Alternative 3'!$B$32*'Alternative 3'!$B$33*'Alternative 3'!H23</f>
        <v>1604.9570743705985</v>
      </c>
      <c r="Q22" s="7">
        <f t="shared" si="2"/>
        <v>0.36080870484748301</v>
      </c>
    </row>
    <row r="23" spans="1:17" x14ac:dyDescent="0.25">
      <c r="A23" s="13">
        <f t="shared" si="3"/>
        <v>21</v>
      </c>
      <c r="B23" s="13" t="e">
        <f>#REF!/4448.2216</f>
        <v>#REF!</v>
      </c>
      <c r="D23" s="7">
        <f>2.01*(('Alternative 1'!G24/213.36)^(2/11.5))</f>
        <v>1.3374083574995945</v>
      </c>
      <c r="E23" s="7">
        <f>0.613*(D23*'Alternative 1'!$B$34*'Alternative 1'!$B$35*'Alternative 1'!$B$36)</f>
        <v>1556.4704556024628</v>
      </c>
      <c r="F23" s="7">
        <f>E23*'Alternative 1'!$B$32*'Alternative 1'!$B$33*'Alternative 1'!H24</f>
        <v>1600.5579136103067</v>
      </c>
      <c r="G23" s="7">
        <f t="shared" si="0"/>
        <v>0.35981973416304325</v>
      </c>
      <c r="I23" s="7">
        <f>2.01*(('Alternative 2'!G24/213.36)^(2/11.5))</f>
        <v>1.3374083574995945</v>
      </c>
      <c r="J23" s="7">
        <f>0.613*(I23*'Alternative 2'!$B$34*'Alternative 2'!$B$35*'Alternative 2'!$B$36)</f>
        <v>1556.4704556024628</v>
      </c>
      <c r="K23" s="7">
        <f>J23*'Alternative 2'!$B$32*'Alternative 2'!$B$33*'Alternative 2'!H24</f>
        <v>1600.5579136103067</v>
      </c>
      <c r="L23" s="7">
        <f t="shared" si="1"/>
        <v>0.35981973416304325</v>
      </c>
      <c r="N23" s="7">
        <f>2.01*(('Alternative 3'!G24/213.36)^(2/11.5))</f>
        <v>1.3374083574995945</v>
      </c>
      <c r="O23" s="7">
        <f>0.613*(N23*'Alternative 3'!$B$34*'Alternative 3'!$B$35*'Alternative 3'!$B$36)</f>
        <v>1556.4704556024628</v>
      </c>
      <c r="P23" s="7">
        <f>O23*'Alternative 3'!$B$32*'Alternative 3'!$B$33*'Alternative 3'!H24</f>
        <v>1600.5579136103067</v>
      </c>
      <c r="Q23" s="7">
        <f t="shared" si="2"/>
        <v>0.35981973416304325</v>
      </c>
    </row>
    <row r="24" spans="1:17" x14ac:dyDescent="0.25">
      <c r="A24" s="13">
        <f t="shared" si="3"/>
        <v>22</v>
      </c>
      <c r="B24" s="13" t="e">
        <f>#REF!/4448.2216</f>
        <v>#REF!</v>
      </c>
      <c r="D24" s="7">
        <f>2.01*(('Alternative 1'!G25/213.36)^(2/11.5))</f>
        <v>1.3485323037587196</v>
      </c>
      <c r="E24" s="7">
        <f>0.613*(D24*'Alternative 1'!$B$34*'Alternative 1'!$B$35*'Alternative 1'!$B$36)</f>
        <v>1569.4164594201807</v>
      </c>
      <c r="F24" s="7">
        <f>E24*'Alternative 1'!$B$32*'Alternative 1'!$B$33*'Alternative 1'!H25</f>
        <v>1595.2983165811017</v>
      </c>
      <c r="G24" s="7">
        <f t="shared" si="0"/>
        <v>0.35863732970972079</v>
      </c>
      <c r="I24" s="7">
        <f>2.01*(('Alternative 2'!G25/213.36)^(2/11.5))</f>
        <v>1.3485323037587196</v>
      </c>
      <c r="J24" s="7">
        <f>0.613*(I24*'Alternative 2'!$B$34*'Alternative 2'!$B$35*'Alternative 2'!$B$36)</f>
        <v>1569.4164594201807</v>
      </c>
      <c r="K24" s="7">
        <f>J24*'Alternative 2'!$B$32*'Alternative 2'!$B$33*'Alternative 2'!H25</f>
        <v>1595.2983165811017</v>
      </c>
      <c r="L24" s="7">
        <f t="shared" si="1"/>
        <v>0.35863732970972079</v>
      </c>
      <c r="N24" s="7">
        <f>2.01*(('Alternative 3'!G25/213.36)^(2/11.5))</f>
        <v>1.3485323037587196</v>
      </c>
      <c r="O24" s="7">
        <f>0.613*(N24*'Alternative 3'!$B$34*'Alternative 3'!$B$35*'Alternative 3'!$B$36)</f>
        <v>1569.4164594201807</v>
      </c>
      <c r="P24" s="7">
        <f>O24*'Alternative 3'!$B$32*'Alternative 3'!$B$33*'Alternative 3'!H25</f>
        <v>1595.2983165811017</v>
      </c>
      <c r="Q24" s="7">
        <f t="shared" si="2"/>
        <v>0.35863732970972079</v>
      </c>
    </row>
    <row r="25" spans="1:17" x14ac:dyDescent="0.25">
      <c r="A25" s="13">
        <f t="shared" si="3"/>
        <v>23</v>
      </c>
      <c r="B25" s="13" t="e">
        <f>#REF!/4448.2216</f>
        <v>#REF!</v>
      </c>
      <c r="D25" s="7">
        <f>2.01*(('Alternative 1'!G26/213.36)^(2/11.5))</f>
        <v>1.3592367357331496</v>
      </c>
      <c r="E25" s="7">
        <f>0.613*(D25*'Alternative 1'!$B$34*'Alternative 1'!$B$35*'Alternative 1'!$B$36)</f>
        <v>1581.8742342043583</v>
      </c>
      <c r="F25" s="7">
        <f>E25*'Alternative 1'!$B$32*'Alternative 1'!$B$33*'Alternative 1'!H26</f>
        <v>1589.2418134501647</v>
      </c>
      <c r="G25" s="7">
        <f t="shared" si="0"/>
        <v>0.35727577363730367</v>
      </c>
      <c r="I25" s="7">
        <f>2.01*(('Alternative 2'!G26/213.36)^(2/11.5))</f>
        <v>1.3592367357331496</v>
      </c>
      <c r="J25" s="7">
        <f>0.613*(I25*'Alternative 2'!$B$34*'Alternative 2'!$B$35*'Alternative 2'!$B$36)</f>
        <v>1581.8742342043583</v>
      </c>
      <c r="K25" s="7">
        <f>J25*'Alternative 2'!$B$32*'Alternative 2'!$B$33*'Alternative 2'!H26</f>
        <v>1589.2418134501647</v>
      </c>
      <c r="L25" s="7">
        <f t="shared" si="1"/>
        <v>0.35727577363730367</v>
      </c>
      <c r="N25" s="7">
        <f>2.01*(('Alternative 3'!G26/213.36)^(2/11.5))</f>
        <v>1.3592367357331496</v>
      </c>
      <c r="O25" s="7">
        <f>0.613*(N25*'Alternative 3'!$B$34*'Alternative 3'!$B$35*'Alternative 3'!$B$36)</f>
        <v>1581.8742342043583</v>
      </c>
      <c r="P25" s="7">
        <f>O25*'Alternative 3'!$B$32*'Alternative 3'!$B$33*'Alternative 3'!H26</f>
        <v>1589.2418134501647</v>
      </c>
      <c r="Q25" s="7">
        <f t="shared" si="2"/>
        <v>0.35727577363730367</v>
      </c>
    </row>
    <row r="26" spans="1:17" x14ac:dyDescent="0.25">
      <c r="A26" s="13">
        <f t="shared" si="3"/>
        <v>24</v>
      </c>
      <c r="B26" s="13" t="e">
        <f>#REF!/4448.2216</f>
        <v>#REF!</v>
      </c>
      <c r="D26" s="7">
        <f>2.01*(('Alternative 1'!G27/213.36)^(2/11.5))</f>
        <v>1.3695551055702833</v>
      </c>
      <c r="E26" s="7">
        <f>0.613*(D26*'Alternative 1'!$B$34*'Alternative 1'!$B$35*'Alternative 1'!$B$36)</f>
        <v>1593.8827114292981</v>
      </c>
      <c r="F26" s="7">
        <f>E26*'Alternative 1'!$B$32*'Alternative 1'!$B$33*'Alternative 1'!H27</f>
        <v>1582.4443892488046</v>
      </c>
      <c r="G26" s="7">
        <f t="shared" si="0"/>
        <v>0.355747651881553</v>
      </c>
      <c r="I26" s="7">
        <f>2.01*(('Alternative 2'!G27/213.36)^(2/11.5))</f>
        <v>1.3695551055702833</v>
      </c>
      <c r="J26" s="7">
        <f>0.613*(I26*'Alternative 2'!$B$34*'Alternative 2'!$B$35*'Alternative 2'!$B$36)</f>
        <v>1593.8827114292981</v>
      </c>
      <c r="K26" s="7">
        <f>J26*'Alternative 2'!$B$32*'Alternative 2'!$B$33*'Alternative 2'!H27</f>
        <v>1582.4443892488046</v>
      </c>
      <c r="L26" s="7">
        <f t="shared" si="1"/>
        <v>0.355747651881553</v>
      </c>
      <c r="N26" s="7">
        <f>2.01*(('Alternative 3'!G27/213.36)^(2/11.5))</f>
        <v>1.3695551055702833</v>
      </c>
      <c r="O26" s="7">
        <f>0.613*(N26*'Alternative 3'!$B$34*'Alternative 3'!$B$35*'Alternative 3'!$B$36)</f>
        <v>1593.8827114292981</v>
      </c>
      <c r="P26" s="7">
        <f>O26*'Alternative 3'!$B$32*'Alternative 3'!$B$33*'Alternative 3'!H27</f>
        <v>1582.4443892488046</v>
      </c>
      <c r="Q26" s="7">
        <f t="shared" si="2"/>
        <v>0.355747651881553</v>
      </c>
    </row>
    <row r="27" spans="1:17" x14ac:dyDescent="0.25">
      <c r="A27" s="13">
        <f t="shared" si="3"/>
        <v>25</v>
      </c>
      <c r="B27" s="13" t="e">
        <f>#REF!/4448.2216</f>
        <v>#REF!</v>
      </c>
      <c r="D27" s="7">
        <f>2.01*(('Alternative 1'!G28/213.36)^(2/11.5))</f>
        <v>1.3795169092235569</v>
      </c>
      <c r="E27" s="7">
        <f>0.613*(D27*'Alternative 1'!$B$34*'Alternative 1'!$B$35*'Alternative 1'!$B$36)</f>
        <v>1605.4762183667165</v>
      </c>
      <c r="F27" s="7">
        <f>E27*'Alternative 1'!$B$32*'Alternative 1'!$B$33*'Alternative 1'!H28</f>
        <v>1574.9556694899488</v>
      </c>
      <c r="G27" s="7">
        <f t="shared" si="0"/>
        <v>0.35406412070161902</v>
      </c>
      <c r="I27" s="7">
        <f>2.01*(('Alternative 2'!G28/213.36)^(2/11.5))</f>
        <v>1.3795169092235569</v>
      </c>
      <c r="J27" s="7">
        <f>0.613*(I27*'Alternative 2'!$B$34*'Alternative 2'!$B$35*'Alternative 2'!$B$36)</f>
        <v>1605.4762183667165</v>
      </c>
      <c r="K27" s="7">
        <f>J27*'Alternative 2'!$B$32*'Alternative 2'!$B$33*'Alternative 2'!H28</f>
        <v>1574.9556694899488</v>
      </c>
      <c r="L27" s="7">
        <f t="shared" si="1"/>
        <v>0.35406412070161902</v>
      </c>
      <c r="N27" s="7">
        <f>2.01*(('Alternative 3'!G28/213.36)^(2/11.5))</f>
        <v>1.3795169092235569</v>
      </c>
      <c r="O27" s="7">
        <f>0.613*(N27*'Alternative 3'!$B$34*'Alternative 3'!$B$35*'Alternative 3'!$B$36)</f>
        <v>1605.4762183667165</v>
      </c>
      <c r="P27" s="7">
        <f>O27*'Alternative 3'!$B$32*'Alternative 3'!$B$33*'Alternative 3'!H28</f>
        <v>1574.9556694899488</v>
      </c>
      <c r="Q27" s="7">
        <f t="shared" si="2"/>
        <v>0.35406412070161902</v>
      </c>
    </row>
    <row r="28" spans="1:17" x14ac:dyDescent="0.25">
      <c r="A28" s="13">
        <f t="shared" si="3"/>
        <v>26</v>
      </c>
      <c r="B28" s="13" t="e">
        <f>#REF!/4448.2216</f>
        <v>#REF!</v>
      </c>
      <c r="D28" s="7">
        <f>2.01*(('Alternative 1'!G29/213.36)^(2/11.5))</f>
        <v>1.3891482945381712</v>
      </c>
      <c r="E28" s="7">
        <f>0.613*(D28*'Alternative 1'!$B$34*'Alternative 1'!$B$35*'Alternative 1'!$B$36)</f>
        <v>1616.6851857734612</v>
      </c>
      <c r="F28" s="7">
        <f>E28*'Alternative 1'!$B$32*'Alternative 1'!$B$33*'Alternative 1'!H29</f>
        <v>1566.8198784559336</v>
      </c>
      <c r="G28" s="7">
        <f t="shared" si="0"/>
        <v>0.35223512211170721</v>
      </c>
      <c r="I28" s="7">
        <f>2.01*(('Alternative 2'!G29/213.36)^(2/11.5))</f>
        <v>1.3891482945381712</v>
      </c>
      <c r="J28" s="7">
        <f>0.613*(I28*'Alternative 2'!$B$34*'Alternative 2'!$B$35*'Alternative 2'!$B$36)</f>
        <v>1616.6851857734612</v>
      </c>
      <c r="K28" s="7">
        <f>J28*'Alternative 2'!$B$32*'Alternative 2'!$B$33*'Alternative 2'!H29</f>
        <v>1566.8198784559336</v>
      </c>
      <c r="L28" s="7">
        <f t="shared" si="1"/>
        <v>0.35223512211170721</v>
      </c>
      <c r="N28" s="7">
        <f>2.01*(('Alternative 3'!G29/213.36)^(2/11.5))</f>
        <v>1.3891482945381712</v>
      </c>
      <c r="O28" s="7">
        <f>0.613*(N28*'Alternative 3'!$B$34*'Alternative 3'!$B$35*'Alternative 3'!$B$36)</f>
        <v>1616.6851857734612</v>
      </c>
      <c r="P28" s="7">
        <f>O28*'Alternative 3'!$B$32*'Alternative 3'!$B$33*'Alternative 3'!H29</f>
        <v>1566.8198784559336</v>
      </c>
      <c r="Q28" s="7">
        <f t="shared" si="2"/>
        <v>0.35223512211170721</v>
      </c>
    </row>
    <row r="29" spans="1:17" x14ac:dyDescent="0.25">
      <c r="A29" s="13">
        <f t="shared" si="3"/>
        <v>27</v>
      </c>
      <c r="B29" s="13" t="e">
        <f>#REF!/4448.2216</f>
        <v>#REF!</v>
      </c>
      <c r="D29" s="7">
        <f>2.01*(('Alternative 1'!G30/213.36)^(2/11.5))</f>
        <v>1.3984725559793649</v>
      </c>
      <c r="E29" s="7">
        <f>0.613*(D29*'Alternative 1'!$B$34*'Alternative 1'!$B$35*'Alternative 1'!$B$36)</f>
        <v>1627.5367236542806</v>
      </c>
      <c r="F29" s="7">
        <f>E29*'Alternative 1'!$B$32*'Alternative 1'!$B$33*'Alternative 1'!H30</f>
        <v>1558.0766209434562</v>
      </c>
      <c r="G29" s="7">
        <f t="shared" si="0"/>
        <v>0.35026955962433531</v>
      </c>
      <c r="I29" s="7">
        <f>2.01*(('Alternative 2'!G30/213.36)^(2/11.5))</f>
        <v>1.3984725559793649</v>
      </c>
      <c r="J29" s="7">
        <f>0.613*(I29*'Alternative 2'!$B$34*'Alternative 2'!$B$35*'Alternative 2'!$B$36)</f>
        <v>1627.5367236542806</v>
      </c>
      <c r="K29" s="7">
        <f>J29*'Alternative 2'!$B$32*'Alternative 2'!$B$33*'Alternative 2'!H30</f>
        <v>1558.0766209434562</v>
      </c>
      <c r="L29" s="7">
        <f t="shared" si="1"/>
        <v>0.35026955962433531</v>
      </c>
      <c r="N29" s="7">
        <f>2.01*(('Alternative 3'!G30/213.36)^(2/11.5))</f>
        <v>1.3984725559793649</v>
      </c>
      <c r="O29" s="7">
        <f>0.613*(N29*'Alternative 3'!$B$34*'Alternative 3'!$B$35*'Alternative 3'!$B$36)</f>
        <v>1627.5367236542806</v>
      </c>
      <c r="P29" s="7">
        <f>O29*'Alternative 3'!$B$32*'Alternative 3'!$B$33*'Alternative 3'!H30</f>
        <v>1558.0766209434562</v>
      </c>
      <c r="Q29" s="7">
        <f t="shared" si="2"/>
        <v>0.35026955962433531</v>
      </c>
    </row>
    <row r="30" spans="1:17" x14ac:dyDescent="0.25">
      <c r="A30" s="13">
        <f t="shared" si="3"/>
        <v>28</v>
      </c>
      <c r="B30" s="13" t="e">
        <f>#REF!/4448.2216</f>
        <v>#REF!</v>
      </c>
      <c r="D30" s="7">
        <f>2.01*(('Alternative 1'!G31/213.36)^(2/11.5))</f>
        <v>1.4075105405682082</v>
      </c>
      <c r="E30" s="7">
        <f>0.613*(D30*'Alternative 1'!$B$34*'Alternative 1'!$B$35*'Alternative 1'!$B$36)</f>
        <v>1638.0550936882655</v>
      </c>
      <c r="F30" s="7">
        <f>E30*'Alternative 1'!$B$32*'Alternative 1'!$B$33*'Alternative 1'!H31</f>
        <v>1548.7615254241912</v>
      </c>
      <c r="G30" s="7">
        <f t="shared" si="0"/>
        <v>0.3481754428385922</v>
      </c>
      <c r="I30" s="7">
        <f>2.01*(('Alternative 2'!G31/213.36)^(2/11.5))</f>
        <v>1.4075105405682082</v>
      </c>
      <c r="J30" s="7">
        <f>0.613*(I30*'Alternative 2'!$B$34*'Alternative 2'!$B$35*'Alternative 2'!$B$36)</f>
        <v>1638.0550936882655</v>
      </c>
      <c r="K30" s="7">
        <f>J30*'Alternative 2'!$B$32*'Alternative 2'!$B$33*'Alternative 2'!H31</f>
        <v>1548.7615254241912</v>
      </c>
      <c r="L30" s="7">
        <f t="shared" si="1"/>
        <v>0.3481754428385922</v>
      </c>
      <c r="N30" s="7">
        <f>2.01*(('Alternative 3'!G31/213.36)^(2/11.5))</f>
        <v>1.4075105405682082</v>
      </c>
      <c r="O30" s="7">
        <f>0.613*(N30*'Alternative 3'!$B$34*'Alternative 3'!$B$35*'Alternative 3'!$B$36)</f>
        <v>1638.0550936882655</v>
      </c>
      <c r="P30" s="7">
        <f>O30*'Alternative 3'!$B$32*'Alternative 3'!$B$33*'Alternative 3'!H31</f>
        <v>1548.7615254241912</v>
      </c>
      <c r="Q30" s="7">
        <f t="shared" si="2"/>
        <v>0.3481754428385922</v>
      </c>
    </row>
    <row r="31" spans="1:17" x14ac:dyDescent="0.25">
      <c r="A31" s="13">
        <f t="shared" si="3"/>
        <v>29</v>
      </c>
      <c r="B31" s="13" t="e">
        <f>#REF!/4448.2216</f>
        <v>#REF!</v>
      </c>
      <c r="D31" s="7">
        <f>2.01*(('Alternative 1'!G32/213.36)^(2/11.5))</f>
        <v>1.4162809835757659</v>
      </c>
      <c r="E31" s="7">
        <f>0.613*(D31*'Alternative 1'!$B$34*'Alternative 1'!$B$35*'Alternative 1'!$B$36)</f>
        <v>1648.2620999083631</v>
      </c>
      <c r="F31" s="7">
        <f>E31*'Alternative 1'!$B$32*'Alternative 1'!$B$33*'Alternative 1'!H32</f>
        <v>1538.9067773381928</v>
      </c>
      <c r="G31" s="7">
        <f t="shared" si="0"/>
        <v>0.34596000732926452</v>
      </c>
      <c r="I31" s="7">
        <f>2.01*(('Alternative 2'!G32/213.36)^(2/11.5))</f>
        <v>1.4162809835757659</v>
      </c>
      <c r="J31" s="7">
        <f>0.613*(I31*'Alternative 2'!$B$34*'Alternative 2'!$B$35*'Alternative 2'!$B$36)</f>
        <v>1648.2620999083631</v>
      </c>
      <c r="K31" s="7">
        <f>J31*'Alternative 2'!$B$32*'Alternative 2'!$B$33*'Alternative 2'!H32</f>
        <v>1538.9067773381928</v>
      </c>
      <c r="L31" s="7">
        <f t="shared" si="1"/>
        <v>0.34596000732926452</v>
      </c>
      <c r="N31" s="7">
        <f>2.01*(('Alternative 3'!G32/213.36)^(2/11.5))</f>
        <v>1.4162809835757659</v>
      </c>
      <c r="O31" s="7">
        <f>0.613*(N31*'Alternative 3'!$B$34*'Alternative 3'!$B$35*'Alternative 3'!$B$36)</f>
        <v>1648.2620999083631</v>
      </c>
      <c r="P31" s="7">
        <f>O31*'Alternative 3'!$B$32*'Alternative 3'!$B$33*'Alternative 3'!H32</f>
        <v>1538.9067773381928</v>
      </c>
      <c r="Q31" s="7">
        <f t="shared" si="2"/>
        <v>0.34596000732926452</v>
      </c>
    </row>
    <row r="32" spans="1:17" x14ac:dyDescent="0.25">
      <c r="A32" s="13">
        <f t="shared" si="3"/>
        <v>30</v>
      </c>
      <c r="B32" s="13" t="e">
        <f>#REF!/4448.2216</f>
        <v>#REF!</v>
      </c>
      <c r="D32" s="7">
        <f>2.01*(('Alternative 1'!G33/213.36)^(2/11.5))</f>
        <v>1.4248007881422429</v>
      </c>
      <c r="E32" s="7">
        <f>0.613*(D32*'Alternative 1'!$B$34*'Alternative 1'!$B$35*'Alternative 1'!$B$36)</f>
        <v>1658.1774141210101</v>
      </c>
      <c r="F32" s="7">
        <f>E32*'Alternative 1'!$B$32*'Alternative 1'!$B$33*'Alternative 1'!H33</f>
        <v>1528.5415644898667</v>
      </c>
      <c r="G32" s="7">
        <f t="shared" si="0"/>
        <v>0.34362981477583465</v>
      </c>
      <c r="I32" s="7">
        <f>2.01*(('Alternative 2'!G33/213.36)^(2/11.5))</f>
        <v>1.4248007881422429</v>
      </c>
      <c r="J32" s="7">
        <f>0.613*(I32*'Alternative 2'!$B$34*'Alternative 2'!$B$35*'Alternative 2'!$B$36)</f>
        <v>1658.1774141210101</v>
      </c>
      <c r="K32" s="7">
        <f>J32*'Alternative 2'!$B$32*'Alternative 2'!$B$33*'Alternative 2'!H33</f>
        <v>1528.5415644898667</v>
      </c>
      <c r="L32" s="7">
        <f t="shared" si="1"/>
        <v>0.34362981477583465</v>
      </c>
      <c r="N32" s="7">
        <f>2.01*(('Alternative 3'!G33/213.36)^(2/11.5))</f>
        <v>1.4248007881422429</v>
      </c>
      <c r="O32" s="7">
        <f>0.613*(N32*'Alternative 3'!$B$34*'Alternative 3'!$B$35*'Alternative 3'!$B$36)</f>
        <v>1658.1774141210101</v>
      </c>
      <c r="P32" s="7">
        <f>O32*'Alternative 3'!$B$32*'Alternative 3'!$B$33*'Alternative 3'!H33</f>
        <v>1528.5415644898667</v>
      </c>
      <c r="Q32" s="7">
        <f t="shared" si="2"/>
        <v>0.34362981477583465</v>
      </c>
    </row>
    <row r="33" spans="1:17" x14ac:dyDescent="0.25">
      <c r="A33" s="13">
        <f t="shared" si="3"/>
        <v>31</v>
      </c>
      <c r="B33" s="13" t="e">
        <f>#REF!/4448.2216</f>
        <v>#REF!</v>
      </c>
      <c r="D33" s="7">
        <f>2.01*(('Alternative 1'!G34/213.36)^(2/11.5))</f>
        <v>1.4330852597517674</v>
      </c>
      <c r="E33" s="7">
        <f>0.613*(D33*'Alternative 1'!$B$34*'Alternative 1'!$B$35*'Alternative 1'!$B$36)</f>
        <v>1667.8188487869406</v>
      </c>
      <c r="F33" s="7">
        <f>E33*'Alternative 1'!$B$32*'Alternative 1'!$B$33*'Alternative 1'!H34</f>
        <v>1517.6924515284518</v>
      </c>
      <c r="G33" s="7">
        <f t="shared" si="0"/>
        <v>0.34119083714904219</v>
      </c>
      <c r="I33" s="7">
        <f>2.01*(('Alternative 2'!G34/213.36)^(2/11.5))</f>
        <v>1.4330852597517674</v>
      </c>
      <c r="J33" s="7">
        <f>0.613*(I33*'Alternative 2'!$B$34*'Alternative 2'!$B$35*'Alternative 2'!$B$36)</f>
        <v>1667.8188487869406</v>
      </c>
      <c r="K33" s="7">
        <f>J33*'Alternative 2'!$B$32*'Alternative 2'!$B$33*'Alternative 2'!H34</f>
        <v>1517.6924515284518</v>
      </c>
      <c r="L33" s="7">
        <f t="shared" si="1"/>
        <v>0.34119083714904219</v>
      </c>
      <c r="N33" s="7">
        <f>2.01*(('Alternative 3'!G34/213.36)^(2/11.5))</f>
        <v>1.4330852597517674</v>
      </c>
      <c r="O33" s="7">
        <f>0.613*(N33*'Alternative 3'!$B$34*'Alternative 3'!$B$35*'Alternative 3'!$B$36)</f>
        <v>1667.8188487869406</v>
      </c>
      <c r="P33" s="7">
        <f>O33*'Alternative 3'!$B$32*'Alternative 3'!$B$33*'Alternative 3'!H34</f>
        <v>1517.6924515284518</v>
      </c>
      <c r="Q33" s="7">
        <f t="shared" si="2"/>
        <v>0.34119083714904219</v>
      </c>
    </row>
    <row r="34" spans="1:17" x14ac:dyDescent="0.25">
      <c r="A34" s="13">
        <f t="shared" si="3"/>
        <v>32</v>
      </c>
      <c r="B34" s="13" t="e">
        <f>#REF!/4448.2216</f>
        <v>#REF!</v>
      </c>
      <c r="D34" s="7">
        <f>2.01*(('Alternative 1'!G35/213.36)^(2/11.5))</f>
        <v>1.4411483040776412</v>
      </c>
      <c r="E34" s="7">
        <f>0.613*(D34*'Alternative 1'!$B$34*'Alternative 1'!$B$35*'Alternative 1'!$B$36)</f>
        <v>1677.2025872726929</v>
      </c>
      <c r="F34" s="7">
        <f>E34*'Alternative 1'!$B$32*'Alternative 1'!$B$33*'Alternative 1'!H35</f>
        <v>1506.3836967654372</v>
      </c>
      <c r="G34" s="7">
        <f t="shared" si="0"/>
        <v>0.33864852793427314</v>
      </c>
      <c r="I34" s="7">
        <f>2.01*(('Alternative 2'!G35/213.36)^(2/11.5))</f>
        <v>1.4411483040776412</v>
      </c>
      <c r="J34" s="7">
        <f>0.613*(I34*'Alternative 2'!$B$34*'Alternative 2'!$B$35*'Alternative 2'!$B$36)</f>
        <v>1677.2025872726929</v>
      </c>
      <c r="K34" s="7">
        <f>J34*'Alternative 2'!$B$32*'Alternative 2'!$B$33*'Alternative 2'!H35</f>
        <v>1506.3836967654372</v>
      </c>
      <c r="L34" s="7">
        <f t="shared" si="1"/>
        <v>0.33864852793427314</v>
      </c>
      <c r="N34" s="7">
        <f>2.01*(('Alternative 3'!G35/213.36)^(2/11.5))</f>
        <v>1.4411483040776412</v>
      </c>
      <c r="O34" s="7">
        <f>0.613*(N34*'Alternative 3'!$B$34*'Alternative 3'!$B$35*'Alternative 3'!$B$36)</f>
        <v>1677.2025872726929</v>
      </c>
      <c r="P34" s="7">
        <f>O34*'Alternative 3'!$B$32*'Alternative 3'!$B$33*'Alternative 3'!H35</f>
        <v>1506.3836967654372</v>
      </c>
      <c r="Q34" s="7">
        <f t="shared" si="2"/>
        <v>0.33864852793427314</v>
      </c>
    </row>
    <row r="35" spans="1:17" x14ac:dyDescent="0.25">
      <c r="A35" s="13">
        <f t="shared" si="3"/>
        <v>33</v>
      </c>
      <c r="B35" s="13" t="e">
        <f>#REF!/4448.2216</f>
        <v>#REF!</v>
      </c>
      <c r="D35" s="7">
        <f>2.01*(('Alternative 1'!G36/213.36)^(2/11.5))</f>
        <v>1.4490025948900345</v>
      </c>
      <c r="E35" s="7">
        <f>0.613*(D35*'Alternative 1'!$B$34*'Alternative 1'!$B$35*'Alternative 1'!$B$36)</f>
        <v>1686.3433792609053</v>
      </c>
      <c r="F35" s="7">
        <f>E35*'Alternative 1'!$B$32*'Alternative 1'!$B$33*'Alternative 1'!H36</f>
        <v>1494.6375217629432</v>
      </c>
      <c r="G35" s="7">
        <f t="shared" si="0"/>
        <v>0.33600788273743898</v>
      </c>
      <c r="I35" s="7">
        <f>2.01*(('Alternative 2'!G36/213.36)^(2/11.5))</f>
        <v>1.4490025948900345</v>
      </c>
      <c r="J35" s="7">
        <f>0.613*(I35*'Alternative 2'!$B$34*'Alternative 2'!$B$35*'Alternative 2'!$B$36)</f>
        <v>1686.3433792609053</v>
      </c>
      <c r="K35" s="7">
        <f>J35*'Alternative 2'!$B$32*'Alternative 2'!$B$33*'Alternative 2'!H36</f>
        <v>1494.6375217629432</v>
      </c>
      <c r="L35" s="7">
        <f t="shared" si="1"/>
        <v>0.33600788273743898</v>
      </c>
      <c r="N35" s="7">
        <f>2.01*(('Alternative 3'!G36/213.36)^(2/11.5))</f>
        <v>1.4490025948900345</v>
      </c>
      <c r="O35" s="7">
        <f>0.613*(N35*'Alternative 3'!$B$34*'Alternative 3'!$B$35*'Alternative 3'!$B$36)</f>
        <v>1686.3433792609053</v>
      </c>
      <c r="P35" s="7">
        <f>O35*'Alternative 3'!$B$32*'Alternative 3'!$B$33*'Alternative 3'!H36</f>
        <v>1494.6375217629432</v>
      </c>
      <c r="Q35" s="7">
        <f t="shared" si="2"/>
        <v>0.33600788273743898</v>
      </c>
    </row>
    <row r="36" spans="1:17" x14ac:dyDescent="0.25">
      <c r="A36" s="13">
        <f t="shared" si="3"/>
        <v>34</v>
      </c>
      <c r="B36" s="13" t="e">
        <f>#REF!/4448.2216</f>
        <v>#REF!</v>
      </c>
      <c r="D36" s="7">
        <f>2.01*(('Alternative 1'!G37/213.36)^(2/11.5))</f>
        <v>1.4566597173291067</v>
      </c>
      <c r="E36" s="7">
        <f>0.613*(D36*'Alternative 1'!$B$34*'Alternative 1'!$B$35*'Alternative 1'!$B$36)</f>
        <v>1695.2547074909965</v>
      </c>
      <c r="F36" s="7">
        <f>E36*'Alternative 1'!$B$32*'Alternative 1'!$B$33*'Alternative 1'!H37</f>
        <v>1482.4743419761783</v>
      </c>
      <c r="G36" s="7">
        <f t="shared" si="0"/>
        <v>0.33327349113546373</v>
      </c>
      <c r="I36" s="7">
        <f>2.01*(('Alternative 2'!G37/213.36)^(2/11.5))</f>
        <v>1.4566597173291067</v>
      </c>
      <c r="J36" s="7">
        <f>0.613*(I36*'Alternative 2'!$B$34*'Alternative 2'!$B$35*'Alternative 2'!$B$36)</f>
        <v>1695.2547074909965</v>
      </c>
      <c r="K36" s="7">
        <f>J36*'Alternative 2'!$B$32*'Alternative 2'!$B$33*'Alternative 2'!H37</f>
        <v>1482.4743419761783</v>
      </c>
      <c r="L36" s="7">
        <f t="shared" si="1"/>
        <v>0.33327349113546373</v>
      </c>
      <c r="N36" s="7">
        <f>2.01*(('Alternative 3'!G37/213.36)^(2/11.5))</f>
        <v>1.4566597173291067</v>
      </c>
      <c r="O36" s="7">
        <f>0.613*(N36*'Alternative 3'!$B$34*'Alternative 3'!$B$35*'Alternative 3'!$B$36)</f>
        <v>1695.2547074909965</v>
      </c>
      <c r="P36" s="7">
        <f>O36*'Alternative 3'!$B$32*'Alternative 3'!$B$33*'Alternative 3'!H37</f>
        <v>1482.4743419761783</v>
      </c>
      <c r="Q36" s="7">
        <f t="shared" si="2"/>
        <v>0.33327349113546373</v>
      </c>
    </row>
    <row r="37" spans="1:17" x14ac:dyDescent="0.25">
      <c r="A37" s="13">
        <f t="shared" si="3"/>
        <v>35</v>
      </c>
      <c r="B37" s="13" t="e">
        <f>#REF!/4448.2216</f>
        <v>#REF!</v>
      </c>
      <c r="D37" s="7">
        <f>2.01*(('Alternative 1'!G38/213.36)^(2/11.5))</f>
        <v>1.4641302907783511</v>
      </c>
      <c r="E37" s="7">
        <f>0.613*(D37*'Alternative 1'!$B$34*'Alternative 1'!$B$35*'Alternative 1'!$B$36)</f>
        <v>1703.9489307586723</v>
      </c>
      <c r="F37" s="7">
        <f>E37*'Alternative 1'!$B$32*'Alternative 1'!$B$33*'Alternative 1'!H38</f>
        <v>1469.9129650764107</v>
      </c>
      <c r="G37" s="7">
        <f t="shared" si="0"/>
        <v>0.33044958126106189</v>
      </c>
      <c r="I37" s="7">
        <f>2.01*(('Alternative 2'!G38/213.36)^(2/11.5))</f>
        <v>1.4641302907783511</v>
      </c>
      <c r="J37" s="7">
        <f>0.613*(I37*'Alternative 2'!$B$34*'Alternative 2'!$B$35*'Alternative 2'!$B$36)</f>
        <v>1703.9489307586723</v>
      </c>
      <c r="K37" s="7">
        <f>J37*'Alternative 2'!$B$32*'Alternative 2'!$B$33*'Alternative 2'!H38</f>
        <v>1469.9129650764107</v>
      </c>
      <c r="L37" s="7">
        <f t="shared" si="1"/>
        <v>0.33044958126106189</v>
      </c>
      <c r="N37" s="7">
        <f>2.01*(('Alternative 3'!G38/213.36)^(2/11.5))</f>
        <v>1.4641302907783511</v>
      </c>
      <c r="O37" s="7">
        <f>0.613*(N37*'Alternative 3'!$B$34*'Alternative 3'!$B$35*'Alternative 3'!$B$36)</f>
        <v>1703.9489307586723</v>
      </c>
      <c r="P37" s="7">
        <f>O37*'Alternative 3'!$B$32*'Alternative 3'!$B$33*'Alternative 3'!H38</f>
        <v>1469.9129650764107</v>
      </c>
      <c r="Q37" s="7">
        <f t="shared" si="2"/>
        <v>0.33044958126106189</v>
      </c>
    </row>
    <row r="38" spans="1:17" x14ac:dyDescent="0.25">
      <c r="A38" s="13">
        <f t="shared" si="3"/>
        <v>36</v>
      </c>
      <c r="B38" s="13" t="e">
        <f>#REF!/4448.2216</f>
        <v>#REF!</v>
      </c>
      <c r="D38" s="7">
        <f>2.01*(('Alternative 1'!G39/213.36)^(2/11.5))</f>
        <v>1.4714240747444001</v>
      </c>
      <c r="E38" s="7">
        <f>0.613*(D38*'Alternative 1'!$B$34*'Alternative 1'!$B$35*'Alternative 1'!$B$36)</f>
        <v>1712.4374071384123</v>
      </c>
      <c r="F38" s="7">
        <f>E38*'Alternative 1'!$B$32*'Alternative 1'!$B$33*'Alternative 1'!H39</f>
        <v>1456.9707622938708</v>
      </c>
      <c r="G38" s="7">
        <f t="shared" si="0"/>
        <v>0.32754005832215527</v>
      </c>
      <c r="I38" s="7">
        <f>2.01*(('Alternative 2'!G39/213.36)^(2/11.5))</f>
        <v>1.4714240747444001</v>
      </c>
      <c r="J38" s="7">
        <f>0.613*(I38*'Alternative 2'!$B$34*'Alternative 2'!$B$35*'Alternative 2'!$B$36)</f>
        <v>1712.4374071384123</v>
      </c>
      <c r="K38" s="7">
        <f>J38*'Alternative 2'!$B$32*'Alternative 2'!$B$33*'Alternative 2'!H39</f>
        <v>1456.9707622938708</v>
      </c>
      <c r="L38" s="7">
        <f t="shared" si="1"/>
        <v>0.32754005832215527</v>
      </c>
      <c r="N38" s="7">
        <f>2.01*(('Alternative 3'!G39/213.36)^(2/11.5))</f>
        <v>1.4714240747444001</v>
      </c>
      <c r="O38" s="7">
        <f>0.613*(N38*'Alternative 3'!$B$34*'Alternative 3'!$B$35*'Alternative 3'!$B$36)</f>
        <v>1712.4374071384123</v>
      </c>
      <c r="P38" s="7">
        <f>O38*'Alternative 3'!$B$32*'Alternative 3'!$B$33*'Alternative 3'!H39</f>
        <v>1456.9707622938708</v>
      </c>
      <c r="Q38" s="7">
        <f t="shared" si="2"/>
        <v>0.32754005832215527</v>
      </c>
    </row>
    <row r="39" spans="1:17" x14ac:dyDescent="0.25">
      <c r="A39" s="13">
        <f t="shared" si="3"/>
        <v>37</v>
      </c>
      <c r="B39" s="13" t="e">
        <f>#REF!/4448.2216</f>
        <v>#REF!</v>
      </c>
      <c r="D39" s="7">
        <f>2.01*(('Alternative 1'!G40/213.36)^(2/11.5))</f>
        <v>0</v>
      </c>
      <c r="E39" s="7">
        <f>0.613*(D39*'Alternative 1'!$B$34*'Alternative 1'!$B$35*'Alternative 1'!$B$36)</f>
        <v>0</v>
      </c>
      <c r="F39" s="7">
        <f>E39*'Alternative 1'!$B$32*'Alternative 1'!$B$33*'Alternative 1'!H40</f>
        <v>0</v>
      </c>
      <c r="G39" s="7">
        <f t="shared" si="0"/>
        <v>0</v>
      </c>
      <c r="I39" s="7">
        <f>2.01*(('Alternative 2'!G40/213.36)^(2/11.5))</f>
        <v>0</v>
      </c>
      <c r="J39" s="7">
        <f>0.613*(I39*'Alternative 2'!$B$34*'Alternative 2'!$B$35*'Alternative 2'!$B$36)</f>
        <v>0</v>
      </c>
      <c r="K39" s="7">
        <f>J39*'Alternative 2'!$B$32*'Alternative 2'!$B$33*'Alternative 2'!H40</f>
        <v>0</v>
      </c>
      <c r="L39" s="7">
        <f t="shared" si="1"/>
        <v>0</v>
      </c>
      <c r="N39" s="7">
        <f>2.01*(('Alternative 3'!G40/213.36)^(2/11.5))</f>
        <v>0</v>
      </c>
      <c r="O39" s="7">
        <f>0.613*(N39*'Alternative 3'!$B$34*'Alternative 3'!$B$35*'Alternative 3'!$B$36)</f>
        <v>0</v>
      </c>
      <c r="P39" s="7">
        <f>O39*'Alternative 3'!$B$32*'Alternative 3'!$B$33*'Alternative 3'!H40</f>
        <v>0</v>
      </c>
      <c r="Q39" s="7">
        <f t="shared" si="2"/>
        <v>0</v>
      </c>
    </row>
    <row r="40" spans="1:17" x14ac:dyDescent="0.25">
      <c r="A40" s="13">
        <f t="shared" si="3"/>
        <v>38</v>
      </c>
      <c r="B40" s="13" t="e">
        <f>#REF!/4448.2216</f>
        <v>#REF!</v>
      </c>
      <c r="D40" s="7">
        <f>2.01*(('Alternative 1'!G41/213.36)^(2/11.5))</f>
        <v>0</v>
      </c>
      <c r="E40" s="7">
        <f>0.613*(D40*'Alternative 1'!$B$34*'Alternative 1'!$B$35*'Alternative 1'!$B$36)</f>
        <v>0</v>
      </c>
      <c r="F40" s="7">
        <f>E40*'Alternative 1'!$B$32*'Alternative 1'!$B$33*'Alternative 1'!H41</f>
        <v>0</v>
      </c>
      <c r="G40" s="7">
        <f t="shared" si="0"/>
        <v>0</v>
      </c>
      <c r="I40" s="7">
        <f>2.01*(('Alternative 2'!G41/213.36)^(2/11.5))</f>
        <v>0</v>
      </c>
      <c r="J40" s="7">
        <f>0.613*(I40*'Alternative 2'!$B$34*'Alternative 2'!$B$35*'Alternative 2'!$B$36)</f>
        <v>0</v>
      </c>
      <c r="K40" s="7">
        <f>J40*'Alternative 2'!$B$32*'Alternative 2'!$B$33*'Alternative 2'!H41</f>
        <v>0</v>
      </c>
      <c r="L40" s="7">
        <f t="shared" si="1"/>
        <v>0</v>
      </c>
      <c r="N40" s="7">
        <f>2.01*(('Alternative 3'!G41/213.36)^(2/11.5))</f>
        <v>0</v>
      </c>
      <c r="O40" s="7">
        <f>0.613*(N40*'Alternative 3'!$B$34*'Alternative 3'!$B$35*'Alternative 3'!$B$36)</f>
        <v>0</v>
      </c>
      <c r="P40" s="7">
        <f>O40*'Alternative 3'!$B$32*'Alternative 3'!$B$33*'Alternative 3'!H41</f>
        <v>0</v>
      </c>
      <c r="Q40" s="7">
        <f t="shared" si="2"/>
        <v>0</v>
      </c>
    </row>
    <row r="41" spans="1:17" x14ac:dyDescent="0.25">
      <c r="A41" s="13">
        <f t="shared" si="3"/>
        <v>39</v>
      </c>
      <c r="B41" s="13" t="e">
        <f>#REF!/4448.2216</f>
        <v>#REF!</v>
      </c>
      <c r="D41" s="7">
        <f>2.01*(('Alternative 1'!G42/213.36)^(2/11.5))</f>
        <v>0</v>
      </c>
      <c r="E41" s="7">
        <f>0.613*(D41*'Alternative 1'!$B$34*'Alternative 1'!$B$35*'Alternative 1'!$B$36)</f>
        <v>0</v>
      </c>
      <c r="F41" s="7">
        <f>E41*'Alternative 1'!$B$32*'Alternative 1'!$B$33*'Alternative 1'!H42</f>
        <v>0</v>
      </c>
      <c r="G41" s="7">
        <f t="shared" si="0"/>
        <v>0</v>
      </c>
      <c r="I41" s="7">
        <f>2.01*(('Alternative 2'!G42/213.36)^(2/11.5))</f>
        <v>0</v>
      </c>
      <c r="J41" s="7">
        <f>0.613*(I41*'Alternative 2'!$B$34*'Alternative 2'!$B$35*'Alternative 2'!$B$36)</f>
        <v>0</v>
      </c>
      <c r="K41" s="7">
        <f>J41*'Alternative 2'!$B$32*'Alternative 2'!$B$33*'Alternative 2'!H42</f>
        <v>0</v>
      </c>
      <c r="L41" s="7">
        <f t="shared" si="1"/>
        <v>0</v>
      </c>
      <c r="N41" s="7">
        <f>2.01*(('Alternative 3'!G42/213.36)^(2/11.5))</f>
        <v>0</v>
      </c>
      <c r="O41" s="7">
        <f>0.613*(N41*'Alternative 3'!$B$34*'Alternative 3'!$B$35*'Alternative 3'!$B$36)</f>
        <v>0</v>
      </c>
      <c r="P41" s="7">
        <f>O41*'Alternative 3'!$B$32*'Alternative 3'!$B$33*'Alternative 3'!H42</f>
        <v>0</v>
      </c>
      <c r="Q41" s="7">
        <f t="shared" si="2"/>
        <v>0</v>
      </c>
    </row>
    <row r="42" spans="1:17" x14ac:dyDescent="0.25">
      <c r="A42" s="13">
        <f t="shared" si="3"/>
        <v>40</v>
      </c>
      <c r="B42" s="13" t="e">
        <f>#REF!/4448.2216</f>
        <v>#REF!</v>
      </c>
      <c r="D42" s="7">
        <f>2.01*(('Alternative 1'!G43/213.36)^(2/11.5))</f>
        <v>0</v>
      </c>
      <c r="E42" s="7">
        <f>0.613*(D42*'Alternative 1'!$B$34*'Alternative 1'!$B$35*'Alternative 1'!$B$36)</f>
        <v>0</v>
      </c>
      <c r="F42" s="7">
        <f>E42*'Alternative 1'!$B$32*'Alternative 1'!$B$33*'Alternative 1'!H43</f>
        <v>0</v>
      </c>
      <c r="G42" s="7">
        <f t="shared" si="0"/>
        <v>0</v>
      </c>
      <c r="I42" s="7">
        <f>2.01*(('Alternative 2'!G43/213.36)^(2/11.5))</f>
        <v>0</v>
      </c>
      <c r="J42" s="7">
        <f>0.613*(I42*'Alternative 2'!$B$34*'Alternative 2'!$B$35*'Alternative 2'!$B$36)</f>
        <v>0</v>
      </c>
      <c r="K42" s="7">
        <f>J42*'Alternative 2'!$B$32*'Alternative 2'!$B$33*'Alternative 2'!H43</f>
        <v>0</v>
      </c>
      <c r="L42" s="7">
        <f t="shared" si="1"/>
        <v>0</v>
      </c>
      <c r="N42" s="7">
        <f>2.01*(('Alternative 3'!G43/213.36)^(2/11.5))</f>
        <v>0</v>
      </c>
      <c r="O42" s="7">
        <f>0.613*(N42*'Alternative 3'!$B$34*'Alternative 3'!$B$35*'Alternative 3'!$B$36)</f>
        <v>0</v>
      </c>
      <c r="P42" s="7">
        <f>O42*'Alternative 3'!$B$32*'Alternative 3'!$B$33*'Alternative 3'!H43</f>
        <v>0</v>
      </c>
      <c r="Q42" s="7">
        <f t="shared" si="2"/>
        <v>0</v>
      </c>
    </row>
    <row r="43" spans="1:17" x14ac:dyDescent="0.25">
      <c r="A43" s="13">
        <f t="shared" si="3"/>
        <v>41</v>
      </c>
      <c r="B43" s="13" t="e">
        <f>#REF!/4448.2216</f>
        <v>#REF!</v>
      </c>
      <c r="D43" s="7">
        <f>2.01*(('Alternative 1'!G44/213.36)^(2/11.5))</f>
        <v>0</v>
      </c>
      <c r="E43" s="7">
        <f>0.613*(D43*'Alternative 1'!$B$34*'Alternative 1'!$B$35*'Alternative 1'!$B$36)</f>
        <v>0</v>
      </c>
      <c r="F43" s="7">
        <f>E43*'Alternative 1'!$B$32*'Alternative 1'!$B$33*'Alternative 1'!H44</f>
        <v>0</v>
      </c>
      <c r="G43" s="7">
        <f t="shared" si="0"/>
        <v>0</v>
      </c>
      <c r="I43" s="7">
        <f>2.01*(('Alternative 2'!G44/213.36)^(2/11.5))</f>
        <v>0</v>
      </c>
      <c r="J43" s="7">
        <f>0.613*(I43*'Alternative 2'!$B$34*'Alternative 2'!$B$35*'Alternative 2'!$B$36)</f>
        <v>0</v>
      </c>
      <c r="K43" s="7">
        <f>J43*'Alternative 2'!$B$32*'Alternative 2'!$B$33*'Alternative 2'!H44</f>
        <v>0</v>
      </c>
      <c r="L43" s="7">
        <f t="shared" si="1"/>
        <v>0</v>
      </c>
      <c r="N43" s="7">
        <f>2.01*(('Alternative 3'!G44/213.36)^(2/11.5))</f>
        <v>0</v>
      </c>
      <c r="O43" s="7">
        <f>0.613*(N43*'Alternative 3'!$B$34*'Alternative 3'!$B$35*'Alternative 3'!$B$36)</f>
        <v>0</v>
      </c>
      <c r="P43" s="7">
        <f>O43*'Alternative 3'!$B$32*'Alternative 3'!$B$33*'Alternative 3'!H44</f>
        <v>0</v>
      </c>
      <c r="Q43" s="7">
        <f t="shared" si="2"/>
        <v>0</v>
      </c>
    </row>
    <row r="44" spans="1:17" x14ac:dyDescent="0.25">
      <c r="A44" s="13">
        <f t="shared" si="3"/>
        <v>42</v>
      </c>
      <c r="B44" s="13" t="e">
        <f>#REF!/4448.2216</f>
        <v>#REF!</v>
      </c>
      <c r="D44" s="7">
        <f>2.01*(('Alternative 1'!G45/213.36)^(2/11.5))</f>
        <v>0</v>
      </c>
      <c r="E44" s="7">
        <f>0.613*(D44*'Alternative 1'!$B$34*'Alternative 1'!$B$35*'Alternative 1'!$B$36)</f>
        <v>0</v>
      </c>
      <c r="F44" s="7">
        <f>E44*'Alternative 1'!$B$32*'Alternative 1'!$B$33*'Alternative 1'!H45</f>
        <v>0</v>
      </c>
      <c r="G44" s="7">
        <f t="shared" si="0"/>
        <v>0</v>
      </c>
      <c r="I44" s="7">
        <f>2.01*(('Alternative 2'!G45/213.36)^(2/11.5))</f>
        <v>0</v>
      </c>
      <c r="J44" s="7">
        <f>0.613*(I44*'Alternative 2'!$B$34*'Alternative 2'!$B$35*'Alternative 2'!$B$36)</f>
        <v>0</v>
      </c>
      <c r="K44" s="7">
        <f>J44*'Alternative 2'!$B$32*'Alternative 2'!$B$33*'Alternative 2'!H45</f>
        <v>0</v>
      </c>
      <c r="L44" s="7">
        <f t="shared" si="1"/>
        <v>0</v>
      </c>
      <c r="N44" s="7">
        <f>2.01*(('Alternative 3'!G45/213.36)^(2/11.5))</f>
        <v>0</v>
      </c>
      <c r="O44" s="7">
        <f>0.613*(N44*'Alternative 3'!$B$34*'Alternative 3'!$B$35*'Alternative 3'!$B$36)</f>
        <v>0</v>
      </c>
      <c r="P44" s="7">
        <f>O44*'Alternative 3'!$B$32*'Alternative 3'!$B$33*'Alternative 3'!H45</f>
        <v>0</v>
      </c>
      <c r="Q44" s="7">
        <f t="shared" si="2"/>
        <v>0</v>
      </c>
    </row>
    <row r="45" spans="1:17" x14ac:dyDescent="0.25">
      <c r="A45" s="13">
        <f t="shared" si="3"/>
        <v>43</v>
      </c>
      <c r="B45" s="13" t="e">
        <f>#REF!/4448.2216</f>
        <v>#REF!</v>
      </c>
      <c r="D45" s="7">
        <f>2.01*(('Alternative 1'!G46/213.36)^(2/11.5))</f>
        <v>0</v>
      </c>
      <c r="E45" s="7">
        <f>0.613*(D45*'Alternative 1'!$B$34*'Alternative 1'!$B$35*'Alternative 1'!$B$36)</f>
        <v>0</v>
      </c>
      <c r="F45" s="7">
        <f>E45*'Alternative 1'!$B$32*'Alternative 1'!$B$33*'Alternative 1'!H46</f>
        <v>0</v>
      </c>
      <c r="G45" s="7">
        <f t="shared" si="0"/>
        <v>0</v>
      </c>
      <c r="I45" s="7">
        <f>2.01*(('Alternative 2'!G46/213.36)^(2/11.5))</f>
        <v>0</v>
      </c>
      <c r="J45" s="7">
        <f>0.613*(I45*'Alternative 2'!$B$34*'Alternative 2'!$B$35*'Alternative 2'!$B$36)</f>
        <v>0</v>
      </c>
      <c r="K45" s="7">
        <f>J45*'Alternative 2'!$B$32*'Alternative 2'!$B$33*'Alternative 2'!H46</f>
        <v>0</v>
      </c>
      <c r="L45" s="7">
        <f t="shared" si="1"/>
        <v>0</v>
      </c>
      <c r="N45" s="7">
        <f>2.01*(('Alternative 3'!G46/213.36)^(2/11.5))</f>
        <v>0</v>
      </c>
      <c r="O45" s="7">
        <f>0.613*(N45*'Alternative 3'!$B$34*'Alternative 3'!$B$35*'Alternative 3'!$B$36)</f>
        <v>0</v>
      </c>
      <c r="P45" s="7">
        <f>O45*'Alternative 3'!$B$32*'Alternative 3'!$B$33*'Alternative 3'!H46</f>
        <v>0</v>
      </c>
      <c r="Q45" s="7">
        <f t="shared" si="2"/>
        <v>0</v>
      </c>
    </row>
    <row r="46" spans="1:17" x14ac:dyDescent="0.25">
      <c r="A46" s="13">
        <f t="shared" si="3"/>
        <v>44</v>
      </c>
      <c r="B46" s="13" t="e">
        <f>#REF!/4448.2216</f>
        <v>#REF!</v>
      </c>
      <c r="D46" s="7">
        <f>2.01*(('Alternative 1'!G47/213.36)^(2/11.5))</f>
        <v>0</v>
      </c>
      <c r="E46" s="7">
        <f>0.613*(D46*'Alternative 1'!$B$34*'Alternative 1'!$B$35*'Alternative 1'!$B$36)</f>
        <v>0</v>
      </c>
      <c r="F46" s="7">
        <f>E46*'Alternative 1'!$B$32*'Alternative 1'!$B$33*'Alternative 1'!H47</f>
        <v>0</v>
      </c>
      <c r="G46" s="7">
        <f t="shared" si="0"/>
        <v>0</v>
      </c>
      <c r="I46" s="7">
        <f>2.01*(('Alternative 2'!G47/213.36)^(2/11.5))</f>
        <v>0</v>
      </c>
      <c r="J46" s="7">
        <f>0.613*(I46*'Alternative 2'!$B$34*'Alternative 2'!$B$35*'Alternative 2'!$B$36)</f>
        <v>0</v>
      </c>
      <c r="K46" s="7">
        <f>J46*'Alternative 2'!$B$32*'Alternative 2'!$B$33*'Alternative 2'!H47</f>
        <v>0</v>
      </c>
      <c r="L46" s="7">
        <f t="shared" si="1"/>
        <v>0</v>
      </c>
      <c r="N46" s="7">
        <f>2.01*(('Alternative 3'!G47/213.36)^(2/11.5))</f>
        <v>0</v>
      </c>
      <c r="O46" s="7">
        <f>0.613*(N46*'Alternative 3'!$B$34*'Alternative 3'!$B$35*'Alternative 3'!$B$36)</f>
        <v>0</v>
      </c>
      <c r="P46" s="7">
        <f>O46*'Alternative 3'!$B$32*'Alternative 3'!$B$33*'Alternative 3'!H47</f>
        <v>0</v>
      </c>
      <c r="Q46" s="7">
        <f t="shared" si="2"/>
        <v>0</v>
      </c>
    </row>
    <row r="47" spans="1:17" x14ac:dyDescent="0.25">
      <c r="A47" s="13">
        <f t="shared" si="3"/>
        <v>45</v>
      </c>
      <c r="B47" s="13" t="e">
        <f>#REF!/4448.2216</f>
        <v>#REF!</v>
      </c>
      <c r="D47" s="7">
        <f>2.01*(('Alternative 1'!G48/213.36)^(2/11.5))</f>
        <v>0</v>
      </c>
      <c r="E47" s="7">
        <f>0.613*(D47*'Alternative 1'!$B$34*'Alternative 1'!$B$35*'Alternative 1'!$B$36)</f>
        <v>0</v>
      </c>
      <c r="F47" s="7">
        <f>E47*'Alternative 1'!$B$32*'Alternative 1'!$B$33*'Alternative 1'!H48</f>
        <v>0</v>
      </c>
      <c r="G47" s="7">
        <f t="shared" si="0"/>
        <v>0</v>
      </c>
      <c r="I47" s="7">
        <f>2.01*(('Alternative 2'!G48/213.36)^(2/11.5))</f>
        <v>0</v>
      </c>
      <c r="J47" s="7">
        <f>0.613*(I47*'Alternative 2'!$B$34*'Alternative 2'!$B$35*'Alternative 2'!$B$36)</f>
        <v>0</v>
      </c>
      <c r="K47" s="7">
        <f>J47*'Alternative 2'!$B$32*'Alternative 2'!$B$33*'Alternative 2'!H48</f>
        <v>0</v>
      </c>
      <c r="L47" s="7">
        <f t="shared" si="1"/>
        <v>0</v>
      </c>
      <c r="N47" s="7">
        <f>2.01*(('Alternative 3'!G48/213.36)^(2/11.5))</f>
        <v>0</v>
      </c>
      <c r="O47" s="7">
        <f>0.613*(N47*'Alternative 3'!$B$34*'Alternative 3'!$B$35*'Alternative 3'!$B$36)</f>
        <v>0</v>
      </c>
      <c r="P47" s="7">
        <f>O47*'Alternative 3'!$B$32*'Alternative 3'!$B$33*'Alternative 3'!H48</f>
        <v>0</v>
      </c>
      <c r="Q47" s="7">
        <f t="shared" si="2"/>
        <v>0</v>
      </c>
    </row>
    <row r="48" spans="1:17" x14ac:dyDescent="0.25">
      <c r="A48" s="13">
        <f t="shared" si="3"/>
        <v>46</v>
      </c>
      <c r="B48" s="13" t="e">
        <f>#REF!/4448.2216</f>
        <v>#REF!</v>
      </c>
      <c r="D48" s="7">
        <f>2.01*(('Alternative 1'!G49/213.36)^(2/11.5))</f>
        <v>0</v>
      </c>
      <c r="E48" s="7">
        <f>0.613*(D48*'Alternative 1'!$B$34*'Alternative 1'!$B$35*'Alternative 1'!$B$36)</f>
        <v>0</v>
      </c>
      <c r="F48" s="7">
        <f>E48*'Alternative 1'!$B$32*'Alternative 1'!$B$33*'Alternative 1'!H49</f>
        <v>0</v>
      </c>
      <c r="G48" s="7">
        <f t="shared" si="0"/>
        <v>0</v>
      </c>
      <c r="I48" s="7">
        <f>2.01*(('Alternative 2'!G49/213.36)^(2/11.5))</f>
        <v>0</v>
      </c>
      <c r="J48" s="7">
        <f>0.613*(I48*'Alternative 2'!$B$34*'Alternative 2'!$B$35*'Alternative 2'!$B$36)</f>
        <v>0</v>
      </c>
      <c r="K48" s="7">
        <f>J48*'Alternative 2'!$B$32*'Alternative 2'!$B$33*'Alternative 2'!H49</f>
        <v>0</v>
      </c>
      <c r="L48" s="7">
        <f t="shared" si="1"/>
        <v>0</v>
      </c>
      <c r="N48" s="7">
        <f>2.01*(('Alternative 3'!G49/213.36)^(2/11.5))</f>
        <v>0</v>
      </c>
      <c r="O48" s="7">
        <f>0.613*(N48*'Alternative 3'!$B$34*'Alternative 3'!$B$35*'Alternative 3'!$B$36)</f>
        <v>0</v>
      </c>
      <c r="P48" s="7">
        <f>O48*'Alternative 3'!$B$32*'Alternative 3'!$B$33*'Alternative 3'!H49</f>
        <v>0</v>
      </c>
      <c r="Q48" s="7">
        <f t="shared" si="2"/>
        <v>0</v>
      </c>
    </row>
    <row r="49" spans="1:17" x14ac:dyDescent="0.25">
      <c r="A49" s="13">
        <f t="shared" si="3"/>
        <v>47</v>
      </c>
      <c r="B49" s="13" t="e">
        <f>#REF!/4448.2216</f>
        <v>#REF!</v>
      </c>
      <c r="D49" s="7">
        <f>2.01*(('Alternative 1'!G50/213.36)^(2/11.5))</f>
        <v>0</v>
      </c>
      <c r="E49" s="7">
        <f>0.613*(D49*'Alternative 1'!$B$34*'Alternative 1'!$B$35*'Alternative 1'!$B$36)</f>
        <v>0</v>
      </c>
      <c r="F49" s="7">
        <f>E49*'Alternative 1'!$B$32*'Alternative 1'!$B$33*'Alternative 1'!H50</f>
        <v>0</v>
      </c>
      <c r="G49" s="7">
        <f t="shared" si="0"/>
        <v>0</v>
      </c>
      <c r="I49" s="7">
        <f>2.01*(('Alternative 2'!G50/213.36)^(2/11.5))</f>
        <v>0</v>
      </c>
      <c r="J49" s="7">
        <f>0.613*(I49*'Alternative 2'!$B$34*'Alternative 2'!$B$35*'Alternative 2'!$B$36)</f>
        <v>0</v>
      </c>
      <c r="K49" s="7">
        <f>J49*'Alternative 2'!$B$32*'Alternative 2'!$B$33*'Alternative 2'!H50</f>
        <v>0</v>
      </c>
      <c r="L49" s="7">
        <f t="shared" si="1"/>
        <v>0</v>
      </c>
      <c r="N49" s="7">
        <f>2.01*(('Alternative 3'!G50/213.36)^(2/11.5))</f>
        <v>0</v>
      </c>
      <c r="O49" s="7">
        <f>0.613*(N49*'Alternative 3'!$B$34*'Alternative 3'!$B$35*'Alternative 3'!$B$36)</f>
        <v>0</v>
      </c>
      <c r="P49" s="7">
        <f>O49*'Alternative 3'!$B$32*'Alternative 3'!$B$33*'Alternative 3'!H50</f>
        <v>0</v>
      </c>
      <c r="Q49" s="7">
        <f t="shared" si="2"/>
        <v>0</v>
      </c>
    </row>
    <row r="50" spans="1:17" x14ac:dyDescent="0.25">
      <c r="A50" s="13">
        <f t="shared" si="3"/>
        <v>48</v>
      </c>
      <c r="B50" s="13" t="e">
        <f>#REF!/4448.2216</f>
        <v>#REF!</v>
      </c>
      <c r="D50" s="7">
        <f>2.01*(('Alternative 1'!G51/213.36)^(2/11.5))</f>
        <v>0</v>
      </c>
      <c r="E50" s="7">
        <f>0.613*(D50*'Alternative 1'!$B$34*'Alternative 1'!$B$35*'Alternative 1'!$B$36)</f>
        <v>0</v>
      </c>
      <c r="F50" s="7">
        <f>E50*'Alternative 1'!$B$32*'Alternative 1'!$B$33*'Alternative 1'!H51</f>
        <v>0</v>
      </c>
      <c r="G50" s="7">
        <f t="shared" si="0"/>
        <v>0</v>
      </c>
      <c r="I50" s="7">
        <f>2.01*(('Alternative 2'!G51/213.36)^(2/11.5))</f>
        <v>0</v>
      </c>
      <c r="J50" s="7">
        <f>0.613*(I50*'Alternative 2'!$B$34*'Alternative 2'!$B$35*'Alternative 2'!$B$36)</f>
        <v>0</v>
      </c>
      <c r="K50" s="7">
        <f>J50*'Alternative 2'!$B$32*'Alternative 2'!$B$33*'Alternative 2'!H51</f>
        <v>0</v>
      </c>
      <c r="L50" s="7">
        <f t="shared" si="1"/>
        <v>0</v>
      </c>
      <c r="N50" s="7">
        <f>2.01*(('Alternative 3'!G51/213.36)^(2/11.5))</f>
        <v>0</v>
      </c>
      <c r="O50" s="7">
        <f>0.613*(N50*'Alternative 3'!$B$34*'Alternative 3'!$B$35*'Alternative 3'!$B$36)</f>
        <v>0</v>
      </c>
      <c r="P50" s="7">
        <f>O50*'Alternative 3'!$B$32*'Alternative 3'!$B$33*'Alternative 3'!H51</f>
        <v>0</v>
      </c>
      <c r="Q50" s="7">
        <f t="shared" si="2"/>
        <v>0</v>
      </c>
    </row>
    <row r="51" spans="1:17" x14ac:dyDescent="0.25">
      <c r="A51" s="13">
        <f t="shared" si="3"/>
        <v>49</v>
      </c>
      <c r="B51" s="13" t="e">
        <f>#REF!/4448.2216</f>
        <v>#REF!</v>
      </c>
      <c r="D51" s="7">
        <f>2.01*(('Alternative 1'!G52/213.36)^(2/11.5))</f>
        <v>0</v>
      </c>
      <c r="E51" s="7">
        <f>0.613*(D51*'Alternative 1'!$B$34*'Alternative 1'!$B$35*'Alternative 1'!$B$36)</f>
        <v>0</v>
      </c>
      <c r="F51" s="7">
        <f>E51*'Alternative 1'!$B$32*'Alternative 1'!$B$33*'Alternative 1'!H52</f>
        <v>0</v>
      </c>
      <c r="G51" s="7">
        <f t="shared" si="0"/>
        <v>0</v>
      </c>
      <c r="I51" s="7">
        <f>2.01*(('Alternative 2'!G52/213.36)^(2/11.5))</f>
        <v>0</v>
      </c>
      <c r="J51" s="7">
        <f>0.613*(I51*'Alternative 2'!$B$34*'Alternative 2'!$B$35*'Alternative 2'!$B$36)</f>
        <v>0</v>
      </c>
      <c r="K51" s="7">
        <f>J51*'Alternative 2'!$B$32*'Alternative 2'!$B$33*'Alternative 2'!H52</f>
        <v>0</v>
      </c>
      <c r="L51" s="7">
        <f t="shared" si="1"/>
        <v>0</v>
      </c>
      <c r="N51" s="7">
        <f>2.01*(('Alternative 3'!G52/213.36)^(2/11.5))</f>
        <v>0</v>
      </c>
      <c r="O51" s="7">
        <f>0.613*(N51*'Alternative 3'!$B$34*'Alternative 3'!$B$35*'Alternative 3'!$B$36)</f>
        <v>0</v>
      </c>
      <c r="P51" s="7">
        <f>O51*'Alternative 3'!$B$32*'Alternative 3'!$B$33*'Alternative 3'!H52</f>
        <v>0</v>
      </c>
      <c r="Q51" s="7">
        <f t="shared" si="2"/>
        <v>0</v>
      </c>
    </row>
    <row r="52" spans="1:17" x14ac:dyDescent="0.25">
      <c r="A52" s="13">
        <f t="shared" si="3"/>
        <v>50</v>
      </c>
      <c r="B52" s="13" t="e">
        <f>#REF!/4448.2216</f>
        <v>#REF!</v>
      </c>
      <c r="D52" s="7">
        <f>2.01*(('Alternative 1'!G53/213.36)^(2/11.5))</f>
        <v>0</v>
      </c>
      <c r="E52" s="7">
        <f>0.613*(D52*'Alternative 1'!$B$34*'Alternative 1'!$B$35*'Alternative 1'!$B$36)</f>
        <v>0</v>
      </c>
      <c r="F52" s="7">
        <f>E52*'Alternative 1'!$B$32*'Alternative 1'!$B$33*'Alternative 1'!H53</f>
        <v>0</v>
      </c>
      <c r="G52" s="7">
        <f t="shared" si="0"/>
        <v>0</v>
      </c>
      <c r="I52" s="7">
        <f>2.01*(('Alternative 2'!G53/213.36)^(2/11.5))</f>
        <v>0</v>
      </c>
      <c r="J52" s="7">
        <f>0.613*(I52*'Alternative 2'!$B$34*'Alternative 2'!$B$35*'Alternative 2'!$B$36)</f>
        <v>0</v>
      </c>
      <c r="K52" s="7">
        <f>J52*'Alternative 2'!$B$32*'Alternative 2'!$B$33*'Alternative 2'!H53</f>
        <v>0</v>
      </c>
      <c r="L52" s="7">
        <f t="shared" si="1"/>
        <v>0</v>
      </c>
      <c r="N52" s="7">
        <f>2.01*(('Alternative 3'!G53/213.36)^(2/11.5))</f>
        <v>0</v>
      </c>
      <c r="O52" s="7">
        <f>0.613*(N52*'Alternative 3'!$B$34*'Alternative 3'!$B$35*'Alternative 3'!$B$36)</f>
        <v>0</v>
      </c>
      <c r="P52" s="7">
        <f>O52*'Alternative 3'!$B$32*'Alternative 3'!$B$33*'Alternative 3'!H53</f>
        <v>0</v>
      </c>
      <c r="Q52" s="7">
        <f t="shared" si="2"/>
        <v>0</v>
      </c>
    </row>
    <row r="53" spans="1:17" x14ac:dyDescent="0.25">
      <c r="A53" s="13">
        <f t="shared" si="3"/>
        <v>51</v>
      </c>
      <c r="B53" s="13" t="e">
        <f>#REF!/4448.2216</f>
        <v>#REF!</v>
      </c>
      <c r="D53" s="7">
        <f>2.01*(('Alternative 1'!G54/213.36)^(2/11.5))</f>
        <v>0</v>
      </c>
      <c r="E53" s="7">
        <f>0.613*(D53*'Alternative 1'!$B$34*'Alternative 1'!$B$35*'Alternative 1'!$B$36)</f>
        <v>0</v>
      </c>
      <c r="F53" s="7">
        <f>E53*'Alternative 1'!$B$32*'Alternative 1'!$B$33*'Alternative 1'!H54</f>
        <v>0</v>
      </c>
      <c r="G53" s="7">
        <f t="shared" si="0"/>
        <v>0</v>
      </c>
      <c r="I53" s="7">
        <f>2.01*(('Alternative 2'!G54/213.36)^(2/11.5))</f>
        <v>0</v>
      </c>
      <c r="J53" s="7">
        <f>0.613*(I53*'Alternative 2'!$B$34*'Alternative 2'!$B$35*'Alternative 2'!$B$36)</f>
        <v>0</v>
      </c>
      <c r="K53" s="7">
        <f>J53*'Alternative 2'!$B$32*'Alternative 2'!$B$33*'Alternative 2'!H54</f>
        <v>0</v>
      </c>
      <c r="L53" s="7">
        <f t="shared" si="1"/>
        <v>0</v>
      </c>
      <c r="N53" s="7">
        <f>2.01*(('Alternative 3'!G54/213.36)^(2/11.5))</f>
        <v>0</v>
      </c>
      <c r="O53" s="7">
        <f>0.613*(N53*'Alternative 3'!$B$34*'Alternative 3'!$B$35*'Alternative 3'!$B$36)</f>
        <v>0</v>
      </c>
      <c r="P53" s="7">
        <f>O53*'Alternative 3'!$B$32*'Alternative 3'!$B$33*'Alternative 3'!H54</f>
        <v>0</v>
      </c>
      <c r="Q53" s="7">
        <f t="shared" si="2"/>
        <v>0</v>
      </c>
    </row>
    <row r="54" spans="1:17" x14ac:dyDescent="0.25">
      <c r="A54" s="13">
        <f t="shared" si="3"/>
        <v>52</v>
      </c>
      <c r="B54" s="13" t="e">
        <f>#REF!/4448.2216</f>
        <v>#REF!</v>
      </c>
      <c r="D54" s="7">
        <f>2.01*(('Alternative 1'!G55/213.36)^(2/11.5))</f>
        <v>0</v>
      </c>
      <c r="E54" s="7">
        <f>0.613*(D54*'Alternative 1'!$B$34*'Alternative 1'!$B$35*'Alternative 1'!$B$36)</f>
        <v>0</v>
      </c>
      <c r="F54" s="7">
        <f>E54*'Alternative 1'!$B$32*'Alternative 1'!$B$33*'Alternative 1'!H55</f>
        <v>0</v>
      </c>
      <c r="G54" s="7">
        <f t="shared" si="0"/>
        <v>0</v>
      </c>
      <c r="I54" s="7">
        <f>2.01*(('Alternative 2'!G55/213.36)^(2/11.5))</f>
        <v>0</v>
      </c>
      <c r="J54" s="7">
        <f>0.613*(I54*'Alternative 2'!$B$34*'Alternative 2'!$B$35*'Alternative 2'!$B$36)</f>
        <v>0</v>
      </c>
      <c r="K54" s="7">
        <f>J54*'Alternative 2'!$B$32*'Alternative 2'!$B$33*'Alternative 2'!H55</f>
        <v>0</v>
      </c>
      <c r="L54" s="7">
        <f t="shared" si="1"/>
        <v>0</v>
      </c>
      <c r="N54" s="7">
        <f>2.01*(('Alternative 3'!G55/213.36)^(2/11.5))</f>
        <v>0</v>
      </c>
      <c r="O54" s="7">
        <f>0.613*(N54*'Alternative 3'!$B$34*'Alternative 3'!$B$35*'Alternative 3'!$B$36)</f>
        <v>0</v>
      </c>
      <c r="P54" s="7">
        <f>O54*'Alternative 3'!$B$32*'Alternative 3'!$B$33*'Alternative 3'!H55</f>
        <v>0</v>
      </c>
      <c r="Q54" s="7">
        <f t="shared" si="2"/>
        <v>0</v>
      </c>
    </row>
    <row r="55" spans="1:17" x14ac:dyDescent="0.25">
      <c r="A55" s="13">
        <f t="shared" si="3"/>
        <v>53</v>
      </c>
      <c r="B55" s="13" t="e">
        <f>#REF!/4448.2216</f>
        <v>#REF!</v>
      </c>
      <c r="D55" s="7">
        <f>2.01*(('Alternative 1'!G56/213.36)^(2/11.5))</f>
        <v>0</v>
      </c>
      <c r="E55" s="7">
        <f>0.613*(D55*'Alternative 1'!$B$34*'Alternative 1'!$B$35*'Alternative 1'!$B$36)</f>
        <v>0</v>
      </c>
      <c r="F55" s="7">
        <f>E55*'Alternative 1'!$B$32*'Alternative 1'!$B$33*'Alternative 1'!H56</f>
        <v>0</v>
      </c>
      <c r="G55" s="7">
        <f t="shared" si="0"/>
        <v>0</v>
      </c>
      <c r="I55" s="7">
        <f>2.01*(('Alternative 2'!G56/213.36)^(2/11.5))</f>
        <v>0</v>
      </c>
      <c r="J55" s="7">
        <f>0.613*(I55*'Alternative 2'!$B$34*'Alternative 2'!$B$35*'Alternative 2'!$B$36)</f>
        <v>0</v>
      </c>
      <c r="K55" s="7">
        <f>J55*'Alternative 2'!$B$32*'Alternative 2'!$B$33*'Alternative 2'!H56</f>
        <v>0</v>
      </c>
      <c r="L55" s="7">
        <f t="shared" si="1"/>
        <v>0</v>
      </c>
      <c r="N55" s="7">
        <f>2.01*(('Alternative 3'!G56/213.36)^(2/11.5))</f>
        <v>0</v>
      </c>
      <c r="O55" s="7">
        <f>0.613*(N55*'Alternative 3'!$B$34*'Alternative 3'!$B$35*'Alternative 3'!$B$36)</f>
        <v>0</v>
      </c>
      <c r="P55" s="7">
        <f>O55*'Alternative 3'!$B$32*'Alternative 3'!$B$33*'Alternative 3'!H56</f>
        <v>0</v>
      </c>
      <c r="Q55" s="7">
        <f t="shared" si="2"/>
        <v>0</v>
      </c>
    </row>
    <row r="56" spans="1:17" x14ac:dyDescent="0.25">
      <c r="A56" s="13">
        <f t="shared" si="3"/>
        <v>54</v>
      </c>
      <c r="B56" s="13" t="e">
        <f>#REF!/4448.2216</f>
        <v>#REF!</v>
      </c>
      <c r="D56" s="7">
        <f>2.01*(('Alternative 1'!G57/213.36)^(2/11.5))</f>
        <v>0</v>
      </c>
      <c r="E56" s="7">
        <f>0.613*(D56*'Alternative 1'!$B$34*'Alternative 1'!$B$35*'Alternative 1'!$B$36)</f>
        <v>0</v>
      </c>
      <c r="F56" s="7">
        <f>E56*'Alternative 1'!$B$32*'Alternative 1'!$B$33*'Alternative 1'!H57</f>
        <v>0</v>
      </c>
      <c r="G56" s="7">
        <f t="shared" si="0"/>
        <v>0</v>
      </c>
      <c r="I56" s="7">
        <f>2.01*(('Alternative 2'!G57/213.36)^(2/11.5))</f>
        <v>0</v>
      </c>
      <c r="J56" s="7">
        <f>0.613*(I56*'Alternative 2'!$B$34*'Alternative 2'!$B$35*'Alternative 2'!$B$36)</f>
        <v>0</v>
      </c>
      <c r="K56" s="7">
        <f>J56*'Alternative 2'!$B$32*'Alternative 2'!$B$33*'Alternative 2'!H57</f>
        <v>0</v>
      </c>
      <c r="L56" s="7">
        <f t="shared" si="1"/>
        <v>0</v>
      </c>
      <c r="N56" s="7">
        <f>2.01*(('Alternative 3'!G57/213.36)^(2/11.5))</f>
        <v>0</v>
      </c>
      <c r="O56" s="7">
        <f>0.613*(N56*'Alternative 3'!$B$34*'Alternative 3'!$B$35*'Alternative 3'!$B$36)</f>
        <v>0</v>
      </c>
      <c r="P56" s="7">
        <f>O56*'Alternative 3'!$B$32*'Alternative 3'!$B$33*'Alternative 3'!H57</f>
        <v>0</v>
      </c>
      <c r="Q56" s="7">
        <f t="shared" si="2"/>
        <v>0</v>
      </c>
    </row>
    <row r="57" spans="1:17" x14ac:dyDescent="0.25">
      <c r="A57" s="13">
        <f t="shared" si="3"/>
        <v>55</v>
      </c>
      <c r="B57" s="13" t="e">
        <f>#REF!/4448.2216</f>
        <v>#REF!</v>
      </c>
      <c r="D57" s="7">
        <f>2.01*(('Alternative 1'!G58/213.36)^(2/11.5))</f>
        <v>0</v>
      </c>
      <c r="E57" s="7">
        <f>0.613*(D57*'Alternative 1'!$B$34*'Alternative 1'!$B$35*'Alternative 1'!$B$36)</f>
        <v>0</v>
      </c>
      <c r="F57" s="7">
        <f>E57*'Alternative 1'!$B$32*'Alternative 1'!$B$33*'Alternative 1'!H58</f>
        <v>0</v>
      </c>
      <c r="G57" s="7">
        <f t="shared" si="0"/>
        <v>0</v>
      </c>
      <c r="I57" s="7">
        <f>2.01*(('Alternative 2'!G58/213.36)^(2/11.5))</f>
        <v>0</v>
      </c>
      <c r="J57" s="7">
        <f>0.613*(I57*'Alternative 2'!$B$34*'Alternative 2'!$B$35*'Alternative 2'!$B$36)</f>
        <v>0</v>
      </c>
      <c r="K57" s="7">
        <f>J57*'Alternative 2'!$B$32*'Alternative 2'!$B$33*'Alternative 2'!H58</f>
        <v>0</v>
      </c>
      <c r="L57" s="7">
        <f t="shared" si="1"/>
        <v>0</v>
      </c>
      <c r="N57" s="7">
        <f>2.01*(('Alternative 3'!G58/213.36)^(2/11.5))</f>
        <v>0</v>
      </c>
      <c r="O57" s="7">
        <f>0.613*(N57*'Alternative 3'!$B$34*'Alternative 3'!$B$35*'Alternative 3'!$B$36)</f>
        <v>0</v>
      </c>
      <c r="P57" s="7">
        <f>O57*'Alternative 3'!$B$32*'Alternative 3'!$B$33*'Alternative 3'!H58</f>
        <v>0</v>
      </c>
      <c r="Q57" s="7">
        <f t="shared" si="2"/>
        <v>0</v>
      </c>
    </row>
    <row r="58" spans="1:17" x14ac:dyDescent="0.25">
      <c r="A58" s="13">
        <f t="shared" si="3"/>
        <v>56</v>
      </c>
      <c r="B58" s="13" t="e">
        <f>#REF!/4448.2216</f>
        <v>#REF!</v>
      </c>
      <c r="D58" s="7">
        <f>2.01*(('Alternative 1'!G59/213.36)^(2/11.5))</f>
        <v>0</v>
      </c>
      <c r="E58" s="7">
        <f>0.613*(D58*'Alternative 1'!$B$34*'Alternative 1'!$B$35*'Alternative 1'!$B$36)</f>
        <v>0</v>
      </c>
      <c r="F58" s="7">
        <f>E58*'Alternative 1'!$B$32*'Alternative 1'!$B$33*'Alternative 1'!H59</f>
        <v>0</v>
      </c>
      <c r="G58" s="7">
        <f t="shared" si="0"/>
        <v>0</v>
      </c>
      <c r="I58" s="7">
        <f>2.01*(('Alternative 2'!G59/213.36)^(2/11.5))</f>
        <v>0</v>
      </c>
      <c r="J58" s="7">
        <f>0.613*(I58*'Alternative 2'!$B$34*'Alternative 2'!$B$35*'Alternative 2'!$B$36)</f>
        <v>0</v>
      </c>
      <c r="K58" s="7">
        <f>J58*'Alternative 2'!$B$32*'Alternative 2'!$B$33*'Alternative 2'!H59</f>
        <v>0</v>
      </c>
      <c r="L58" s="7">
        <f t="shared" si="1"/>
        <v>0</v>
      </c>
      <c r="N58" s="7">
        <f>2.01*(('Alternative 3'!G59/213.36)^(2/11.5))</f>
        <v>0</v>
      </c>
      <c r="O58" s="7">
        <f>0.613*(N58*'Alternative 3'!$B$34*'Alternative 3'!$B$35*'Alternative 3'!$B$36)</f>
        <v>0</v>
      </c>
      <c r="P58" s="7">
        <f>O58*'Alternative 3'!$B$32*'Alternative 3'!$B$33*'Alternative 3'!H59</f>
        <v>0</v>
      </c>
      <c r="Q58" s="7">
        <f t="shared" si="2"/>
        <v>0</v>
      </c>
    </row>
    <row r="59" spans="1:17" x14ac:dyDescent="0.25">
      <c r="A59" s="13">
        <f t="shared" si="3"/>
        <v>57</v>
      </c>
      <c r="B59" s="13" t="e">
        <f>#REF!/4448.2216</f>
        <v>#REF!</v>
      </c>
      <c r="D59" s="7">
        <f>2.01*(('Alternative 1'!G60/213.36)^(2/11.5))</f>
        <v>0</v>
      </c>
      <c r="E59" s="7">
        <f>0.613*(D59*'Alternative 1'!$B$34*'Alternative 1'!$B$35*'Alternative 1'!$B$36)</f>
        <v>0</v>
      </c>
      <c r="F59" s="7">
        <f>E59*'Alternative 1'!$B$32*'Alternative 1'!$B$33*'Alternative 1'!H60</f>
        <v>0</v>
      </c>
      <c r="G59" s="7">
        <f t="shared" si="0"/>
        <v>0</v>
      </c>
      <c r="I59" s="7">
        <f>2.01*(('Alternative 2'!G60/213.36)^(2/11.5))</f>
        <v>0</v>
      </c>
      <c r="J59" s="7">
        <f>0.613*(I59*'Alternative 2'!$B$34*'Alternative 2'!$B$35*'Alternative 2'!$B$36)</f>
        <v>0</v>
      </c>
      <c r="K59" s="7">
        <f>J59*'Alternative 2'!$B$32*'Alternative 2'!$B$33*'Alternative 2'!H60</f>
        <v>0</v>
      </c>
      <c r="L59" s="7">
        <f t="shared" si="1"/>
        <v>0</v>
      </c>
      <c r="N59" s="7">
        <f>2.01*(('Alternative 3'!G60/213.36)^(2/11.5))</f>
        <v>0</v>
      </c>
      <c r="O59" s="7">
        <f>0.613*(N59*'Alternative 3'!$B$34*'Alternative 3'!$B$35*'Alternative 3'!$B$36)</f>
        <v>0</v>
      </c>
      <c r="P59" s="7">
        <f>O59*'Alternative 3'!$B$32*'Alternative 3'!$B$33*'Alternative 3'!H60</f>
        <v>0</v>
      </c>
      <c r="Q59" s="7">
        <f t="shared" si="2"/>
        <v>0</v>
      </c>
    </row>
    <row r="60" spans="1:17" x14ac:dyDescent="0.25">
      <c r="A60" s="13">
        <f t="shared" si="3"/>
        <v>58</v>
      </c>
      <c r="B60" s="13" t="e">
        <f>#REF!/4448.2216</f>
        <v>#REF!</v>
      </c>
      <c r="D60" s="7">
        <f>2.01*(('Alternative 1'!G61/213.36)^(2/11.5))</f>
        <v>0</v>
      </c>
      <c r="E60" s="7">
        <f>0.613*(D60*'Alternative 1'!$B$34*'Alternative 1'!$B$35*'Alternative 1'!$B$36)</f>
        <v>0</v>
      </c>
      <c r="F60" s="7">
        <f>E60*'Alternative 1'!$B$32*'Alternative 1'!$B$33*'Alternative 1'!H61</f>
        <v>0</v>
      </c>
      <c r="G60" s="7">
        <f t="shared" si="0"/>
        <v>0</v>
      </c>
      <c r="I60" s="7">
        <f>2.01*(('Alternative 2'!G61/213.36)^(2/11.5))</f>
        <v>0</v>
      </c>
      <c r="J60" s="7">
        <f>0.613*(I60*'Alternative 2'!$B$34*'Alternative 2'!$B$35*'Alternative 2'!$B$36)</f>
        <v>0</v>
      </c>
      <c r="K60" s="7">
        <f>J60*'Alternative 2'!$B$32*'Alternative 2'!$B$33*'Alternative 2'!H61</f>
        <v>0</v>
      </c>
      <c r="L60" s="7">
        <f t="shared" si="1"/>
        <v>0</v>
      </c>
      <c r="N60" s="7">
        <f>2.01*(('Alternative 3'!G61/213.36)^(2/11.5))</f>
        <v>0</v>
      </c>
      <c r="O60" s="7">
        <f>0.613*(N60*'Alternative 3'!$B$34*'Alternative 3'!$B$35*'Alternative 3'!$B$36)</f>
        <v>0</v>
      </c>
      <c r="P60" s="7">
        <f>O60*'Alternative 3'!$B$32*'Alternative 3'!$B$33*'Alternative 3'!H61</f>
        <v>0</v>
      </c>
      <c r="Q60" s="7">
        <f t="shared" si="2"/>
        <v>0</v>
      </c>
    </row>
    <row r="61" spans="1:17" x14ac:dyDescent="0.25">
      <c r="A61" s="13">
        <f t="shared" si="3"/>
        <v>59</v>
      </c>
      <c r="B61" s="13" t="e">
        <f>#REF!/4448.2216</f>
        <v>#REF!</v>
      </c>
      <c r="D61" s="7">
        <f>2.01*(('Alternative 1'!G62/213.36)^(2/11.5))</f>
        <v>0</v>
      </c>
      <c r="E61" s="7">
        <f>0.613*(D61*'Alternative 1'!$B$34*'Alternative 1'!$B$35*'Alternative 1'!$B$36)</f>
        <v>0</v>
      </c>
      <c r="F61" s="7">
        <f>E61*'Alternative 1'!$B$32*'Alternative 1'!$B$33*'Alternative 1'!H62</f>
        <v>0</v>
      </c>
      <c r="G61" s="7">
        <f t="shared" si="0"/>
        <v>0</v>
      </c>
      <c r="I61" s="7">
        <f>2.01*(('Alternative 2'!G62/213.36)^(2/11.5))</f>
        <v>0</v>
      </c>
      <c r="J61" s="7">
        <f>0.613*(I61*'Alternative 2'!$B$34*'Alternative 2'!$B$35*'Alternative 2'!$B$36)</f>
        <v>0</v>
      </c>
      <c r="K61" s="7">
        <f>J61*'Alternative 2'!$B$32*'Alternative 2'!$B$33*'Alternative 2'!H62</f>
        <v>0</v>
      </c>
      <c r="L61" s="7">
        <f t="shared" si="1"/>
        <v>0</v>
      </c>
      <c r="N61" s="7">
        <f>2.01*(('Alternative 3'!G62/213.36)^(2/11.5))</f>
        <v>0</v>
      </c>
      <c r="O61" s="7">
        <f>0.613*(N61*'Alternative 3'!$B$34*'Alternative 3'!$B$35*'Alternative 3'!$B$36)</f>
        <v>0</v>
      </c>
      <c r="P61" s="7">
        <f>O61*'Alternative 3'!$B$32*'Alternative 3'!$B$33*'Alternative 3'!H62</f>
        <v>0</v>
      </c>
      <c r="Q61" s="7">
        <f t="shared" si="2"/>
        <v>0</v>
      </c>
    </row>
    <row r="62" spans="1:17" x14ac:dyDescent="0.25">
      <c r="A62" s="13">
        <f t="shared" si="3"/>
        <v>60</v>
      </c>
      <c r="B62" s="13" t="e">
        <f>#REF!/4448.2216</f>
        <v>#REF!</v>
      </c>
      <c r="D62" s="7">
        <f>2.01*(('Alternative 1'!G63/213.36)^(2/11.5))</f>
        <v>0</v>
      </c>
      <c r="E62" s="7">
        <f>0.613*(D62*'Alternative 1'!$B$34*'Alternative 1'!$B$35*'Alternative 1'!$B$36)</f>
        <v>0</v>
      </c>
      <c r="F62" s="7">
        <f>E62*'Alternative 1'!$B$32*'Alternative 1'!$B$33*'Alternative 1'!H63</f>
        <v>0</v>
      </c>
      <c r="G62" s="7">
        <f t="shared" si="0"/>
        <v>0</v>
      </c>
      <c r="I62" s="7">
        <f>2.01*(('Alternative 2'!G63/213.36)^(2/11.5))</f>
        <v>0</v>
      </c>
      <c r="J62" s="7">
        <f>0.613*(I62*'Alternative 2'!$B$34*'Alternative 2'!$B$35*'Alternative 2'!$B$36)</f>
        <v>0</v>
      </c>
      <c r="K62" s="7">
        <f>J62*'Alternative 2'!$B$32*'Alternative 2'!$B$33*'Alternative 2'!H63</f>
        <v>0</v>
      </c>
      <c r="L62" s="7">
        <f t="shared" si="1"/>
        <v>0</v>
      </c>
      <c r="N62" s="7">
        <f>2.01*(('Alternative 3'!G63/213.36)^(2/11.5))</f>
        <v>0</v>
      </c>
      <c r="O62" s="7">
        <f>0.613*(N62*'Alternative 3'!$B$34*'Alternative 3'!$B$35*'Alternative 3'!$B$36)</f>
        <v>0</v>
      </c>
      <c r="P62" s="7">
        <f>O62*'Alternative 3'!$B$32*'Alternative 3'!$B$33*'Alternative 3'!H63</f>
        <v>0</v>
      </c>
      <c r="Q62" s="7">
        <f t="shared" si="2"/>
        <v>0</v>
      </c>
    </row>
    <row r="63" spans="1:17" x14ac:dyDescent="0.25">
      <c r="A63" s="13">
        <f t="shared" si="3"/>
        <v>61</v>
      </c>
      <c r="B63" s="13" t="e">
        <f>#REF!/4448.2216</f>
        <v>#REF!</v>
      </c>
      <c r="D63" s="7">
        <f>2.01*(('Alternative 1'!G64/213.36)^(2/11.5))</f>
        <v>0</v>
      </c>
      <c r="E63" s="7">
        <f>0.613*(D63*'Alternative 1'!$B$34*'Alternative 1'!$B$35*'Alternative 1'!$B$36)</f>
        <v>0</v>
      </c>
      <c r="F63" s="7">
        <f>E63*'Alternative 1'!$B$32*'Alternative 1'!$B$33*'Alternative 1'!H64</f>
        <v>0</v>
      </c>
      <c r="G63" s="7">
        <f t="shared" si="0"/>
        <v>0</v>
      </c>
      <c r="I63" s="7">
        <f>2.01*(('Alternative 2'!G64/213.36)^(2/11.5))</f>
        <v>0</v>
      </c>
      <c r="J63" s="7">
        <f>0.613*(I63*'Alternative 2'!$B$34*'Alternative 2'!$B$35*'Alternative 2'!$B$36)</f>
        <v>0</v>
      </c>
      <c r="K63" s="7">
        <f>J63*'Alternative 2'!$B$32*'Alternative 2'!$B$33*'Alternative 2'!H64</f>
        <v>0</v>
      </c>
      <c r="L63" s="7">
        <f t="shared" si="1"/>
        <v>0</v>
      </c>
      <c r="N63" s="7">
        <f>2.01*(('Alternative 3'!G64/213.36)^(2/11.5))</f>
        <v>0</v>
      </c>
      <c r="O63" s="7">
        <f>0.613*(N63*'Alternative 3'!$B$34*'Alternative 3'!$B$35*'Alternative 3'!$B$36)</f>
        <v>0</v>
      </c>
      <c r="P63" s="7">
        <f>O63*'Alternative 3'!$B$32*'Alternative 3'!$B$33*'Alternative 3'!H64</f>
        <v>0</v>
      </c>
      <c r="Q63" s="7">
        <f t="shared" si="2"/>
        <v>0</v>
      </c>
    </row>
    <row r="64" spans="1:17" x14ac:dyDescent="0.25">
      <c r="A64" s="13">
        <f t="shared" si="3"/>
        <v>62</v>
      </c>
      <c r="B64" s="13" t="e">
        <f>#REF!/4448.2216</f>
        <v>#REF!</v>
      </c>
      <c r="D64" s="7">
        <f>2.01*(('Alternative 1'!G65/213.36)^(2/11.5))</f>
        <v>0</v>
      </c>
      <c r="E64" s="7">
        <f>0.613*(D64*'Alternative 1'!$B$34*'Alternative 1'!$B$35*'Alternative 1'!$B$36)</f>
        <v>0</v>
      </c>
      <c r="F64" s="7">
        <f>E64*'Alternative 1'!$B$32*'Alternative 1'!$B$33*'Alternative 1'!H65</f>
        <v>0</v>
      </c>
      <c r="G64" s="7">
        <f t="shared" si="0"/>
        <v>0</v>
      </c>
      <c r="I64" s="7">
        <f>2.01*(('Alternative 2'!G65/213.36)^(2/11.5))</f>
        <v>0</v>
      </c>
      <c r="J64" s="7">
        <f>0.613*(I64*'Alternative 2'!$B$34*'Alternative 2'!$B$35*'Alternative 2'!$B$36)</f>
        <v>0</v>
      </c>
      <c r="K64" s="7">
        <f>J64*'Alternative 2'!$B$32*'Alternative 2'!$B$33*'Alternative 2'!H65</f>
        <v>0</v>
      </c>
      <c r="L64" s="7">
        <f t="shared" si="1"/>
        <v>0</v>
      </c>
      <c r="N64" s="7">
        <f>2.01*(('Alternative 3'!G65/213.36)^(2/11.5))</f>
        <v>0</v>
      </c>
      <c r="O64" s="7">
        <f>0.613*(N64*'Alternative 3'!$B$34*'Alternative 3'!$B$35*'Alternative 3'!$B$36)</f>
        <v>0</v>
      </c>
      <c r="P64" s="7">
        <f>O64*'Alternative 3'!$B$32*'Alternative 3'!$B$33*'Alternative 3'!H65</f>
        <v>0</v>
      </c>
      <c r="Q64" s="7">
        <f t="shared" si="2"/>
        <v>0</v>
      </c>
    </row>
    <row r="65" spans="1:17" x14ac:dyDescent="0.25">
      <c r="A65" s="13">
        <f t="shared" si="3"/>
        <v>63</v>
      </c>
      <c r="B65" s="13" t="e">
        <f>#REF!/4448.2216</f>
        <v>#REF!</v>
      </c>
      <c r="D65" s="7">
        <f>2.01*(('Alternative 1'!G66/213.36)^(2/11.5))</f>
        <v>0</v>
      </c>
      <c r="E65" s="7">
        <f>0.613*(D65*'Alternative 1'!$B$34*'Alternative 1'!$B$35*'Alternative 1'!$B$36)</f>
        <v>0</v>
      </c>
      <c r="F65" s="7">
        <f>E65*'Alternative 1'!$B$32*'Alternative 1'!$B$33*'Alternative 1'!H66</f>
        <v>0</v>
      </c>
      <c r="G65" s="7">
        <f t="shared" si="0"/>
        <v>0</v>
      </c>
      <c r="I65" s="7">
        <f>2.01*(('Alternative 2'!G66/213.36)^(2/11.5))</f>
        <v>0</v>
      </c>
      <c r="J65" s="7">
        <f>0.613*(I65*'Alternative 2'!$B$34*'Alternative 2'!$B$35*'Alternative 2'!$B$36)</f>
        <v>0</v>
      </c>
      <c r="K65" s="7">
        <f>J65*'Alternative 2'!$B$32*'Alternative 2'!$B$33*'Alternative 2'!H66</f>
        <v>0</v>
      </c>
      <c r="L65" s="7">
        <f t="shared" si="1"/>
        <v>0</v>
      </c>
      <c r="N65" s="7">
        <f>2.01*(('Alternative 3'!G66/213.36)^(2/11.5))</f>
        <v>0</v>
      </c>
      <c r="O65" s="7">
        <f>0.613*(N65*'Alternative 3'!$B$34*'Alternative 3'!$B$35*'Alternative 3'!$B$36)</f>
        <v>0</v>
      </c>
      <c r="P65" s="7">
        <f>O65*'Alternative 3'!$B$32*'Alternative 3'!$B$33*'Alternative 3'!H66</f>
        <v>0</v>
      </c>
      <c r="Q65" s="7">
        <f t="shared" si="2"/>
        <v>0</v>
      </c>
    </row>
    <row r="66" spans="1:17" x14ac:dyDescent="0.25">
      <c r="A66" s="13">
        <f t="shared" si="3"/>
        <v>64</v>
      </c>
      <c r="B66" s="13" t="e">
        <f>#REF!/4448.2216</f>
        <v>#REF!</v>
      </c>
      <c r="D66" s="7">
        <f>2.01*(('Alternative 1'!G67/213.36)^(2/11.5))</f>
        <v>0</v>
      </c>
      <c r="E66" s="7">
        <f>0.613*(D66*'Alternative 1'!$B$34*'Alternative 1'!$B$35*'Alternative 1'!$B$36)</f>
        <v>0</v>
      </c>
      <c r="F66" s="7">
        <f>E66*'Alternative 1'!$B$32*'Alternative 1'!$B$33*'Alternative 1'!H67</f>
        <v>0</v>
      </c>
      <c r="G66" s="7">
        <f t="shared" si="0"/>
        <v>0</v>
      </c>
      <c r="I66" s="7">
        <f>2.01*(('Alternative 2'!G67/213.36)^(2/11.5))</f>
        <v>0</v>
      </c>
      <c r="J66" s="7">
        <f>0.613*(I66*'Alternative 2'!$B$34*'Alternative 2'!$B$35*'Alternative 2'!$B$36)</f>
        <v>0</v>
      </c>
      <c r="K66" s="7">
        <f>J66*'Alternative 2'!$B$32*'Alternative 2'!$B$33*'Alternative 2'!H67</f>
        <v>0</v>
      </c>
      <c r="L66" s="7">
        <f t="shared" si="1"/>
        <v>0</v>
      </c>
      <c r="N66" s="7">
        <f>2.01*(('Alternative 3'!G67/213.36)^(2/11.5))</f>
        <v>0</v>
      </c>
      <c r="O66" s="7">
        <f>0.613*(N66*'Alternative 3'!$B$34*'Alternative 3'!$B$35*'Alternative 3'!$B$36)</f>
        <v>0</v>
      </c>
      <c r="P66" s="7">
        <f>O66*'Alternative 3'!$B$32*'Alternative 3'!$B$33*'Alternative 3'!H67</f>
        <v>0</v>
      </c>
      <c r="Q66" s="7">
        <f t="shared" si="2"/>
        <v>0</v>
      </c>
    </row>
    <row r="67" spans="1:17" x14ac:dyDescent="0.25">
      <c r="A67" s="13">
        <f t="shared" si="3"/>
        <v>65</v>
      </c>
      <c r="B67" s="13" t="e">
        <f>#REF!/4448.2216</f>
        <v>#REF!</v>
      </c>
      <c r="D67" s="7">
        <f>2.01*(('Alternative 1'!G68/213.36)^(2/11.5))</f>
        <v>0</v>
      </c>
      <c r="E67" s="7">
        <f>0.613*(D67*'Alternative 1'!$B$34*'Alternative 1'!$B$35*'Alternative 1'!$B$36)</f>
        <v>0</v>
      </c>
      <c r="F67" s="7">
        <f>E67*'Alternative 1'!$B$32*'Alternative 1'!$B$33*'Alternative 1'!H68</f>
        <v>0</v>
      </c>
      <c r="G67" s="7">
        <f t="shared" si="0"/>
        <v>0</v>
      </c>
      <c r="I67" s="7">
        <f>2.01*(('Alternative 2'!G68/213.36)^(2/11.5))</f>
        <v>0</v>
      </c>
      <c r="J67" s="7">
        <f>0.613*(I67*'Alternative 2'!$B$34*'Alternative 2'!$B$35*'Alternative 2'!$B$36)</f>
        <v>0</v>
      </c>
      <c r="K67" s="7">
        <f>J67*'Alternative 2'!$B$32*'Alternative 2'!$B$33*'Alternative 2'!H68</f>
        <v>0</v>
      </c>
      <c r="L67" s="7">
        <f t="shared" si="1"/>
        <v>0</v>
      </c>
      <c r="N67" s="7">
        <f>2.01*(('Alternative 3'!G68/213.36)^(2/11.5))</f>
        <v>0</v>
      </c>
      <c r="O67" s="7">
        <f>0.613*(N67*'Alternative 3'!$B$34*'Alternative 3'!$B$35*'Alternative 3'!$B$36)</f>
        <v>0</v>
      </c>
      <c r="P67" s="7">
        <f>O67*'Alternative 3'!$B$32*'Alternative 3'!$B$33*'Alternative 3'!H68</f>
        <v>0</v>
      </c>
      <c r="Q67" s="7">
        <f t="shared" si="2"/>
        <v>0</v>
      </c>
    </row>
    <row r="68" spans="1:17" x14ac:dyDescent="0.25">
      <c r="A68" s="13">
        <f t="shared" si="3"/>
        <v>66</v>
      </c>
      <c r="B68" s="13" t="e">
        <f>#REF!/4448.2216</f>
        <v>#REF!</v>
      </c>
      <c r="D68" s="7">
        <f>2.01*(('Alternative 1'!G69/213.36)^(2/11.5))</f>
        <v>0</v>
      </c>
      <c r="E68" s="7">
        <f>0.613*(D68*'Alternative 1'!$B$34*'Alternative 1'!$B$35*'Alternative 1'!$B$36)</f>
        <v>0</v>
      </c>
      <c r="F68" s="7">
        <f>E68*'Alternative 1'!$B$32*'Alternative 1'!$B$33*'Alternative 1'!H69</f>
        <v>0</v>
      </c>
      <c r="G68" s="7">
        <f>F68/4448.2216</f>
        <v>0</v>
      </c>
      <c r="I68" s="7">
        <f>2.01*(('Alternative 2'!G69/213.36)^(2/11.5))</f>
        <v>0</v>
      </c>
      <c r="J68" s="7">
        <f>0.613*(I68*'Alternative 2'!$B$34*'Alternative 2'!$B$35*'Alternative 2'!$B$36)</f>
        <v>0</v>
      </c>
      <c r="K68" s="7">
        <f>J68*'Alternative 2'!$B$32*'Alternative 2'!$B$33*'Alternative 2'!H69</f>
        <v>0</v>
      </c>
      <c r="L68" s="7">
        <f>K68/4448.2216</f>
        <v>0</v>
      </c>
      <c r="N68" s="7">
        <f>2.01*(('Alternative 3'!G69/213.36)^(2/11.5))</f>
        <v>0</v>
      </c>
      <c r="O68" s="7">
        <f>0.613*(N68*'Alternative 3'!$B$34*'Alternative 3'!$B$35*'Alternative 3'!$B$36)</f>
        <v>0</v>
      </c>
      <c r="P68" s="7">
        <f>O68*'Alternative 3'!$B$32*'Alternative 3'!$B$33*'Alternative 3'!H69</f>
        <v>0</v>
      </c>
      <c r="Q68" s="7">
        <f>P68/4448.2216</f>
        <v>0</v>
      </c>
    </row>
    <row r="69" spans="1:17" x14ac:dyDescent="0.25">
      <c r="A69" s="13">
        <f>A68+1</f>
        <v>67</v>
      </c>
      <c r="B69" s="13" t="e">
        <f>#REF!/4448.2216</f>
        <v>#REF!</v>
      </c>
      <c r="D69" s="7">
        <f>2.01*(('Alternative 1'!G70/213.36)^(2/11.5))</f>
        <v>0</v>
      </c>
      <c r="E69" s="7">
        <f>0.613*(D69*'Alternative 1'!$B$34*'Alternative 1'!$B$35*'Alternative 1'!$B$36)</f>
        <v>0</v>
      </c>
      <c r="F69" s="7">
        <f>E69*'Alternative 1'!$B$32*'Alternative 1'!$B$33*'Alternative 1'!H70</f>
        <v>0</v>
      </c>
      <c r="G69" s="7">
        <f>F69/4448.2216</f>
        <v>0</v>
      </c>
      <c r="I69" s="7">
        <f>2.01*(('Alternative 2'!G70/213.36)^(2/11.5))</f>
        <v>0</v>
      </c>
      <c r="J69" s="7">
        <f>0.613*(I69*'Alternative 2'!$B$34*'Alternative 2'!$B$35*'Alternative 2'!$B$36)</f>
        <v>0</v>
      </c>
      <c r="K69" s="7">
        <f>J69*'Alternative 2'!$B$32*'Alternative 2'!$B$33*'Alternative 2'!H70</f>
        <v>0</v>
      </c>
      <c r="L69" s="7">
        <f>K69/4448.2216</f>
        <v>0</v>
      </c>
      <c r="N69" s="7">
        <f>2.01*(('Alternative 3'!G70/213.36)^(2/11.5))</f>
        <v>0</v>
      </c>
      <c r="O69" s="7">
        <f>0.613*(N69*'Alternative 3'!$B$34*'Alternative 3'!$B$35*'Alternative 3'!$B$36)</f>
        <v>0</v>
      </c>
      <c r="P69" s="7">
        <f>O69*'Alternative 3'!$B$32*'Alternative 3'!$B$33*'Alternative 3'!H70</f>
        <v>0</v>
      </c>
      <c r="Q69" s="7">
        <f>P69/4448.2216</f>
        <v>0</v>
      </c>
    </row>
    <row r="70" spans="1:17" x14ac:dyDescent="0.25">
      <c r="A70" s="13">
        <f t="shared" ref="A70:A92" si="4">A69+1</f>
        <v>68</v>
      </c>
      <c r="D70" s="7">
        <f>2.01*(('Alternative 1'!G71/213.36)^(2/11.5))</f>
        <v>0</v>
      </c>
      <c r="E70" s="7">
        <f>0.613*(D70*'Alternative 1'!$B$34*'Alternative 1'!$B$35*'Alternative 1'!$B$36)</f>
        <v>0</v>
      </c>
      <c r="F70" s="7">
        <f>E70*'Alternative 1'!$B$32*'Alternative 1'!$B$33*'Alternative 1'!H71</f>
        <v>0</v>
      </c>
      <c r="I70" s="7">
        <f>2.01*(('Alternative 2'!G71/213.36)^(2/11.5))</f>
        <v>0</v>
      </c>
      <c r="J70" s="7">
        <f>0.613*(I70*'Alternative 2'!$B$34*'Alternative 2'!$B$35*'Alternative 2'!$B$36)</f>
        <v>0</v>
      </c>
      <c r="K70" s="7">
        <f>J70*'Alternative 2'!$B$32*'Alternative 2'!$B$33*'Alternative 2'!H71</f>
        <v>0</v>
      </c>
      <c r="N70" s="7">
        <f>2.01*(('Alternative 3'!G71/213.36)^(2/11.5))</f>
        <v>0</v>
      </c>
      <c r="O70" s="7">
        <f>0.613*(N70*'Alternative 3'!$B$34*'Alternative 3'!$B$35*'Alternative 3'!$B$36)</f>
        <v>0</v>
      </c>
      <c r="P70" s="7">
        <f>O70*'Alternative 3'!$B$32*'Alternative 3'!$B$33*'Alternative 3'!H71</f>
        <v>0</v>
      </c>
    </row>
    <row r="71" spans="1:17" x14ac:dyDescent="0.25">
      <c r="A71" s="13">
        <f t="shared" si="4"/>
        <v>69</v>
      </c>
      <c r="D71" s="7">
        <f>2.01*(('Alternative 1'!G72/213.36)^(2/11.5))</f>
        <v>0</v>
      </c>
      <c r="E71" s="7">
        <f>0.613*(D71*'Alternative 1'!$B$34*'Alternative 1'!$B$35*'Alternative 1'!$B$36)</f>
        <v>0</v>
      </c>
      <c r="F71" s="7">
        <f>E71*'Alternative 1'!$B$32*'Alternative 1'!$B$33*'Alternative 1'!H72</f>
        <v>0</v>
      </c>
      <c r="I71" s="7">
        <f>2.01*(('Alternative 2'!G72/213.36)^(2/11.5))</f>
        <v>0</v>
      </c>
      <c r="J71" s="7">
        <f>0.613*(I71*'Alternative 2'!$B$34*'Alternative 2'!$B$35*'Alternative 2'!$B$36)</f>
        <v>0</v>
      </c>
      <c r="K71" s="7">
        <f>J71*'Alternative 2'!$B$32*'Alternative 2'!$B$33*'Alternative 2'!H72</f>
        <v>0</v>
      </c>
      <c r="N71" s="7">
        <f>2.01*(('Alternative 3'!G72/213.36)^(2/11.5))</f>
        <v>0</v>
      </c>
      <c r="O71" s="7">
        <f>0.613*(N71*'Alternative 3'!$B$34*'Alternative 3'!$B$35*'Alternative 3'!$B$36)</f>
        <v>0</v>
      </c>
      <c r="P71" s="7">
        <f>O71*'Alternative 3'!$B$32*'Alternative 3'!$B$33*'Alternative 3'!H72</f>
        <v>0</v>
      </c>
    </row>
    <row r="72" spans="1:17" x14ac:dyDescent="0.25">
      <c r="A72" s="13">
        <f t="shared" si="4"/>
        <v>70</v>
      </c>
      <c r="D72" s="7">
        <f>2.01*(('Alternative 1'!G73/213.36)^(2/11.5))</f>
        <v>0</v>
      </c>
      <c r="E72" s="7">
        <f>0.613*(D72*'Alternative 1'!$B$34*'Alternative 1'!$B$35*'Alternative 1'!$B$36)</f>
        <v>0</v>
      </c>
      <c r="F72" s="7">
        <f>E72*'Alternative 1'!$B$32*'Alternative 1'!$B$33*'Alternative 1'!H73</f>
        <v>0</v>
      </c>
      <c r="I72" s="7">
        <f>2.01*(('Alternative 2'!G73/213.36)^(2/11.5))</f>
        <v>0</v>
      </c>
      <c r="J72" s="7">
        <f>0.613*(I72*'Alternative 2'!$B$34*'Alternative 2'!$B$35*'Alternative 2'!$B$36)</f>
        <v>0</v>
      </c>
      <c r="K72" s="7">
        <f>J72*'Alternative 2'!$B$32*'Alternative 2'!$B$33*'Alternative 2'!H73</f>
        <v>0</v>
      </c>
      <c r="N72" s="7">
        <f>2.01*(('Alternative 3'!G73/213.36)^(2/11.5))</f>
        <v>0</v>
      </c>
      <c r="O72" s="7">
        <f>0.613*(N72*'Alternative 3'!$B$34*'Alternative 3'!$B$35*'Alternative 3'!$B$36)</f>
        <v>0</v>
      </c>
      <c r="P72" s="7">
        <f>O72*'Alternative 3'!$B$32*'Alternative 3'!$B$33*'Alternative 3'!H73</f>
        <v>0</v>
      </c>
    </row>
    <row r="73" spans="1:17" x14ac:dyDescent="0.25">
      <c r="A73" s="13">
        <f t="shared" si="4"/>
        <v>71</v>
      </c>
      <c r="D73" s="7">
        <f>2.01*(('Alternative 1'!G74/213.36)^(2/11.5))</f>
        <v>0</v>
      </c>
      <c r="E73" s="7">
        <f>0.613*(D73*'Alternative 1'!$B$34*'Alternative 1'!$B$35*'Alternative 1'!$B$36)</f>
        <v>0</v>
      </c>
      <c r="F73" s="7">
        <f>E73*'Alternative 1'!$B$32*'Alternative 1'!$B$33*'Alternative 1'!H74</f>
        <v>0</v>
      </c>
      <c r="I73" s="7">
        <f>2.01*(('Alternative 2'!G74/213.36)^(2/11.5))</f>
        <v>0</v>
      </c>
      <c r="J73" s="7">
        <f>0.613*(I73*'Alternative 2'!$B$34*'Alternative 2'!$B$35*'Alternative 2'!$B$36)</f>
        <v>0</v>
      </c>
      <c r="K73" s="7">
        <f>J73*'Alternative 2'!$B$32*'Alternative 2'!$B$33*'Alternative 2'!H74</f>
        <v>0</v>
      </c>
      <c r="N73" s="7">
        <f>2.01*(('Alternative 3'!G74/213.36)^(2/11.5))</f>
        <v>0</v>
      </c>
      <c r="O73" s="7">
        <f>0.613*(N73*'Alternative 3'!$B$34*'Alternative 3'!$B$35*'Alternative 3'!$B$36)</f>
        <v>0</v>
      </c>
      <c r="P73" s="7">
        <f>O73*'Alternative 3'!$B$32*'Alternative 3'!$B$33*'Alternative 3'!H74</f>
        <v>0</v>
      </c>
    </row>
    <row r="74" spans="1:17" x14ac:dyDescent="0.25">
      <c r="A74" s="13">
        <f t="shared" si="4"/>
        <v>72</v>
      </c>
      <c r="D74" s="7">
        <f>2.01*(('Alternative 1'!G75/213.36)^(2/11.5))</f>
        <v>0</v>
      </c>
      <c r="E74" s="7">
        <f>0.613*(D74*'Alternative 1'!$B$34*'Alternative 1'!$B$35*'Alternative 1'!$B$36)</f>
        <v>0</v>
      </c>
      <c r="F74" s="7">
        <f>E74*'Alternative 1'!$B$32*'Alternative 1'!$B$33*'Alternative 1'!H75</f>
        <v>0</v>
      </c>
      <c r="I74" s="7">
        <f>2.01*(('Alternative 2'!G75/213.36)^(2/11.5))</f>
        <v>0</v>
      </c>
      <c r="J74" s="7">
        <f>0.613*(I74*'Alternative 2'!$B$34*'Alternative 2'!$B$35*'Alternative 2'!$B$36)</f>
        <v>0</v>
      </c>
      <c r="K74" s="7">
        <f>J74*'Alternative 2'!$B$32*'Alternative 2'!$B$33*'Alternative 2'!H75</f>
        <v>0</v>
      </c>
      <c r="N74" s="7">
        <f>2.01*(('Alternative 3'!G75/213.36)^(2/11.5))</f>
        <v>0</v>
      </c>
      <c r="O74" s="7">
        <f>0.613*(N74*'Alternative 3'!$B$34*'Alternative 3'!$B$35*'Alternative 3'!$B$36)</f>
        <v>0</v>
      </c>
      <c r="P74" s="7">
        <f>O74*'Alternative 3'!$B$32*'Alternative 3'!$B$33*'Alternative 3'!H75</f>
        <v>0</v>
      </c>
    </row>
    <row r="75" spans="1:17" x14ac:dyDescent="0.25">
      <c r="A75" s="13">
        <f t="shared" si="4"/>
        <v>73</v>
      </c>
      <c r="D75" s="7">
        <f>2.01*(('Alternative 1'!G76/213.36)^(2/11.5))</f>
        <v>0</v>
      </c>
      <c r="E75" s="7">
        <f>0.613*(D75*'Alternative 1'!$B$34*'Alternative 1'!$B$35*'Alternative 1'!$B$36)</f>
        <v>0</v>
      </c>
      <c r="F75" s="7">
        <f>E75*'Alternative 1'!$B$32*'Alternative 1'!$B$33*'Alternative 1'!H76</f>
        <v>0</v>
      </c>
      <c r="I75" s="7">
        <f>2.01*(('Alternative 2'!G76/213.36)^(2/11.5))</f>
        <v>0</v>
      </c>
      <c r="J75" s="7">
        <f>0.613*(I75*'Alternative 2'!$B$34*'Alternative 2'!$B$35*'Alternative 2'!$B$36)</f>
        <v>0</v>
      </c>
      <c r="K75" s="7">
        <f>J75*'Alternative 2'!$B$32*'Alternative 2'!$B$33*'Alternative 2'!H76</f>
        <v>0</v>
      </c>
      <c r="N75" s="7">
        <f>2.01*(('Alternative 3'!G76/213.36)^(2/11.5))</f>
        <v>0</v>
      </c>
      <c r="O75" s="7">
        <f>0.613*(N75*'Alternative 3'!$B$34*'Alternative 3'!$B$35*'Alternative 3'!$B$36)</f>
        <v>0</v>
      </c>
      <c r="P75" s="7">
        <f>O75*'Alternative 3'!$B$32*'Alternative 3'!$B$33*'Alternative 3'!H76</f>
        <v>0</v>
      </c>
    </row>
    <row r="76" spans="1:17" x14ac:dyDescent="0.25">
      <c r="A76" s="13">
        <f t="shared" si="4"/>
        <v>74</v>
      </c>
      <c r="D76" s="7">
        <f>2.01*(('Alternative 1'!G77/213.36)^(2/11.5))</f>
        <v>0</v>
      </c>
      <c r="E76" s="7">
        <f>0.613*(D76*'Alternative 1'!$B$34*'Alternative 1'!$B$35*'Alternative 1'!$B$36)</f>
        <v>0</v>
      </c>
      <c r="F76" s="7">
        <f>E76*'Alternative 1'!$B$32*'Alternative 1'!$B$33*'Alternative 1'!H77</f>
        <v>0</v>
      </c>
      <c r="I76" s="7">
        <f>2.01*(('Alternative 2'!G77/213.36)^(2/11.5))</f>
        <v>0</v>
      </c>
      <c r="J76" s="7">
        <f>0.613*(I76*'Alternative 2'!$B$34*'Alternative 2'!$B$35*'Alternative 2'!$B$36)</f>
        <v>0</v>
      </c>
      <c r="K76" s="7">
        <f>J76*'Alternative 2'!$B$32*'Alternative 2'!$B$33*'Alternative 2'!H77</f>
        <v>0</v>
      </c>
      <c r="N76" s="7">
        <f>2.01*(('Alternative 3'!G77/213.36)^(2/11.5))</f>
        <v>0</v>
      </c>
      <c r="O76" s="7">
        <f>0.613*(N76*'Alternative 3'!$B$34*'Alternative 3'!$B$35*'Alternative 3'!$B$36)</f>
        <v>0</v>
      </c>
      <c r="P76" s="7">
        <f>O76*'Alternative 3'!$B$32*'Alternative 3'!$B$33*'Alternative 3'!H77</f>
        <v>0</v>
      </c>
    </row>
    <row r="77" spans="1:17" x14ac:dyDescent="0.25">
      <c r="A77" s="13">
        <f t="shared" si="4"/>
        <v>75</v>
      </c>
      <c r="D77" s="7">
        <f>2.01*(('Alternative 1'!G78/213.36)^(2/11.5))</f>
        <v>0</v>
      </c>
      <c r="E77" s="7">
        <f>0.613*(D77*'Alternative 1'!$B$34*'Alternative 1'!$B$35*'Alternative 1'!$B$36)</f>
        <v>0</v>
      </c>
      <c r="F77" s="7">
        <f>E77*'Alternative 1'!$B$32*'Alternative 1'!$B$33*'Alternative 1'!H78</f>
        <v>0</v>
      </c>
      <c r="I77" s="7">
        <f>2.01*(('Alternative 2'!G78/213.36)^(2/11.5))</f>
        <v>0</v>
      </c>
      <c r="J77" s="7">
        <f>0.613*(I77*'Alternative 2'!$B$34*'Alternative 2'!$B$35*'Alternative 2'!$B$36)</f>
        <v>0</v>
      </c>
      <c r="K77" s="7">
        <f>J77*'Alternative 2'!$B$32*'Alternative 2'!$B$33*'Alternative 2'!H78</f>
        <v>0</v>
      </c>
      <c r="N77" s="7">
        <f>2.01*(('Alternative 3'!G78/213.36)^(2/11.5))</f>
        <v>0</v>
      </c>
      <c r="O77" s="7">
        <f>0.613*(N77*'Alternative 3'!$B$34*'Alternative 3'!$B$35*'Alternative 3'!$B$36)</f>
        <v>0</v>
      </c>
      <c r="P77" s="7">
        <f>O77*'Alternative 3'!$B$32*'Alternative 3'!$B$33*'Alternative 3'!H78</f>
        <v>0</v>
      </c>
    </row>
    <row r="78" spans="1:17" x14ac:dyDescent="0.25">
      <c r="A78" s="13">
        <f t="shared" si="4"/>
        <v>76</v>
      </c>
      <c r="D78" s="7">
        <f>2.01*(('Alternative 1'!G79/213.36)^(2/11.5))</f>
        <v>0</v>
      </c>
      <c r="E78" s="7">
        <f>0.613*(D78*'Alternative 1'!$B$34*'Alternative 1'!$B$35*'Alternative 1'!$B$36)</f>
        <v>0</v>
      </c>
      <c r="F78" s="7">
        <f>E78*'Alternative 1'!$B$32*'Alternative 1'!$B$33*'Alternative 1'!H79</f>
        <v>0</v>
      </c>
      <c r="I78" s="7">
        <f>2.01*(('Alternative 2'!G79/213.36)^(2/11.5))</f>
        <v>0</v>
      </c>
      <c r="J78" s="7">
        <f>0.613*(I78*'Alternative 2'!$B$34*'Alternative 2'!$B$35*'Alternative 2'!$B$36)</f>
        <v>0</v>
      </c>
      <c r="K78" s="7">
        <f>J78*'Alternative 2'!$B$32*'Alternative 2'!$B$33*'Alternative 2'!H79</f>
        <v>0</v>
      </c>
      <c r="N78" s="7">
        <f>2.01*(('Alternative 3'!G79/213.36)^(2/11.5))</f>
        <v>0</v>
      </c>
      <c r="O78" s="7">
        <f>0.613*(N78*'Alternative 3'!$B$34*'Alternative 3'!$B$35*'Alternative 3'!$B$36)</f>
        <v>0</v>
      </c>
      <c r="P78" s="7">
        <f>O78*'Alternative 3'!$B$32*'Alternative 3'!$B$33*'Alternative 3'!H79</f>
        <v>0</v>
      </c>
    </row>
    <row r="79" spans="1:17" x14ac:dyDescent="0.25">
      <c r="A79" s="13">
        <f t="shared" si="4"/>
        <v>77</v>
      </c>
      <c r="D79" s="7">
        <f>2.01*(('Alternative 1'!G80/213.36)^(2/11.5))</f>
        <v>0</v>
      </c>
      <c r="E79" s="7">
        <f>0.613*(D79*'Alternative 1'!$B$34*'Alternative 1'!$B$35*'Alternative 1'!$B$36)</f>
        <v>0</v>
      </c>
      <c r="F79" s="7">
        <f>E79*'Alternative 1'!$B$32*'Alternative 1'!$B$33*'Alternative 1'!H80</f>
        <v>0</v>
      </c>
      <c r="I79" s="7">
        <f>2.01*(('Alternative 2'!G80/213.36)^(2/11.5))</f>
        <v>0</v>
      </c>
      <c r="J79" s="7">
        <f>0.613*(I79*'Alternative 2'!$B$34*'Alternative 2'!$B$35*'Alternative 2'!$B$36)</f>
        <v>0</v>
      </c>
      <c r="K79" s="7">
        <f>J79*'Alternative 2'!$B$32*'Alternative 2'!$B$33*'Alternative 2'!H80</f>
        <v>0</v>
      </c>
      <c r="N79" s="7">
        <f>2.01*(('Alternative 3'!G80/213.36)^(2/11.5))</f>
        <v>0</v>
      </c>
      <c r="O79" s="7">
        <f>0.613*(N79*'Alternative 3'!$B$34*'Alternative 3'!$B$35*'Alternative 3'!$B$36)</f>
        <v>0</v>
      </c>
      <c r="P79" s="7">
        <f>O79*'Alternative 3'!$B$32*'Alternative 3'!$B$33*'Alternative 3'!H80</f>
        <v>0</v>
      </c>
    </row>
    <row r="80" spans="1:17" x14ac:dyDescent="0.25">
      <c r="A80" s="13">
        <f t="shared" si="4"/>
        <v>78</v>
      </c>
      <c r="D80" s="7">
        <f>2.01*(('Alternative 1'!G81/213.36)^(2/11.5))</f>
        <v>0</v>
      </c>
      <c r="E80" s="7">
        <f>0.613*(D80*'Alternative 1'!$B$34*'Alternative 1'!$B$35*'Alternative 1'!$B$36)</f>
        <v>0</v>
      </c>
      <c r="F80" s="7">
        <f>E80*'Alternative 1'!$B$32*'Alternative 1'!$B$33*'Alternative 1'!H81</f>
        <v>0</v>
      </c>
      <c r="I80" s="7">
        <f>2.01*(('Alternative 2'!G81/213.36)^(2/11.5))</f>
        <v>0</v>
      </c>
      <c r="J80" s="7">
        <f>0.613*(I80*'Alternative 2'!$B$34*'Alternative 2'!$B$35*'Alternative 2'!$B$36)</f>
        <v>0</v>
      </c>
      <c r="K80" s="7">
        <f>J80*'Alternative 2'!$B$32*'Alternative 2'!$B$33*'Alternative 2'!H81</f>
        <v>0</v>
      </c>
      <c r="N80" s="7">
        <f>2.01*(('Alternative 3'!G81/213.36)^(2/11.5))</f>
        <v>0</v>
      </c>
      <c r="O80" s="7">
        <f>0.613*(N80*'Alternative 3'!$B$34*'Alternative 3'!$B$35*'Alternative 3'!$B$36)</f>
        <v>0</v>
      </c>
      <c r="P80" s="7">
        <f>O80*'Alternative 3'!$B$32*'Alternative 3'!$B$33*'Alternative 3'!H81</f>
        <v>0</v>
      </c>
    </row>
    <row r="81" spans="1:16" x14ac:dyDescent="0.25">
      <c r="A81" s="13">
        <f t="shared" si="4"/>
        <v>79</v>
      </c>
      <c r="D81" s="7">
        <f>2.01*(('Alternative 1'!G82/213.36)^(2/11.5))</f>
        <v>0</v>
      </c>
      <c r="E81" s="7">
        <f>0.613*(D81*'Alternative 1'!$B$34*'Alternative 1'!$B$35*'Alternative 1'!$B$36)</f>
        <v>0</v>
      </c>
      <c r="F81" s="7">
        <f>E81*'Alternative 1'!$B$32*'Alternative 1'!$B$33*'Alternative 1'!H82</f>
        <v>0</v>
      </c>
      <c r="I81" s="7">
        <f>2.01*(('Alternative 2'!G82/213.36)^(2/11.5))</f>
        <v>0</v>
      </c>
      <c r="J81" s="7">
        <f>0.613*(I81*'Alternative 2'!$B$34*'Alternative 2'!$B$35*'Alternative 2'!$B$36)</f>
        <v>0</v>
      </c>
      <c r="K81" s="7">
        <f>J81*'Alternative 2'!$B$32*'Alternative 2'!$B$33*'Alternative 2'!H82</f>
        <v>0</v>
      </c>
      <c r="N81" s="7">
        <f>2.01*(('Alternative 3'!G82/213.36)^(2/11.5))</f>
        <v>0</v>
      </c>
      <c r="O81" s="7">
        <f>0.613*(N81*'Alternative 3'!$B$34*'Alternative 3'!$B$35*'Alternative 3'!$B$36)</f>
        <v>0</v>
      </c>
      <c r="P81" s="7">
        <f>O81*'Alternative 3'!$B$32*'Alternative 3'!$B$33*'Alternative 3'!H82</f>
        <v>0</v>
      </c>
    </row>
    <row r="82" spans="1:16" x14ac:dyDescent="0.25">
      <c r="A82" s="13">
        <f t="shared" si="4"/>
        <v>80</v>
      </c>
      <c r="D82" s="7">
        <f>2.01*(('Alternative 1'!G83/213.36)^(2/11.5))</f>
        <v>0</v>
      </c>
      <c r="E82" s="7">
        <f>0.613*(D82*'Alternative 1'!$B$34*'Alternative 1'!$B$35*'Alternative 1'!$B$36)</f>
        <v>0</v>
      </c>
      <c r="F82" s="7">
        <f>E82*'Alternative 1'!$B$32*'Alternative 1'!$B$33*'Alternative 1'!H83</f>
        <v>0</v>
      </c>
      <c r="I82" s="7">
        <f>2.01*(('Alternative 2'!G83/213.36)^(2/11.5))</f>
        <v>0</v>
      </c>
      <c r="J82" s="7">
        <f>0.613*(I82*'Alternative 2'!$B$34*'Alternative 2'!$B$35*'Alternative 2'!$B$36)</f>
        <v>0</v>
      </c>
      <c r="K82" s="7">
        <f>J82*'Alternative 2'!$B$32*'Alternative 2'!$B$33*'Alternative 2'!H83</f>
        <v>0</v>
      </c>
      <c r="N82" s="7">
        <f>2.01*(('Alternative 3'!G83/213.36)^(2/11.5))</f>
        <v>0</v>
      </c>
      <c r="O82" s="7">
        <f>0.613*(N82*'Alternative 3'!$B$34*'Alternative 3'!$B$35*'Alternative 3'!$B$36)</f>
        <v>0</v>
      </c>
      <c r="P82" s="7">
        <f>O82*'Alternative 3'!$B$32*'Alternative 3'!$B$33*'Alternative 3'!H83</f>
        <v>0</v>
      </c>
    </row>
    <row r="83" spans="1:16" x14ac:dyDescent="0.25">
      <c r="A83" s="13">
        <f t="shared" si="4"/>
        <v>81</v>
      </c>
      <c r="D83" s="7">
        <f>2.01*(('Alternative 1'!G84/213.36)^(2/11.5))</f>
        <v>0</v>
      </c>
      <c r="E83" s="7">
        <f>0.613*(D83*'Alternative 1'!$B$34*'Alternative 1'!$B$35*'Alternative 1'!$B$36)</f>
        <v>0</v>
      </c>
      <c r="F83" s="7">
        <f>E83*'Alternative 1'!$B$32*'Alternative 1'!$B$33*'Alternative 1'!H84</f>
        <v>0</v>
      </c>
      <c r="I83" s="7">
        <f>2.01*(('Alternative 2'!G84/213.36)^(2/11.5))</f>
        <v>0</v>
      </c>
      <c r="J83" s="7">
        <f>0.613*(I83*'Alternative 2'!$B$34*'Alternative 2'!$B$35*'Alternative 2'!$B$36)</f>
        <v>0</v>
      </c>
      <c r="K83" s="7">
        <f>J83*'Alternative 2'!$B$32*'Alternative 2'!$B$33*'Alternative 2'!H84</f>
        <v>0</v>
      </c>
      <c r="N83" s="7">
        <f>2.01*(('Alternative 3'!G84/213.36)^(2/11.5))</f>
        <v>0</v>
      </c>
      <c r="O83" s="7">
        <f>0.613*(N83*'Alternative 3'!$B$34*'Alternative 3'!$B$35*'Alternative 3'!$B$36)</f>
        <v>0</v>
      </c>
      <c r="P83" s="7">
        <f>O83*'Alternative 3'!$B$32*'Alternative 3'!$B$33*'Alternative 3'!H84</f>
        <v>0</v>
      </c>
    </row>
    <row r="84" spans="1:16" x14ac:dyDescent="0.25">
      <c r="A84" s="13">
        <f t="shared" si="4"/>
        <v>82</v>
      </c>
      <c r="D84" s="7">
        <f>2.01*(('Alternative 1'!G85/213.36)^(2/11.5))</f>
        <v>0</v>
      </c>
      <c r="E84" s="7">
        <f>0.613*(D84*'Alternative 1'!$B$34*'Alternative 1'!$B$35*'Alternative 1'!$B$36)</f>
        <v>0</v>
      </c>
      <c r="F84" s="7">
        <f>E84*'Alternative 1'!$B$32*'Alternative 1'!$B$33*'Alternative 1'!H85</f>
        <v>0</v>
      </c>
      <c r="I84" s="7">
        <f>2.01*(('Alternative 2'!G85/213.36)^(2/11.5))</f>
        <v>0</v>
      </c>
      <c r="J84" s="7">
        <f>0.613*(I84*'Alternative 2'!$B$34*'Alternative 2'!$B$35*'Alternative 2'!$B$36)</f>
        <v>0</v>
      </c>
      <c r="K84" s="7">
        <f>J84*'Alternative 2'!$B$32*'Alternative 2'!$B$33*'Alternative 2'!H85</f>
        <v>0</v>
      </c>
      <c r="N84" s="7">
        <f>2.01*(('Alternative 3'!G85/213.36)^(2/11.5))</f>
        <v>0</v>
      </c>
      <c r="O84" s="7">
        <f>0.613*(N84*'Alternative 3'!$B$34*'Alternative 3'!$B$35*'Alternative 3'!$B$36)</f>
        <v>0</v>
      </c>
      <c r="P84" s="7">
        <f>O84*'Alternative 3'!$B$32*'Alternative 3'!$B$33*'Alternative 3'!H85</f>
        <v>0</v>
      </c>
    </row>
    <row r="85" spans="1:16" x14ac:dyDescent="0.25">
      <c r="A85" s="13">
        <f t="shared" si="4"/>
        <v>83</v>
      </c>
      <c r="D85" s="7">
        <f>2.01*(('Alternative 1'!G86/213.36)^(2/11.5))</f>
        <v>0</v>
      </c>
      <c r="E85" s="7">
        <f>0.613*(D85*'Alternative 1'!$B$34*'Alternative 1'!$B$35*'Alternative 1'!$B$36)</f>
        <v>0</v>
      </c>
      <c r="F85" s="7">
        <f>E85*'Alternative 1'!$B$32*'Alternative 1'!$B$33*'Alternative 1'!H86</f>
        <v>0</v>
      </c>
      <c r="I85" s="7">
        <f>2.01*(('Alternative 2'!G86/213.36)^(2/11.5))</f>
        <v>0</v>
      </c>
      <c r="J85" s="7">
        <f>0.613*(I85*'Alternative 2'!$B$34*'Alternative 2'!$B$35*'Alternative 2'!$B$36)</f>
        <v>0</v>
      </c>
      <c r="K85" s="7">
        <f>J85*'Alternative 2'!$B$32*'Alternative 2'!$B$33*'Alternative 2'!H86</f>
        <v>0</v>
      </c>
      <c r="N85" s="7">
        <f>2.01*(('Alternative 3'!G86/213.36)^(2/11.5))</f>
        <v>0</v>
      </c>
      <c r="O85" s="7">
        <f>0.613*(N85*'Alternative 3'!$B$34*'Alternative 3'!$B$35*'Alternative 3'!$B$36)</f>
        <v>0</v>
      </c>
      <c r="P85" s="7">
        <f>O85*'Alternative 3'!$B$32*'Alternative 3'!$B$33*'Alternative 3'!H86</f>
        <v>0</v>
      </c>
    </row>
    <row r="86" spans="1:16" x14ac:dyDescent="0.25">
      <c r="A86" s="13">
        <f t="shared" si="4"/>
        <v>84</v>
      </c>
      <c r="D86" s="7">
        <f>2.01*(('Alternative 1'!G87/213.36)^(2/11.5))</f>
        <v>0</v>
      </c>
      <c r="E86" s="7">
        <f>0.613*(D86*'Alternative 1'!$B$34*'Alternative 1'!$B$35*'Alternative 1'!$B$36)</f>
        <v>0</v>
      </c>
      <c r="F86" s="7">
        <f>E86*'Alternative 1'!$B$32*'Alternative 1'!$B$33*'Alternative 1'!H87</f>
        <v>0</v>
      </c>
      <c r="I86" s="7">
        <f>2.01*(('Alternative 2'!G87/213.36)^(2/11.5))</f>
        <v>0</v>
      </c>
      <c r="J86" s="7">
        <f>0.613*(I86*'Alternative 2'!$B$34*'Alternative 2'!$B$35*'Alternative 2'!$B$36)</f>
        <v>0</v>
      </c>
      <c r="K86" s="7">
        <f>J86*'Alternative 2'!$B$32*'Alternative 2'!$B$33*'Alternative 2'!H87</f>
        <v>0</v>
      </c>
      <c r="N86" s="7">
        <f>2.01*(('Alternative 3'!G87/213.36)^(2/11.5))</f>
        <v>0</v>
      </c>
      <c r="O86" s="7">
        <f>0.613*(N86*'Alternative 3'!$B$34*'Alternative 3'!$B$35*'Alternative 3'!$B$36)</f>
        <v>0</v>
      </c>
      <c r="P86" s="7">
        <f>O86*'Alternative 3'!$B$32*'Alternative 3'!$B$33*'Alternative 3'!H87</f>
        <v>0</v>
      </c>
    </row>
    <row r="87" spans="1:16" x14ac:dyDescent="0.25">
      <c r="A87" s="13">
        <f t="shared" si="4"/>
        <v>85</v>
      </c>
      <c r="D87" s="7">
        <f>2.01*(('Alternative 1'!G88/213.36)^(2/11.5))</f>
        <v>0</v>
      </c>
      <c r="E87" s="7">
        <f>0.613*(D87*'Alternative 1'!$B$34*'Alternative 1'!$B$35*'Alternative 1'!$B$36)</f>
        <v>0</v>
      </c>
      <c r="F87" s="7">
        <f>E87*'Alternative 1'!$B$32*'Alternative 1'!$B$33*'Alternative 1'!H88</f>
        <v>0</v>
      </c>
      <c r="I87" s="7">
        <f>2.01*(('Alternative 2'!G88/213.36)^(2/11.5))</f>
        <v>0</v>
      </c>
      <c r="J87" s="7">
        <f>0.613*(I87*'Alternative 2'!$B$34*'Alternative 2'!$B$35*'Alternative 2'!$B$36)</f>
        <v>0</v>
      </c>
      <c r="K87" s="7">
        <f>J87*'Alternative 2'!$B$32*'Alternative 2'!$B$33*'Alternative 2'!H88</f>
        <v>0</v>
      </c>
      <c r="N87" s="7">
        <f>2.01*(('Alternative 3'!G88/213.36)^(2/11.5))</f>
        <v>0</v>
      </c>
      <c r="O87" s="7">
        <f>0.613*(N87*'Alternative 3'!$B$34*'Alternative 3'!$B$35*'Alternative 3'!$B$36)</f>
        <v>0</v>
      </c>
      <c r="P87" s="7">
        <f>O87*'Alternative 3'!$B$32*'Alternative 3'!$B$33*'Alternative 3'!H88</f>
        <v>0</v>
      </c>
    </row>
    <row r="88" spans="1:16" x14ac:dyDescent="0.25">
      <c r="A88" s="13">
        <f t="shared" si="4"/>
        <v>86</v>
      </c>
      <c r="D88" s="7">
        <f>2.01*(('Alternative 1'!G89/213.36)^(2/11.5))</f>
        <v>0</v>
      </c>
      <c r="E88" s="7">
        <f>0.613*(D88*'Alternative 1'!$B$34*'Alternative 1'!$B$35*'Alternative 1'!$B$36)</f>
        <v>0</v>
      </c>
      <c r="F88" s="7">
        <f>E88*'Alternative 1'!$B$32*'Alternative 1'!$B$33*'Alternative 1'!H89</f>
        <v>0</v>
      </c>
      <c r="I88" s="7">
        <f>2.01*(('Alternative 2'!G89/213.36)^(2/11.5))</f>
        <v>0</v>
      </c>
      <c r="J88" s="7">
        <f>0.613*(I88*'Alternative 2'!$B$34*'Alternative 2'!$B$35*'Alternative 2'!$B$36)</f>
        <v>0</v>
      </c>
      <c r="K88" s="7">
        <f>J88*'Alternative 2'!$B$32*'Alternative 2'!$B$33*'Alternative 2'!H89</f>
        <v>0</v>
      </c>
      <c r="N88" s="7">
        <f>2.01*(('Alternative 3'!G89/213.36)^(2/11.5))</f>
        <v>0</v>
      </c>
      <c r="O88" s="7">
        <f>0.613*(N88*'Alternative 3'!$B$34*'Alternative 3'!$B$35*'Alternative 3'!$B$36)</f>
        <v>0</v>
      </c>
      <c r="P88" s="7">
        <f>O88*'Alternative 3'!$B$32*'Alternative 3'!$B$33*'Alternative 3'!H89</f>
        <v>0</v>
      </c>
    </row>
    <row r="89" spans="1:16" x14ac:dyDescent="0.25">
      <c r="A89" s="13">
        <f t="shared" si="4"/>
        <v>87</v>
      </c>
      <c r="D89" s="7">
        <f>2.01*(('Alternative 1'!G90/213.36)^(2/11.5))</f>
        <v>0</v>
      </c>
      <c r="E89" s="7">
        <f>0.613*(D89*'Alternative 1'!$B$34*'Alternative 1'!$B$35*'Alternative 1'!$B$36)</f>
        <v>0</v>
      </c>
      <c r="F89" s="7">
        <f>E89*'Alternative 1'!$B$32*'Alternative 1'!$B$33*'Alternative 1'!H90</f>
        <v>0</v>
      </c>
      <c r="I89" s="7">
        <f>2.01*(('Alternative 2'!G90/213.36)^(2/11.5))</f>
        <v>0</v>
      </c>
      <c r="J89" s="7">
        <f>0.613*(I89*'Alternative 2'!$B$34*'Alternative 2'!$B$35*'Alternative 2'!$B$36)</f>
        <v>0</v>
      </c>
      <c r="K89" s="7">
        <f>J89*'Alternative 2'!$B$32*'Alternative 2'!$B$33*'Alternative 2'!H90</f>
        <v>0</v>
      </c>
      <c r="N89" s="7">
        <f>2.01*(('Alternative 3'!G90/213.36)^(2/11.5))</f>
        <v>0</v>
      </c>
      <c r="O89" s="7">
        <f>0.613*(N89*'Alternative 3'!$B$34*'Alternative 3'!$B$35*'Alternative 3'!$B$36)</f>
        <v>0</v>
      </c>
      <c r="P89" s="7">
        <f>O89*'Alternative 3'!$B$32*'Alternative 3'!$B$33*'Alternative 3'!H90</f>
        <v>0</v>
      </c>
    </row>
    <row r="90" spans="1:16" x14ac:dyDescent="0.25">
      <c r="A90" s="13">
        <f t="shared" si="4"/>
        <v>88</v>
      </c>
      <c r="D90" s="7">
        <f>2.01*(('Alternative 1'!G91/213.36)^(2/11.5))</f>
        <v>0</v>
      </c>
      <c r="E90" s="7">
        <f>0.613*(D90*'Alternative 1'!$B$34*'Alternative 1'!$B$35*'Alternative 1'!$B$36)</f>
        <v>0</v>
      </c>
      <c r="F90" s="7">
        <f>E90*'Alternative 1'!$B$32*'Alternative 1'!$B$33*'Alternative 1'!H91</f>
        <v>0</v>
      </c>
      <c r="I90" s="7">
        <f>2.01*(('Alternative 2'!G91/213.36)^(2/11.5))</f>
        <v>0</v>
      </c>
      <c r="J90" s="7">
        <f>0.613*(I90*'Alternative 2'!$B$34*'Alternative 2'!$B$35*'Alternative 2'!$B$36)</f>
        <v>0</v>
      </c>
      <c r="K90" s="7">
        <f>J90*'Alternative 2'!$B$32*'Alternative 2'!$B$33*'Alternative 2'!H91</f>
        <v>0</v>
      </c>
      <c r="N90" s="7">
        <f>2.01*(('Alternative 3'!G91/213.36)^(2/11.5))</f>
        <v>0</v>
      </c>
      <c r="O90" s="7">
        <f>0.613*(N90*'Alternative 3'!$B$34*'Alternative 3'!$B$35*'Alternative 3'!$B$36)</f>
        <v>0</v>
      </c>
      <c r="P90" s="7">
        <f>O90*'Alternative 3'!$B$32*'Alternative 3'!$B$33*'Alternative 3'!H91</f>
        <v>0</v>
      </c>
    </row>
    <row r="91" spans="1:16" x14ac:dyDescent="0.25">
      <c r="A91" s="13">
        <f t="shared" si="4"/>
        <v>89</v>
      </c>
      <c r="D91" s="7">
        <f>2.01*(('Alternative 1'!G92/213.36)^(2/11.5))</f>
        <v>0</v>
      </c>
      <c r="E91" s="7">
        <f>0.613*(D91*'Alternative 1'!$B$34*'Alternative 1'!$B$35*'Alternative 1'!$B$36)</f>
        <v>0</v>
      </c>
      <c r="F91" s="7">
        <f>E91*'Alternative 1'!$B$32*'Alternative 1'!$B$33*'Alternative 1'!H92</f>
        <v>0</v>
      </c>
      <c r="I91" s="7">
        <f>2.01*(('Alternative 2'!G92/213.36)^(2/11.5))</f>
        <v>0</v>
      </c>
      <c r="J91" s="7">
        <f>0.613*(I91*'Alternative 2'!$B$34*'Alternative 2'!$B$35*'Alternative 2'!$B$36)</f>
        <v>0</v>
      </c>
      <c r="K91" s="7">
        <f>J91*'Alternative 2'!$B$32*'Alternative 2'!$B$33*'Alternative 2'!H92</f>
        <v>0</v>
      </c>
      <c r="N91" s="7">
        <f>2.01*(('Alternative 3'!G92/213.36)^(2/11.5))</f>
        <v>0</v>
      </c>
      <c r="O91" s="7">
        <f>0.613*(N91*'Alternative 3'!$B$34*'Alternative 3'!$B$35*'Alternative 3'!$B$36)</f>
        <v>0</v>
      </c>
      <c r="P91" s="7">
        <f>O91*'Alternative 3'!$B$32*'Alternative 3'!$B$33*'Alternative 3'!H92</f>
        <v>0</v>
      </c>
    </row>
    <row r="92" spans="1:16" x14ac:dyDescent="0.25">
      <c r="A92" s="13">
        <f t="shared" si="4"/>
        <v>90</v>
      </c>
      <c r="D92" s="7">
        <f>2.01*(('Alternative 1'!G93/213.36)^(2/11.5))</f>
        <v>0</v>
      </c>
      <c r="E92" s="7">
        <f>0.613*(D92*'Alternative 1'!$B$34*'Alternative 1'!$B$35*'Alternative 1'!$B$36)</f>
        <v>0</v>
      </c>
      <c r="F92" s="7">
        <f>E92*'Alternative 1'!$B$32*'Alternative 1'!$B$33*'Alternative 1'!H93</f>
        <v>0</v>
      </c>
      <c r="I92" s="7">
        <f>2.01*(('Alternative 2'!G93/213.36)^(2/11.5))</f>
        <v>0</v>
      </c>
      <c r="J92" s="7">
        <f>0.613*(I92*'Alternative 2'!$B$34*'Alternative 2'!$B$35*'Alternative 2'!$B$36)</f>
        <v>0</v>
      </c>
      <c r="K92" s="7">
        <f>J92*'Alternative 2'!$B$32*'Alternative 2'!$B$33*'Alternative 2'!H93</f>
        <v>0</v>
      </c>
      <c r="N92" s="7">
        <f>2.01*(('Alternative 3'!G93/213.36)^(2/11.5))</f>
        <v>0</v>
      </c>
      <c r="O92" s="7">
        <f>0.613*(N92*'Alternative 3'!$B$34*'Alternative 3'!$B$35*'Alternative 3'!$B$36)</f>
        <v>0</v>
      </c>
      <c r="P92" s="7">
        <f>O92*'Alternative 3'!$B$32*'Alternative 3'!$B$33*'Alternative 3'!H93</f>
        <v>0</v>
      </c>
    </row>
  </sheetData>
  <customSheetViews>
    <customSheetView guid="{73608749-DAD6-470A-871E-DA0A326E9E7B}" hiddenColumns="1" topLeftCell="A48">
      <selection activeCell="U63" sqref="U63"/>
      <pageMargins left="0.7" right="0.7" top="0.75" bottom="0.75" header="0.3" footer="0.3"/>
    </customSheetView>
  </customSheetViews>
  <mergeCells count="6">
    <mergeCell ref="N1:Q1"/>
    <mergeCell ref="D1:G1"/>
    <mergeCell ref="I1:L1"/>
    <mergeCell ref="C1:C1048576"/>
    <mergeCell ref="H1:H1048576"/>
    <mergeCell ref="M1:M104857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249977111117893"/>
  </sheetPr>
  <dimension ref="A1:Y113"/>
  <sheetViews>
    <sheetView zoomScale="90" zoomScaleNormal="90" workbookViewId="0">
      <selection activeCell="I10" sqref="I10"/>
    </sheetView>
  </sheetViews>
  <sheetFormatPr defaultColWidth="9.140625" defaultRowHeight="15" x14ac:dyDescent="0.25"/>
  <cols>
    <col min="1" max="1" width="8.28515625" style="6" bestFit="1" customWidth="1"/>
    <col min="2" max="2" width="2.5703125" style="24" customWidth="1"/>
    <col min="3" max="4" width="9.140625" style="24"/>
    <col min="5" max="5" width="7.7109375" style="24" customWidth="1"/>
    <col min="6" max="6" width="9.140625" style="24"/>
    <col min="7" max="7" width="7.7109375" style="24" customWidth="1"/>
    <col min="8" max="8" width="12.7109375" style="24" bestFit="1" customWidth="1"/>
    <col min="9" max="9" width="7.7109375" style="6" customWidth="1"/>
    <col min="10" max="10" width="2.85546875" style="6" customWidth="1"/>
    <col min="11" max="17" width="9.140625" style="6"/>
    <col min="18" max="18" width="2.28515625" style="6" customWidth="1"/>
    <col min="19" max="20" width="9.140625" style="6"/>
    <col min="21" max="21" width="10.5703125" style="6" customWidth="1"/>
    <col min="22" max="22" width="7.42578125" style="6" customWidth="1"/>
    <col min="23" max="23" width="7.28515625" style="6" customWidth="1"/>
    <col min="24" max="24" width="7.85546875" style="6" customWidth="1"/>
    <col min="25" max="25" width="8.7109375" style="6" customWidth="1"/>
    <col min="26" max="26" width="2.28515625" style="6" customWidth="1"/>
    <col min="27" max="16384" width="9.140625" style="6"/>
  </cols>
  <sheetData>
    <row r="1" spans="1:25" ht="21" x14ac:dyDescent="0.35">
      <c r="A1" s="35"/>
      <c r="B1" s="253"/>
      <c r="C1" s="252" t="s">
        <v>120</v>
      </c>
      <c r="D1" s="252"/>
      <c r="E1" s="252"/>
      <c r="F1" s="252"/>
      <c r="G1" s="252"/>
      <c r="H1" s="252"/>
      <c r="I1" s="252"/>
      <c r="J1" s="253"/>
      <c r="K1" s="252" t="s">
        <v>121</v>
      </c>
      <c r="L1" s="252"/>
      <c r="M1" s="252"/>
      <c r="N1" s="252"/>
      <c r="O1" s="252"/>
      <c r="P1" s="252"/>
      <c r="Q1" s="252"/>
      <c r="R1" s="253"/>
      <c r="S1" s="252" t="s">
        <v>122</v>
      </c>
      <c r="T1" s="252"/>
      <c r="U1" s="252"/>
      <c r="V1" s="252"/>
      <c r="W1" s="252"/>
      <c r="X1" s="252"/>
      <c r="Y1" s="252"/>
    </row>
    <row r="2" spans="1:25" ht="60" x14ac:dyDescent="0.25">
      <c r="A2" s="33" t="s">
        <v>76</v>
      </c>
      <c r="B2" s="253"/>
      <c r="C2" s="21" t="s">
        <v>75</v>
      </c>
      <c r="D2" s="21" t="s">
        <v>81</v>
      </c>
      <c r="E2" s="21" t="s">
        <v>82</v>
      </c>
      <c r="F2" s="21" t="s">
        <v>83</v>
      </c>
      <c r="G2" s="21" t="s">
        <v>84</v>
      </c>
      <c r="H2" s="21" t="s">
        <v>92</v>
      </c>
      <c r="I2" s="21" t="s">
        <v>91</v>
      </c>
      <c r="J2" s="253"/>
      <c r="K2" s="21" t="s">
        <v>75</v>
      </c>
      <c r="L2" s="21" t="s">
        <v>81</v>
      </c>
      <c r="M2" s="21" t="s">
        <v>82</v>
      </c>
      <c r="N2" s="21" t="s">
        <v>83</v>
      </c>
      <c r="O2" s="21" t="s">
        <v>84</v>
      </c>
      <c r="P2" s="21" t="s">
        <v>92</v>
      </c>
      <c r="Q2" s="21" t="s">
        <v>91</v>
      </c>
      <c r="R2" s="253"/>
      <c r="S2" s="21" t="s">
        <v>75</v>
      </c>
      <c r="T2" s="21" t="s">
        <v>81</v>
      </c>
      <c r="U2" s="21" t="s">
        <v>82</v>
      </c>
      <c r="V2" s="21" t="s">
        <v>83</v>
      </c>
      <c r="W2" s="21" t="s">
        <v>84</v>
      </c>
      <c r="X2" s="21" t="s">
        <v>92</v>
      </c>
      <c r="Y2" s="21" t="s">
        <v>91</v>
      </c>
    </row>
    <row r="3" spans="1:25" ht="26.25" customHeight="1" x14ac:dyDescent="0.25">
      <c r="A3" s="27" t="s">
        <v>77</v>
      </c>
      <c r="B3" s="253"/>
      <c r="C3" s="27">
        <f>'Alternative 1'!B42*'Alternative 1'!$B$46</f>
        <v>56.28</v>
      </c>
      <c r="D3" s="27">
        <f>(2*PI()*'Alternative 1'!$B$9/2)/C3</f>
        <v>1.071758687791827</v>
      </c>
      <c r="E3" s="27">
        <f>60/D3</f>
        <v>55.982751232574188</v>
      </c>
      <c r="F3" s="27">
        <f>1/D3</f>
        <v>0.93304585387623651</v>
      </c>
      <c r="G3" s="27">
        <f>(0.5*'Alternative 1'!$B$48*'Alternative 1'!B42^3*'Alternative 1'!$B$49*'Alternative 1'!$B$47)/10^6</f>
        <v>0.23894659925078124</v>
      </c>
      <c r="H3" s="8">
        <f>(G3/'Alternative 1'!B42)*1000000</f>
        <v>17831.835764983673</v>
      </c>
      <c r="I3" s="8">
        <f>H3*'Alternative 1'!$B$40</f>
        <v>19615.019341482042</v>
      </c>
      <c r="J3" s="253"/>
      <c r="K3" s="27">
        <f>'Alternative 2'!B42*'Alternative 2'!$B$46</f>
        <v>56.28</v>
      </c>
      <c r="L3" s="27">
        <f>(2*PI()*'Alternative 2'!$B$9/2)/K3</f>
        <v>1.071758687791827</v>
      </c>
      <c r="M3" s="27">
        <f>60/L3</f>
        <v>55.982751232574188</v>
      </c>
      <c r="N3" s="27">
        <f>1/L3</f>
        <v>0.93304585387623651</v>
      </c>
      <c r="O3" s="27">
        <f>(0.5*'Alternative 2'!$B$48*'Alternative 2'!B42^3*'Alternative 2'!$B$49*'Alternative 2'!$B$47)/10^6</f>
        <v>0.23894659925078124</v>
      </c>
      <c r="P3" s="8">
        <f>(O3/'Alternative 2'!B42)*1000000</f>
        <v>17831.835764983673</v>
      </c>
      <c r="Q3" s="8">
        <f>P3*'Alternative 2'!$B$40</f>
        <v>19615.019341482042</v>
      </c>
      <c r="R3" s="253"/>
      <c r="S3" s="27">
        <f>'Alternative 3'!B42*'Alternative 3'!$B$46</f>
        <v>56.28</v>
      </c>
      <c r="T3" s="27">
        <f>(2*PI()*'Alternative 3'!$B$9/2)/S3</f>
        <v>1.071758687791827</v>
      </c>
      <c r="U3" s="27">
        <f>60/T3</f>
        <v>55.982751232574188</v>
      </c>
      <c r="V3" s="27">
        <f>1/T3</f>
        <v>0.93304585387623651</v>
      </c>
      <c r="W3" s="27">
        <f>(0.5*'Alternative 3'!$B$48*'Alternative 3'!B42^3*'Alternative 3'!$B$49*'Alternative 3'!$B$47)/10^6</f>
        <v>0.23894659925078124</v>
      </c>
      <c r="X3" s="8">
        <f>(W3/'Alternative 3'!B42)*1000000</f>
        <v>17831.835764983673</v>
      </c>
      <c r="Y3" s="8">
        <f>X3*'Alternative 3'!$B$40</f>
        <v>19615.019341482042</v>
      </c>
    </row>
    <row r="4" spans="1:25" ht="26.25" customHeight="1" x14ac:dyDescent="0.25">
      <c r="A4" s="27" t="s">
        <v>78</v>
      </c>
      <c r="B4" s="253"/>
      <c r="C4" s="27">
        <f>'Alternative 1'!B43*'Alternative 1'!$B$46</f>
        <v>50.400000000000006</v>
      </c>
      <c r="D4" s="27">
        <f>(2*PI()*'Alternative 1'!$B$9/2)/C4</f>
        <v>1.1967972013675401</v>
      </c>
      <c r="E4" s="27">
        <f>60/D4</f>
        <v>50.13380707394704</v>
      </c>
      <c r="F4" s="27">
        <f>1/D4</f>
        <v>0.83556345123245068</v>
      </c>
      <c r="G4" s="27">
        <f>(0.5*'Alternative 1'!$B$48*'Alternative 1'!B43^3*'Alternative 1'!$B$49*'Alternative 1'!$B$47)/10^6</f>
        <v>0.17160510248324673</v>
      </c>
      <c r="H4" s="8">
        <f>(G4/'Alternative 1'!B43)*1000000</f>
        <v>14300.425206937229</v>
      </c>
      <c r="I4" s="8">
        <f>H4*'Alternative 1'!$B$40</f>
        <v>15730.467727630952</v>
      </c>
      <c r="J4" s="253"/>
      <c r="K4" s="27">
        <f>'Alternative 2'!B43*'Alternative 2'!$B$46</f>
        <v>50.400000000000006</v>
      </c>
      <c r="L4" s="27">
        <f>(2*PI()*'Alternative 2'!$B$10/2)/K4</f>
        <v>3.1166593785613025E-3</v>
      </c>
      <c r="M4" s="27">
        <f>60/L4</f>
        <v>19251.381916395661</v>
      </c>
      <c r="N4" s="27">
        <f>1/L4</f>
        <v>320.85636527326102</v>
      </c>
      <c r="O4" s="27">
        <f>(0.5*'Alternative 2'!$B$48*'Alternative 2'!B43^3*'Alternative 2'!$B$49*'Alternative 2'!$B$47)/10^6</f>
        <v>0.17160510248324673</v>
      </c>
      <c r="P4" s="8">
        <f>(O4/'Alternative 2'!B43)*1000000</f>
        <v>14300.425206937229</v>
      </c>
      <c r="Q4" s="8">
        <f>P4*'Alternative 2'!$B$40</f>
        <v>15730.467727630952</v>
      </c>
      <c r="R4" s="253"/>
      <c r="S4" s="27">
        <f>'Alternative 3'!B43*'Alternative 3'!$B$46</f>
        <v>50.400000000000006</v>
      </c>
      <c r="T4" s="27">
        <f>(2*PI()*'Alternative 3'!$B$10/2)/S4</f>
        <v>3.1166593785613025E-3</v>
      </c>
      <c r="U4" s="27">
        <f>60/T4</f>
        <v>19251.381916395661</v>
      </c>
      <c r="V4" s="27">
        <f>1/T4</f>
        <v>320.85636527326102</v>
      </c>
      <c r="W4" s="27">
        <f>(0.5*'Alternative 3'!$B$48*'Alternative 3'!B43^3*'Alternative 3'!$B$49*'Alternative 3'!$B$47)/10^6</f>
        <v>0.17160510248324673</v>
      </c>
      <c r="X4" s="8">
        <f>(W4/'Alternative 3'!B43)*1000000</f>
        <v>14300.425206937229</v>
      </c>
      <c r="Y4" s="8">
        <f>X4*'Alternative 3'!$B$40</f>
        <v>15730.467727630952</v>
      </c>
    </row>
    <row r="5" spans="1:25" ht="15" customHeight="1" x14ac:dyDescent="0.25">
      <c r="A5" s="27" t="s">
        <v>79</v>
      </c>
      <c r="B5" s="253"/>
      <c r="C5" s="27">
        <f>'Alternative 1'!B44*'Alternative 1'!$B$46</f>
        <v>31.5</v>
      </c>
      <c r="D5" s="27">
        <f>(2*PI()*'Alternative 1'!$B$9/2)/C5</f>
        <v>1.9148755221880644</v>
      </c>
      <c r="E5" s="27">
        <f>60/D5</f>
        <v>31.333629421216894</v>
      </c>
      <c r="F5" s="27">
        <f>1/D5</f>
        <v>0.52222715702028155</v>
      </c>
      <c r="G5" s="27">
        <f>(0.5*'Alternative 1'!$B$48*'Alternative 1'!B44^3*'Alternative 1'!$B$49*'Alternative 1'!$B$47)/10^6</f>
        <v>4.1895776973448914E-2</v>
      </c>
      <c r="H5" s="8">
        <f>(G5/'Alternative 1'!B44)*1000000</f>
        <v>5586.103596459855</v>
      </c>
      <c r="I5" s="8">
        <f>H5*'Alternative 1'!$B$40</f>
        <v>6144.7139561058411</v>
      </c>
      <c r="J5" s="253"/>
      <c r="K5" s="27">
        <f>'Alternative 2'!B44*'Alternative 2'!$B$46</f>
        <v>31.5</v>
      </c>
      <c r="L5" s="27">
        <f>(2*PI()*'Alternative 2'!$B$10/2)/K5</f>
        <v>4.9866550056980839E-3</v>
      </c>
      <c r="M5" s="27">
        <f>60/L5</f>
        <v>12032.113697747289</v>
      </c>
      <c r="N5" s="27">
        <f>1/L5</f>
        <v>200.53522829578816</v>
      </c>
      <c r="O5" s="27">
        <f>(0.5*'Alternative 2'!$B$48*'Alternative 2'!B44^3*'Alternative 2'!$B$49*'Alternative 2'!$B$47)/10^6</f>
        <v>4.1895776973448914E-2</v>
      </c>
      <c r="P5" s="8">
        <f>(O5/'Alternative 2'!B44)*1000000</f>
        <v>5586.103596459855</v>
      </c>
      <c r="Q5" s="8">
        <f>P5*'Alternative 2'!$B$40</f>
        <v>6144.7139561058411</v>
      </c>
      <c r="R5" s="253"/>
      <c r="S5" s="27">
        <f>'Alternative 3'!B44*'Alternative 3'!$B$46</f>
        <v>31.5</v>
      </c>
      <c r="T5" s="27">
        <f>(2*PI()*'Alternative 3'!$B$10/2)/S5</f>
        <v>4.9866550056980839E-3</v>
      </c>
      <c r="U5" s="27">
        <f>60/T5</f>
        <v>12032.113697747289</v>
      </c>
      <c r="V5" s="27">
        <f>1/T5</f>
        <v>200.53522829578816</v>
      </c>
      <c r="W5" s="27">
        <f>(0.5*'Alternative 3'!$B$48*'Alternative 3'!B44^3*'Alternative 3'!$B$49*'Alternative 3'!$B$47)/10^6</f>
        <v>4.1895776973448914E-2</v>
      </c>
      <c r="X5" s="8">
        <f>(W5/'Alternative 3'!B44)*1000000</f>
        <v>5586.103596459855</v>
      </c>
      <c r="Y5" s="8">
        <f>X5*'Alternative 3'!$B$40</f>
        <v>6144.7139561058411</v>
      </c>
    </row>
    <row r="6" spans="1:25" ht="15" customHeight="1" x14ac:dyDescent="0.25">
      <c r="A6" s="27" t="s">
        <v>80</v>
      </c>
      <c r="B6" s="254"/>
      <c r="C6" s="27">
        <f>'Alternative 1'!B45*'Alternative 1'!$B$46</f>
        <v>12.600000000000001</v>
      </c>
      <c r="D6" s="27">
        <f>(2*PI()*'Alternative 1'!$B$9/2)/C6</f>
        <v>4.7871888054701603</v>
      </c>
      <c r="E6" s="27">
        <f>60/D6</f>
        <v>12.53345176848676</v>
      </c>
      <c r="F6" s="27">
        <f>1/D6</f>
        <v>0.20889086280811267</v>
      </c>
      <c r="G6" s="27">
        <f>(0.5*'Alternative 1'!$B$48*'Alternative 1'!B45^3*'Alternative 1'!$B$49*'Alternative 1'!$B$47)/10^6</f>
        <v>2.6813297263007302E-3</v>
      </c>
      <c r="H6" s="8">
        <f>(G6/'Alternative 1'!B45)*1000000</f>
        <v>893.7765754335768</v>
      </c>
      <c r="I6" s="8">
        <f>H6*'Alternative 1'!$B$40</f>
        <v>983.15423297693451</v>
      </c>
      <c r="J6" s="254"/>
      <c r="K6" s="27">
        <f>'Alternative 2'!B45*'Alternative 2'!$B$46</f>
        <v>12.600000000000001</v>
      </c>
      <c r="L6" s="27">
        <f>(2*PI()*'Alternative 2'!$B$10/2)/K6</f>
        <v>1.246663751424521E-2</v>
      </c>
      <c r="M6" s="27">
        <f>60/L6</f>
        <v>4812.8454790989153</v>
      </c>
      <c r="N6" s="27">
        <f>1/L6</f>
        <v>80.214091318315255</v>
      </c>
      <c r="O6" s="27">
        <f>(0.5*'Alternative 2'!$B$48*'Alternative 2'!B45^3*'Alternative 2'!$B$49*'Alternative 2'!$B$47)/10^6</f>
        <v>2.6813297263007302E-3</v>
      </c>
      <c r="P6" s="8">
        <f>(O6/'Alternative 2'!B45)*1000000</f>
        <v>893.7765754335768</v>
      </c>
      <c r="Q6" s="8">
        <f>P6*'Alternative 2'!$B$40</f>
        <v>983.15423297693451</v>
      </c>
      <c r="R6" s="254"/>
      <c r="S6" s="27">
        <f>'Alternative 3'!B45*'Alternative 3'!$B$46</f>
        <v>12.600000000000001</v>
      </c>
      <c r="T6" s="27">
        <f>(2*PI()*'Alternative 3'!$B$10/2)/S6</f>
        <v>1.246663751424521E-2</v>
      </c>
      <c r="U6" s="27">
        <f>60/T6</f>
        <v>4812.8454790989153</v>
      </c>
      <c r="V6" s="27">
        <f>1/T6</f>
        <v>80.214091318315255</v>
      </c>
      <c r="W6" s="27">
        <f>(0.5*'Alternative 3'!$B$48*'Alternative 3'!B45^3*'Alternative 3'!$B$49*'Alternative 3'!$B$47)/10^6</f>
        <v>2.6813297263007302E-3</v>
      </c>
      <c r="X6" s="8">
        <f>(W6/'Alternative 3'!B45)*1000000</f>
        <v>893.7765754335768</v>
      </c>
      <c r="Y6" s="8">
        <f>X6*'Alternative 3'!$B$40</f>
        <v>983.15423297693451</v>
      </c>
    </row>
    <row r="7" spans="1:25" x14ac:dyDescent="0.25">
      <c r="B7" s="23"/>
      <c r="C7" s="23"/>
      <c r="D7" s="23"/>
      <c r="E7" s="23"/>
      <c r="F7" s="25"/>
      <c r="G7" s="25"/>
      <c r="H7" s="6"/>
    </row>
    <row r="8" spans="1:25" x14ac:dyDescent="0.25">
      <c r="B8" s="23"/>
      <c r="C8" s="23"/>
      <c r="D8" s="23"/>
      <c r="E8" s="23"/>
      <c r="F8" s="25"/>
      <c r="G8" s="25"/>
      <c r="H8" s="6"/>
    </row>
    <row r="9" spans="1:25" x14ac:dyDescent="0.25">
      <c r="B9" s="23"/>
      <c r="C9" s="23"/>
      <c r="D9" s="23"/>
      <c r="E9" s="23"/>
      <c r="F9" s="25"/>
      <c r="G9" s="25"/>
      <c r="H9" s="6"/>
    </row>
    <row r="10" spans="1:25" ht="15.75" customHeight="1" x14ac:dyDescent="0.25">
      <c r="B10" s="23"/>
      <c r="C10" s="23"/>
      <c r="D10" s="23"/>
      <c r="E10" s="23"/>
      <c r="F10" s="25"/>
      <c r="G10" s="25"/>
      <c r="H10" s="6"/>
    </row>
    <row r="11" spans="1:25" x14ac:dyDescent="0.25">
      <c r="B11" s="23"/>
      <c r="C11" s="23"/>
      <c r="D11" s="23"/>
      <c r="E11" s="23"/>
      <c r="F11" s="25"/>
      <c r="G11" s="25"/>
      <c r="H11" s="25"/>
    </row>
    <row r="12" spans="1:25" ht="15" customHeight="1" x14ac:dyDescent="0.25">
      <c r="B12" s="23"/>
      <c r="C12" s="23"/>
      <c r="D12" s="23"/>
      <c r="E12" s="23"/>
      <c r="F12" s="25"/>
      <c r="G12" s="25"/>
      <c r="H12" s="25"/>
    </row>
    <row r="13" spans="1:25" x14ac:dyDescent="0.25">
      <c r="B13" s="23"/>
      <c r="C13" s="23"/>
      <c r="D13" s="23"/>
      <c r="E13" s="23"/>
      <c r="F13" s="25"/>
      <c r="G13" s="25"/>
      <c r="H13" s="6"/>
    </row>
    <row r="14" spans="1:25" x14ac:dyDescent="0.25">
      <c r="B14" s="23"/>
      <c r="C14" s="23"/>
      <c r="D14" s="23"/>
      <c r="E14" s="23"/>
      <c r="F14" s="25"/>
      <c r="G14" s="25"/>
      <c r="H14" s="6"/>
    </row>
    <row r="15" spans="1:25" x14ac:dyDescent="0.25">
      <c r="B15" s="23"/>
      <c r="C15" s="23"/>
      <c r="D15" s="23"/>
      <c r="E15" s="23"/>
      <c r="F15" s="25"/>
      <c r="G15" s="25"/>
      <c r="H15" s="6"/>
    </row>
    <row r="16" spans="1:25" x14ac:dyDescent="0.25">
      <c r="B16" s="23"/>
      <c r="C16" s="23"/>
      <c r="D16" s="23"/>
      <c r="E16" s="23"/>
      <c r="F16" s="25"/>
      <c r="G16" s="25"/>
      <c r="H16" s="25"/>
    </row>
    <row r="17" spans="2:8" x14ac:dyDescent="0.25">
      <c r="B17" s="23"/>
      <c r="C17" s="23"/>
      <c r="D17" s="23"/>
      <c r="E17" s="23"/>
      <c r="F17" s="25"/>
      <c r="G17" s="25"/>
      <c r="H17" s="25"/>
    </row>
    <row r="18" spans="2:8" x14ac:dyDescent="0.25">
      <c r="B18" s="23"/>
      <c r="C18" s="23"/>
      <c r="D18" s="23"/>
      <c r="E18" s="23"/>
      <c r="F18" s="25"/>
      <c r="G18" s="25"/>
      <c r="H18" s="25"/>
    </row>
    <row r="19" spans="2:8" x14ac:dyDescent="0.25">
      <c r="B19" s="23"/>
      <c r="C19" s="23"/>
      <c r="D19" s="23"/>
      <c r="E19" s="23"/>
      <c r="F19" s="25"/>
      <c r="G19" s="25"/>
      <c r="H19" s="25"/>
    </row>
    <row r="20" spans="2:8" x14ac:dyDescent="0.25">
      <c r="B20" s="23"/>
      <c r="C20" s="23"/>
      <c r="D20" s="23"/>
      <c r="E20" s="23"/>
      <c r="F20" s="25"/>
      <c r="G20" s="25"/>
      <c r="H20" s="25"/>
    </row>
    <row r="21" spans="2:8" x14ac:dyDescent="0.25">
      <c r="B21" s="23"/>
      <c r="C21" s="23"/>
      <c r="D21" s="23"/>
      <c r="E21" s="23"/>
      <c r="F21" s="25"/>
      <c r="G21" s="25"/>
      <c r="H21" s="25"/>
    </row>
    <row r="22" spans="2:8" x14ac:dyDescent="0.25">
      <c r="B22" s="23"/>
      <c r="C22" s="23"/>
      <c r="D22" s="23"/>
      <c r="E22" s="23"/>
      <c r="F22" s="25"/>
      <c r="G22" s="25"/>
      <c r="H22" s="25"/>
    </row>
    <row r="23" spans="2:8" x14ac:dyDescent="0.25">
      <c r="B23" s="23"/>
      <c r="C23" s="23"/>
      <c r="D23" s="23"/>
      <c r="E23" s="23"/>
      <c r="F23" s="25"/>
      <c r="G23" s="25"/>
      <c r="H23" s="25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x14ac:dyDescent="0.25">
      <c r="B25" s="25"/>
      <c r="C25" s="25"/>
      <c r="D25" s="25"/>
      <c r="E25" s="25"/>
      <c r="F25" s="25"/>
      <c r="G25" s="25"/>
      <c r="H25" s="25"/>
    </row>
    <row r="26" spans="2:8" x14ac:dyDescent="0.25">
      <c r="B26" s="25"/>
      <c r="C26" s="25"/>
      <c r="D26" s="25"/>
      <c r="E26" s="25"/>
      <c r="F26" s="25"/>
      <c r="G26" s="25"/>
      <c r="H26" s="25"/>
    </row>
    <row r="27" spans="2:8" x14ac:dyDescent="0.25">
      <c r="B27" s="25"/>
      <c r="C27" s="25"/>
      <c r="D27" s="25"/>
      <c r="E27" s="25"/>
      <c r="F27" s="25"/>
      <c r="G27" s="25"/>
      <c r="H27" s="25"/>
    </row>
    <row r="28" spans="2:8" x14ac:dyDescent="0.25">
      <c r="B28" s="25"/>
      <c r="C28" s="25"/>
      <c r="D28" s="25"/>
      <c r="E28" s="25"/>
      <c r="F28" s="25"/>
      <c r="G28" s="25"/>
      <c r="H28" s="25"/>
    </row>
    <row r="29" spans="2:8" x14ac:dyDescent="0.25">
      <c r="B29" s="25"/>
      <c r="C29" s="25"/>
      <c r="D29" s="25"/>
      <c r="E29" s="25"/>
      <c r="F29" s="25"/>
      <c r="G29" s="25"/>
      <c r="H29" s="25"/>
    </row>
    <row r="30" spans="2:8" x14ac:dyDescent="0.25">
      <c r="B30" s="25"/>
      <c r="C30" s="25"/>
      <c r="D30" s="25"/>
      <c r="E30" s="25"/>
      <c r="F30" s="25"/>
      <c r="G30" s="25"/>
      <c r="H30" s="25"/>
    </row>
    <row r="31" spans="2:8" x14ac:dyDescent="0.25">
      <c r="B31" s="25"/>
      <c r="C31" s="25"/>
      <c r="D31" s="25"/>
      <c r="E31" s="25"/>
      <c r="F31" s="25"/>
      <c r="G31" s="25"/>
      <c r="H31" s="25"/>
    </row>
    <row r="32" spans="2:8" x14ac:dyDescent="0.25">
      <c r="B32" s="25"/>
      <c r="C32" s="25"/>
      <c r="D32" s="25"/>
      <c r="E32" s="25"/>
      <c r="F32" s="25"/>
      <c r="G32" s="25"/>
      <c r="H32" s="25"/>
    </row>
    <row r="33" spans="2:8" x14ac:dyDescent="0.25">
      <c r="B33" s="25"/>
      <c r="C33" s="25"/>
      <c r="D33" s="25"/>
      <c r="E33" s="25"/>
      <c r="F33" s="25"/>
      <c r="G33" s="25"/>
      <c r="H33" s="25"/>
    </row>
    <row r="34" spans="2:8" x14ac:dyDescent="0.25">
      <c r="B34" s="25"/>
      <c r="C34" s="25"/>
      <c r="D34" s="25"/>
      <c r="E34" s="25"/>
      <c r="F34" s="25"/>
      <c r="G34" s="25"/>
      <c r="H34" s="25"/>
    </row>
    <row r="35" spans="2:8" x14ac:dyDescent="0.25">
      <c r="B35" s="25"/>
      <c r="C35" s="25"/>
      <c r="D35" s="25"/>
      <c r="E35" s="25"/>
      <c r="F35" s="25"/>
      <c r="G35" s="25"/>
      <c r="H35" s="25"/>
    </row>
    <row r="36" spans="2:8" x14ac:dyDescent="0.25">
      <c r="B36" s="25"/>
      <c r="C36" s="25"/>
      <c r="D36" s="25"/>
      <c r="E36" s="25"/>
      <c r="F36" s="25"/>
      <c r="G36" s="25"/>
      <c r="H36" s="25"/>
    </row>
    <row r="37" spans="2:8" x14ac:dyDescent="0.25">
      <c r="B37" s="25"/>
      <c r="C37" s="25"/>
      <c r="D37" s="25"/>
      <c r="E37" s="25"/>
      <c r="F37" s="25"/>
      <c r="G37" s="25"/>
      <c r="H37" s="25"/>
    </row>
    <row r="38" spans="2:8" x14ac:dyDescent="0.25">
      <c r="B38" s="25"/>
      <c r="C38" s="25"/>
      <c r="D38" s="25"/>
      <c r="E38" s="25"/>
      <c r="F38" s="25"/>
      <c r="G38" s="25"/>
      <c r="H38" s="25"/>
    </row>
    <row r="39" spans="2:8" x14ac:dyDescent="0.25">
      <c r="B39" s="25"/>
      <c r="C39" s="25"/>
      <c r="D39" s="25"/>
      <c r="E39" s="25"/>
      <c r="F39" s="25"/>
      <c r="G39" s="25"/>
      <c r="H39" s="25"/>
    </row>
    <row r="40" spans="2:8" x14ac:dyDescent="0.25">
      <c r="B40" s="25"/>
      <c r="C40" s="25"/>
      <c r="D40" s="25"/>
      <c r="E40" s="25"/>
      <c r="F40" s="25"/>
      <c r="G40" s="25"/>
      <c r="H40" s="25"/>
    </row>
    <row r="41" spans="2:8" x14ac:dyDescent="0.25">
      <c r="B41" s="25"/>
      <c r="C41" s="25"/>
      <c r="D41" s="25"/>
      <c r="E41" s="25"/>
      <c r="F41" s="25"/>
      <c r="G41" s="25"/>
      <c r="H41" s="25"/>
    </row>
    <row r="42" spans="2:8" x14ac:dyDescent="0.25">
      <c r="B42" s="25"/>
      <c r="C42" s="25"/>
      <c r="D42" s="25"/>
      <c r="E42" s="25"/>
      <c r="F42" s="25"/>
      <c r="G42" s="25"/>
      <c r="H42" s="25"/>
    </row>
    <row r="43" spans="2:8" x14ac:dyDescent="0.25">
      <c r="B43" s="25"/>
      <c r="C43" s="25"/>
      <c r="D43" s="25"/>
      <c r="E43" s="25"/>
      <c r="F43" s="25"/>
      <c r="G43" s="25"/>
      <c r="H43" s="25"/>
    </row>
    <row r="44" spans="2:8" x14ac:dyDescent="0.25">
      <c r="B44" s="25"/>
      <c r="C44" s="25"/>
      <c r="D44" s="25"/>
      <c r="E44" s="25"/>
      <c r="F44" s="25"/>
      <c r="G44" s="25"/>
      <c r="H44" s="25"/>
    </row>
    <row r="45" spans="2:8" x14ac:dyDescent="0.25">
      <c r="B45" s="25"/>
      <c r="C45" s="25"/>
      <c r="D45" s="25"/>
      <c r="E45" s="25"/>
      <c r="F45" s="25"/>
      <c r="G45" s="25"/>
      <c r="H45" s="25"/>
    </row>
    <row r="46" spans="2:8" x14ac:dyDescent="0.25">
      <c r="B46" s="25"/>
      <c r="C46" s="25"/>
      <c r="D46" s="25"/>
      <c r="E46" s="25"/>
      <c r="F46" s="25"/>
      <c r="G46" s="25"/>
      <c r="H46" s="25"/>
    </row>
    <row r="47" spans="2:8" x14ac:dyDescent="0.25">
      <c r="B47" s="25"/>
      <c r="C47" s="25"/>
      <c r="D47" s="25"/>
      <c r="E47" s="25"/>
      <c r="F47" s="25"/>
      <c r="G47" s="25"/>
      <c r="H47" s="25"/>
    </row>
    <row r="48" spans="2:8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x14ac:dyDescent="0.25">
      <c r="B51" s="25"/>
      <c r="C51" s="25"/>
      <c r="D51" s="25"/>
      <c r="E51" s="25"/>
      <c r="F51" s="25"/>
      <c r="G51" s="25"/>
      <c r="H51" s="25"/>
    </row>
    <row r="52" spans="2:8" x14ac:dyDescent="0.25">
      <c r="B52" s="25"/>
      <c r="C52" s="25"/>
      <c r="D52" s="25"/>
      <c r="E52" s="25"/>
      <c r="F52" s="25"/>
      <c r="G52" s="25"/>
      <c r="H52" s="25"/>
    </row>
    <row r="53" spans="2:8" x14ac:dyDescent="0.25">
      <c r="B53" s="25"/>
      <c r="C53" s="25"/>
      <c r="D53" s="25"/>
      <c r="E53" s="25"/>
      <c r="F53" s="25"/>
      <c r="G53" s="25"/>
      <c r="H53" s="25"/>
    </row>
    <row r="54" spans="2:8" x14ac:dyDescent="0.25">
      <c r="B54" s="25"/>
      <c r="C54" s="25"/>
      <c r="D54" s="25"/>
      <c r="E54" s="25"/>
      <c r="F54" s="25"/>
      <c r="G54" s="25"/>
      <c r="H54" s="25"/>
    </row>
    <row r="55" spans="2:8" x14ac:dyDescent="0.25">
      <c r="B55" s="25"/>
      <c r="C55" s="25"/>
      <c r="D55" s="25"/>
      <c r="E55" s="25"/>
      <c r="F55" s="25"/>
      <c r="G55" s="25"/>
      <c r="H55" s="25"/>
    </row>
    <row r="56" spans="2:8" x14ac:dyDescent="0.25">
      <c r="B56" s="25"/>
      <c r="C56" s="25"/>
      <c r="D56" s="25"/>
      <c r="E56" s="25"/>
      <c r="F56" s="25"/>
      <c r="G56" s="25"/>
      <c r="H56" s="25"/>
    </row>
    <row r="57" spans="2:8" x14ac:dyDescent="0.25">
      <c r="B57" s="25"/>
      <c r="C57" s="25"/>
      <c r="D57" s="25"/>
      <c r="E57" s="25"/>
      <c r="F57" s="25"/>
      <c r="G57" s="25"/>
      <c r="H57" s="25"/>
    </row>
    <row r="58" spans="2:8" x14ac:dyDescent="0.25">
      <c r="B58" s="25"/>
      <c r="C58" s="25"/>
      <c r="D58" s="25"/>
      <c r="E58" s="25"/>
      <c r="F58" s="25"/>
      <c r="G58" s="25"/>
      <c r="H58" s="25"/>
    </row>
    <row r="59" spans="2:8" x14ac:dyDescent="0.25">
      <c r="B59" s="25"/>
      <c r="C59" s="25"/>
      <c r="D59" s="25"/>
      <c r="E59" s="25"/>
      <c r="F59" s="25"/>
      <c r="G59" s="25"/>
      <c r="H59" s="25"/>
    </row>
    <row r="60" spans="2:8" x14ac:dyDescent="0.25">
      <c r="B60" s="25"/>
      <c r="C60" s="25"/>
      <c r="D60" s="25"/>
      <c r="E60" s="25"/>
      <c r="F60" s="25"/>
      <c r="G60" s="25"/>
      <c r="H60" s="25"/>
    </row>
    <row r="61" spans="2:8" x14ac:dyDescent="0.25">
      <c r="B61" s="25"/>
      <c r="C61" s="25"/>
      <c r="D61" s="25"/>
      <c r="E61" s="25"/>
      <c r="F61" s="25"/>
      <c r="G61" s="25"/>
      <c r="H61" s="25"/>
    </row>
    <row r="62" spans="2:8" x14ac:dyDescent="0.25">
      <c r="B62" s="25"/>
      <c r="C62" s="25"/>
      <c r="D62" s="25"/>
      <c r="E62" s="25"/>
      <c r="F62" s="25"/>
      <c r="G62" s="25"/>
      <c r="H62" s="25"/>
    </row>
    <row r="63" spans="2:8" x14ac:dyDescent="0.25">
      <c r="B63" s="25"/>
      <c r="C63" s="25"/>
      <c r="D63" s="25"/>
      <c r="E63" s="25"/>
      <c r="F63" s="25"/>
      <c r="G63" s="25"/>
      <c r="H63" s="25"/>
    </row>
    <row r="64" spans="2:8" x14ac:dyDescent="0.25">
      <c r="B64" s="25"/>
      <c r="C64" s="25"/>
      <c r="D64" s="25"/>
      <c r="E64" s="25"/>
      <c r="F64" s="25"/>
      <c r="G64" s="25"/>
      <c r="H64" s="25"/>
    </row>
    <row r="65" spans="2:8" x14ac:dyDescent="0.25">
      <c r="B65" s="25"/>
      <c r="C65" s="25"/>
      <c r="D65" s="25"/>
      <c r="E65" s="25"/>
      <c r="F65" s="25"/>
      <c r="G65" s="25"/>
      <c r="H65" s="25"/>
    </row>
    <row r="66" spans="2:8" x14ac:dyDescent="0.25">
      <c r="B66" s="25"/>
      <c r="C66" s="25"/>
      <c r="D66" s="25"/>
      <c r="E66" s="25"/>
      <c r="F66" s="25"/>
      <c r="G66" s="25"/>
      <c r="H66" s="25"/>
    </row>
    <row r="67" spans="2:8" x14ac:dyDescent="0.25">
      <c r="B67" s="25"/>
      <c r="C67" s="25"/>
      <c r="D67" s="25"/>
      <c r="E67" s="25"/>
      <c r="F67" s="25"/>
      <c r="G67" s="25"/>
      <c r="H67" s="25"/>
    </row>
    <row r="68" spans="2:8" x14ac:dyDescent="0.25">
      <c r="B68" s="25"/>
      <c r="C68" s="25"/>
      <c r="D68" s="25"/>
      <c r="E68" s="25"/>
      <c r="F68" s="25"/>
      <c r="G68" s="25"/>
      <c r="H68" s="25"/>
    </row>
    <row r="69" spans="2:8" x14ac:dyDescent="0.25">
      <c r="B69" s="25"/>
      <c r="C69" s="25"/>
      <c r="D69" s="25"/>
      <c r="E69" s="25"/>
      <c r="F69" s="25"/>
      <c r="G69" s="25"/>
      <c r="H69" s="25"/>
    </row>
    <row r="70" spans="2:8" x14ac:dyDescent="0.25">
      <c r="B70" s="25"/>
      <c r="C70" s="25"/>
      <c r="D70" s="25"/>
      <c r="E70" s="25"/>
      <c r="F70" s="25"/>
      <c r="G70" s="25"/>
      <c r="H70" s="25"/>
    </row>
    <row r="71" spans="2:8" x14ac:dyDescent="0.25">
      <c r="B71" s="25"/>
      <c r="C71" s="25"/>
      <c r="D71" s="25"/>
      <c r="E71" s="25"/>
      <c r="F71" s="25"/>
      <c r="G71" s="25"/>
      <c r="H71" s="25"/>
    </row>
    <row r="72" spans="2:8" x14ac:dyDescent="0.25">
      <c r="B72" s="25"/>
      <c r="C72" s="25"/>
      <c r="D72" s="25"/>
      <c r="E72" s="25"/>
      <c r="F72" s="25"/>
      <c r="G72" s="25"/>
      <c r="H72" s="25"/>
    </row>
    <row r="73" spans="2:8" x14ac:dyDescent="0.25">
      <c r="B73" s="25"/>
      <c r="C73" s="25"/>
      <c r="D73" s="25"/>
      <c r="E73" s="25"/>
      <c r="F73" s="25"/>
      <c r="G73" s="25"/>
      <c r="H73" s="25"/>
    </row>
    <row r="74" spans="2:8" x14ac:dyDescent="0.25">
      <c r="B74" s="25"/>
      <c r="C74" s="25"/>
      <c r="D74" s="25"/>
      <c r="E74" s="25"/>
      <c r="F74" s="25"/>
      <c r="G74" s="25"/>
      <c r="H74" s="25"/>
    </row>
    <row r="75" spans="2:8" x14ac:dyDescent="0.25">
      <c r="B75" s="25"/>
      <c r="C75" s="25"/>
      <c r="D75" s="25"/>
      <c r="E75" s="25"/>
      <c r="F75" s="25"/>
      <c r="G75" s="25"/>
      <c r="H75" s="25"/>
    </row>
    <row r="76" spans="2:8" x14ac:dyDescent="0.25">
      <c r="B76" s="25"/>
      <c r="C76" s="25"/>
      <c r="D76" s="25"/>
      <c r="E76" s="25"/>
      <c r="F76" s="25"/>
      <c r="G76" s="25"/>
      <c r="H76" s="25"/>
    </row>
    <row r="77" spans="2:8" x14ac:dyDescent="0.25">
      <c r="B77" s="25"/>
      <c r="C77" s="25"/>
      <c r="D77" s="25"/>
      <c r="E77" s="25"/>
      <c r="F77" s="25"/>
      <c r="G77" s="25"/>
      <c r="H77" s="25"/>
    </row>
    <row r="78" spans="2:8" x14ac:dyDescent="0.25">
      <c r="B78" s="25"/>
      <c r="C78" s="25"/>
      <c r="D78" s="25"/>
      <c r="E78" s="25"/>
      <c r="F78" s="25"/>
      <c r="G78" s="25"/>
      <c r="H78" s="25"/>
    </row>
    <row r="79" spans="2:8" x14ac:dyDescent="0.25">
      <c r="B79" s="25"/>
      <c r="C79" s="25"/>
      <c r="D79" s="25"/>
      <c r="E79" s="25"/>
      <c r="F79" s="25"/>
      <c r="G79" s="25"/>
      <c r="H79" s="25"/>
    </row>
    <row r="80" spans="2:8" x14ac:dyDescent="0.25">
      <c r="B80" s="25"/>
      <c r="C80" s="25"/>
      <c r="D80" s="25"/>
      <c r="E80" s="25"/>
      <c r="F80" s="25"/>
      <c r="G80" s="25"/>
      <c r="H80" s="25"/>
    </row>
    <row r="81" spans="2:8" x14ac:dyDescent="0.25">
      <c r="B81" s="25"/>
      <c r="C81" s="25"/>
      <c r="D81" s="25"/>
      <c r="E81" s="25"/>
      <c r="F81" s="25"/>
      <c r="G81" s="25"/>
      <c r="H81" s="25"/>
    </row>
    <row r="82" spans="2:8" x14ac:dyDescent="0.25">
      <c r="B82" s="25"/>
      <c r="C82" s="25"/>
      <c r="D82" s="25"/>
      <c r="E82" s="25"/>
      <c r="F82" s="25"/>
      <c r="G82" s="25"/>
      <c r="H82" s="25"/>
    </row>
    <row r="83" spans="2:8" x14ac:dyDescent="0.25">
      <c r="B83" s="25"/>
      <c r="C83" s="25"/>
      <c r="D83" s="25"/>
      <c r="E83" s="25"/>
      <c r="F83" s="25"/>
      <c r="G83" s="25"/>
      <c r="H83" s="25"/>
    </row>
    <row r="84" spans="2:8" x14ac:dyDescent="0.25">
      <c r="B84" s="25"/>
      <c r="C84" s="25"/>
      <c r="D84" s="25"/>
      <c r="E84" s="25"/>
      <c r="F84" s="25"/>
      <c r="G84" s="25"/>
      <c r="H84" s="25"/>
    </row>
    <row r="85" spans="2:8" x14ac:dyDescent="0.25">
      <c r="B85" s="25"/>
      <c r="C85" s="25"/>
      <c r="D85" s="25"/>
      <c r="E85" s="25"/>
      <c r="F85" s="25"/>
      <c r="G85" s="25"/>
      <c r="H85" s="25"/>
    </row>
    <row r="86" spans="2:8" x14ac:dyDescent="0.25">
      <c r="B86" s="25"/>
      <c r="C86" s="25"/>
      <c r="D86" s="25"/>
      <c r="E86" s="25"/>
      <c r="F86" s="25"/>
      <c r="G86" s="25"/>
      <c r="H86" s="25"/>
    </row>
    <row r="87" spans="2:8" x14ac:dyDescent="0.25">
      <c r="B87" s="25"/>
      <c r="C87" s="25"/>
      <c r="D87" s="25"/>
      <c r="E87" s="25"/>
      <c r="F87" s="25"/>
      <c r="G87" s="25"/>
      <c r="H87" s="25"/>
    </row>
    <row r="88" spans="2:8" x14ac:dyDescent="0.25">
      <c r="B88" s="25"/>
      <c r="C88" s="25"/>
      <c r="D88" s="25"/>
      <c r="E88" s="25"/>
      <c r="F88" s="25"/>
      <c r="G88" s="25"/>
      <c r="H88" s="25"/>
    </row>
    <row r="89" spans="2:8" x14ac:dyDescent="0.25">
      <c r="B89" s="25"/>
      <c r="C89" s="25"/>
      <c r="D89" s="25"/>
      <c r="E89" s="25"/>
      <c r="F89" s="25"/>
      <c r="G89" s="25"/>
      <c r="H89" s="25"/>
    </row>
    <row r="90" spans="2:8" x14ac:dyDescent="0.25">
      <c r="B90" s="25"/>
      <c r="C90" s="25"/>
      <c r="D90" s="25"/>
      <c r="E90" s="25"/>
      <c r="F90" s="25"/>
      <c r="G90" s="25"/>
      <c r="H90" s="25"/>
    </row>
    <row r="91" spans="2:8" x14ac:dyDescent="0.25">
      <c r="B91" s="25"/>
      <c r="C91" s="25"/>
      <c r="D91" s="25"/>
      <c r="E91" s="25"/>
      <c r="F91" s="25"/>
      <c r="G91" s="25"/>
      <c r="H91" s="25"/>
    </row>
    <row r="92" spans="2:8" x14ac:dyDescent="0.25">
      <c r="B92" s="25"/>
      <c r="C92" s="25"/>
      <c r="D92" s="25"/>
      <c r="E92" s="25"/>
      <c r="F92" s="25"/>
      <c r="G92" s="25"/>
      <c r="H92" s="25"/>
    </row>
    <row r="93" spans="2:8" x14ac:dyDescent="0.25">
      <c r="B93" s="25"/>
      <c r="C93" s="25"/>
      <c r="D93" s="25"/>
      <c r="E93" s="25"/>
      <c r="F93" s="25"/>
      <c r="G93" s="25"/>
      <c r="H93" s="25"/>
    </row>
    <row r="94" spans="2:8" x14ac:dyDescent="0.25">
      <c r="B94" s="25"/>
      <c r="C94" s="25"/>
      <c r="D94" s="25"/>
      <c r="E94" s="25"/>
      <c r="F94" s="25"/>
      <c r="G94" s="25"/>
      <c r="H94" s="25"/>
    </row>
    <row r="95" spans="2:8" x14ac:dyDescent="0.25">
      <c r="B95" s="25"/>
      <c r="C95" s="25"/>
      <c r="D95" s="25"/>
      <c r="E95" s="25"/>
      <c r="F95" s="25"/>
      <c r="G95" s="25"/>
      <c r="H95" s="25"/>
    </row>
    <row r="96" spans="2:8" x14ac:dyDescent="0.25">
      <c r="B96" s="25"/>
      <c r="C96" s="25"/>
      <c r="D96" s="25"/>
      <c r="E96" s="25"/>
      <c r="F96" s="25"/>
      <c r="G96" s="25"/>
      <c r="H96" s="25"/>
    </row>
    <row r="97" spans="2:8" x14ac:dyDescent="0.25">
      <c r="B97" s="25"/>
      <c r="C97" s="25"/>
      <c r="D97" s="25"/>
      <c r="E97" s="25"/>
      <c r="F97" s="25"/>
      <c r="G97" s="25"/>
      <c r="H97" s="25"/>
    </row>
    <row r="98" spans="2:8" x14ac:dyDescent="0.25">
      <c r="B98" s="25"/>
      <c r="C98" s="25"/>
      <c r="D98" s="25"/>
      <c r="E98" s="25"/>
      <c r="F98" s="25"/>
      <c r="G98" s="25"/>
      <c r="H98" s="25"/>
    </row>
    <row r="99" spans="2:8" x14ac:dyDescent="0.25">
      <c r="B99" s="25"/>
      <c r="C99" s="25"/>
      <c r="D99" s="25"/>
      <c r="E99" s="25"/>
      <c r="F99" s="25"/>
      <c r="G99" s="25"/>
      <c r="H99" s="25"/>
    </row>
    <row r="100" spans="2:8" x14ac:dyDescent="0.25">
      <c r="B100" s="25"/>
      <c r="C100" s="25"/>
      <c r="D100" s="25"/>
      <c r="E100" s="25"/>
      <c r="F100" s="25"/>
      <c r="G100" s="25"/>
      <c r="H100" s="25"/>
    </row>
    <row r="101" spans="2:8" x14ac:dyDescent="0.25">
      <c r="B101" s="25"/>
      <c r="C101" s="25"/>
      <c r="D101" s="25"/>
      <c r="E101" s="25"/>
      <c r="F101" s="25"/>
      <c r="G101" s="25"/>
      <c r="H101" s="25"/>
    </row>
    <row r="102" spans="2:8" x14ac:dyDescent="0.25">
      <c r="B102" s="25"/>
      <c r="C102" s="25"/>
      <c r="D102" s="25"/>
      <c r="E102" s="25"/>
      <c r="F102" s="25"/>
      <c r="G102" s="25"/>
      <c r="H102" s="25"/>
    </row>
    <row r="103" spans="2:8" x14ac:dyDescent="0.25">
      <c r="B103" s="25"/>
      <c r="C103" s="25"/>
      <c r="D103" s="25"/>
      <c r="E103" s="25"/>
      <c r="F103" s="25"/>
      <c r="G103" s="25"/>
      <c r="H103" s="25"/>
    </row>
    <row r="104" spans="2:8" x14ac:dyDescent="0.25">
      <c r="B104" s="25"/>
      <c r="C104" s="25"/>
      <c r="D104" s="25"/>
      <c r="E104" s="25"/>
      <c r="F104" s="25"/>
      <c r="G104" s="25"/>
      <c r="H104" s="25"/>
    </row>
    <row r="105" spans="2:8" x14ac:dyDescent="0.25">
      <c r="B105" s="25"/>
      <c r="C105" s="25"/>
      <c r="D105" s="25"/>
      <c r="E105" s="25"/>
      <c r="F105" s="25"/>
      <c r="G105" s="25"/>
      <c r="H105" s="25"/>
    </row>
    <row r="106" spans="2:8" x14ac:dyDescent="0.25">
      <c r="B106" s="25"/>
      <c r="C106" s="25"/>
      <c r="D106" s="25"/>
      <c r="E106" s="25"/>
      <c r="F106" s="25"/>
      <c r="G106" s="25"/>
      <c r="H106" s="25"/>
    </row>
    <row r="107" spans="2:8" x14ac:dyDescent="0.25">
      <c r="B107" s="25"/>
      <c r="C107" s="25"/>
      <c r="D107" s="25"/>
      <c r="E107" s="25"/>
      <c r="F107" s="25"/>
      <c r="G107" s="25"/>
      <c r="H107" s="25"/>
    </row>
    <row r="108" spans="2:8" x14ac:dyDescent="0.25">
      <c r="B108" s="25"/>
      <c r="C108" s="25"/>
      <c r="D108" s="25"/>
      <c r="E108" s="25"/>
      <c r="F108" s="25"/>
      <c r="G108" s="25"/>
      <c r="H108" s="25"/>
    </row>
    <row r="109" spans="2:8" x14ac:dyDescent="0.25">
      <c r="B109" s="25"/>
      <c r="C109" s="25"/>
      <c r="D109" s="25"/>
      <c r="E109" s="25"/>
      <c r="F109" s="25"/>
      <c r="G109" s="25"/>
      <c r="H109" s="25"/>
    </row>
    <row r="110" spans="2:8" x14ac:dyDescent="0.25">
      <c r="B110" s="25"/>
      <c r="C110" s="25"/>
      <c r="D110" s="25"/>
      <c r="E110" s="25"/>
      <c r="F110" s="25"/>
      <c r="G110" s="25"/>
      <c r="H110" s="25"/>
    </row>
    <row r="111" spans="2:8" x14ac:dyDescent="0.25">
      <c r="B111" s="25"/>
      <c r="C111" s="25"/>
      <c r="D111" s="25"/>
      <c r="E111" s="25"/>
      <c r="F111" s="25"/>
      <c r="G111" s="25"/>
      <c r="H111" s="25"/>
    </row>
    <row r="112" spans="2:8" x14ac:dyDescent="0.25">
      <c r="B112" s="25"/>
      <c r="C112" s="25"/>
      <c r="D112" s="25"/>
      <c r="E112" s="25"/>
      <c r="F112" s="25"/>
      <c r="G112" s="25"/>
      <c r="H112" s="25"/>
    </row>
    <row r="113" spans="2:8" x14ac:dyDescent="0.25">
      <c r="B113" s="25"/>
      <c r="C113" s="25"/>
      <c r="D113" s="25"/>
      <c r="E113" s="25"/>
      <c r="F113" s="25"/>
      <c r="G113" s="25"/>
      <c r="H113" s="25"/>
    </row>
  </sheetData>
  <customSheetViews>
    <customSheetView guid="{73608749-DAD6-470A-871E-DA0A326E9E7B}" scale="90">
      <selection activeCell="N2" sqref="N2"/>
      <pageMargins left="0.7" right="0.7" top="0.75" bottom="0.75" header="0.3" footer="0.3"/>
      <pageSetup orientation="portrait" r:id="rId1"/>
    </customSheetView>
  </customSheetViews>
  <mergeCells count="6">
    <mergeCell ref="K1:Q1"/>
    <mergeCell ref="R1:R6"/>
    <mergeCell ref="S1:Y1"/>
    <mergeCell ref="B1:B6"/>
    <mergeCell ref="C1:I1"/>
    <mergeCell ref="J1:J6"/>
  </mergeCell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-0.249977111117893"/>
  </sheetPr>
  <dimension ref="A1:AF103"/>
  <sheetViews>
    <sheetView zoomScale="80" zoomScaleNormal="80" workbookViewId="0">
      <selection sqref="A1:J1"/>
    </sheetView>
  </sheetViews>
  <sheetFormatPr defaultColWidth="9.140625" defaultRowHeight="15" x14ac:dyDescent="0.25"/>
  <cols>
    <col min="1" max="1" width="9" style="15" customWidth="1"/>
    <col min="2" max="2" width="12.7109375" style="15" customWidth="1"/>
    <col min="3" max="3" width="11.140625" style="15" customWidth="1"/>
    <col min="4" max="4" width="13.5703125" style="15" bestFit="1" customWidth="1"/>
    <col min="5" max="5" width="14.28515625" style="15" customWidth="1"/>
    <col min="6" max="6" width="10.28515625" style="15" customWidth="1"/>
    <col min="7" max="7" width="12.7109375" style="15" customWidth="1"/>
    <col min="8" max="10" width="9.140625" style="15"/>
    <col min="11" max="11" width="2.7109375" style="62" customWidth="1"/>
    <col min="12" max="14" width="9.140625" style="15"/>
    <col min="15" max="15" width="15.5703125" style="15" customWidth="1"/>
    <col min="16" max="17" width="9.140625" style="15"/>
    <col min="18" max="18" width="10.85546875" style="15" bestFit="1" customWidth="1"/>
    <col min="19" max="21" width="9.140625" style="15"/>
    <col min="22" max="22" width="3.28515625" style="62" customWidth="1"/>
    <col min="23" max="23" width="9.140625" style="15"/>
    <col min="24" max="25" width="9.140625" style="61"/>
    <col min="26" max="26" width="20.7109375" style="61" bestFit="1" customWidth="1"/>
    <col min="27" max="28" width="9.140625" style="61"/>
    <col min="29" max="29" width="12.42578125" style="61" bestFit="1" customWidth="1"/>
    <col min="30" max="31" width="9.140625" style="61"/>
    <col min="32" max="32" width="10" style="61" bestFit="1" customWidth="1"/>
    <col min="33" max="16384" width="9.140625" style="15"/>
  </cols>
  <sheetData>
    <row r="1" spans="1:32" ht="23.25" x14ac:dyDescent="0.25">
      <c r="A1" s="255" t="s">
        <v>120</v>
      </c>
      <c r="B1" s="255"/>
      <c r="C1" s="255"/>
      <c r="D1" s="255"/>
      <c r="E1" s="255"/>
      <c r="F1" s="255"/>
      <c r="G1" s="255"/>
      <c r="H1" s="255"/>
      <c r="I1" s="255"/>
      <c r="J1" s="255"/>
      <c r="K1" s="286"/>
      <c r="L1" s="37"/>
      <c r="M1" s="36"/>
      <c r="N1" s="36"/>
      <c r="O1" s="36" t="s">
        <v>121</v>
      </c>
      <c r="P1" s="36"/>
      <c r="Q1" s="36"/>
      <c r="R1" s="36"/>
      <c r="S1" s="36"/>
      <c r="T1" s="36"/>
      <c r="U1" s="36"/>
      <c r="V1" s="286"/>
      <c r="W1" s="255" t="s">
        <v>122</v>
      </c>
      <c r="X1" s="255"/>
      <c r="Y1" s="255"/>
      <c r="Z1" s="255"/>
      <c r="AA1" s="255"/>
      <c r="AB1" s="255"/>
      <c r="AC1" s="255"/>
      <c r="AD1" s="255"/>
      <c r="AE1" s="255"/>
      <c r="AF1" s="255"/>
    </row>
    <row r="2" spans="1:32" s="11" customFormat="1" ht="60" x14ac:dyDescent="0.25">
      <c r="A2" s="31" t="s">
        <v>4</v>
      </c>
      <c r="B2" s="31" t="s">
        <v>29</v>
      </c>
      <c r="C2" s="31" t="s">
        <v>63</v>
      </c>
      <c r="D2" s="31" t="s">
        <v>32</v>
      </c>
      <c r="E2" s="31" t="s">
        <v>85</v>
      </c>
      <c r="F2" s="31" t="s">
        <v>86</v>
      </c>
      <c r="G2" s="31" t="s">
        <v>30</v>
      </c>
      <c r="H2" s="31" t="s">
        <v>31</v>
      </c>
      <c r="I2" s="31" t="s">
        <v>87</v>
      </c>
      <c r="J2" s="31" t="s">
        <v>88</v>
      </c>
      <c r="K2" s="286"/>
      <c r="L2" s="31" t="s">
        <v>4</v>
      </c>
      <c r="M2" s="31" t="s">
        <v>29</v>
      </c>
      <c r="N2" s="31" t="s">
        <v>63</v>
      </c>
      <c r="O2" s="31" t="s">
        <v>32</v>
      </c>
      <c r="P2" s="31" t="s">
        <v>85</v>
      </c>
      <c r="Q2" s="31" t="s">
        <v>86</v>
      </c>
      <c r="R2" s="31" t="s">
        <v>30</v>
      </c>
      <c r="S2" s="31" t="s">
        <v>31</v>
      </c>
      <c r="T2" s="31" t="s">
        <v>87</v>
      </c>
      <c r="U2" s="283" t="s">
        <v>88</v>
      </c>
      <c r="V2" s="286"/>
      <c r="W2" s="285" t="s">
        <v>4</v>
      </c>
      <c r="X2" s="31" t="s">
        <v>29</v>
      </c>
      <c r="Y2" s="31" t="s">
        <v>63</v>
      </c>
      <c r="Z2" s="31" t="s">
        <v>32</v>
      </c>
      <c r="AA2" s="31" t="s">
        <v>85</v>
      </c>
      <c r="AB2" s="31" t="s">
        <v>86</v>
      </c>
      <c r="AC2" s="31" t="s">
        <v>30</v>
      </c>
      <c r="AD2" s="31" t="s">
        <v>31</v>
      </c>
      <c r="AE2" s="31" t="s">
        <v>87</v>
      </c>
      <c r="AF2" s="31" t="s">
        <v>88</v>
      </c>
    </row>
    <row r="3" spans="1:32" ht="14.45" customHeight="1" x14ac:dyDescent="0.25">
      <c r="A3" s="13">
        <f>IF('Alternative 1'!$F4&gt;0,'Alternative 1'!$F4,"x")</f>
        <v>1</v>
      </c>
      <c r="B3" s="30">
        <f>ROUNDUP('Alternative 1'!$B6,0)-0.5</f>
        <v>36.5</v>
      </c>
      <c r="C3" s="30">
        <f>'Alternative 1'!B12-0.5</f>
        <v>35.5</v>
      </c>
      <c r="D3" s="14">
        <f>'Dynamic Loading'!$I$3*'Combined Stress'!B3+'Wind Loading'!$F$69*C3+'Wind Loading'!$F$68*'Combined Stress'!C4+'Wind Loading'!$F$67*'Combined Stress'!C5+'Wind Loading'!$F$66*'Combined Stress'!C6+'Wind Loading'!$F$65*'Combined Stress'!C7+'Wind Loading'!$F$64*'Combined Stress'!C8+'Wind Loading'!$F$63*'Combined Stress'!C9+'Wind Loading'!$F$62*'Combined Stress'!C10+'Wind Loading'!$F$61*'Combined Stress'!C11+'Wind Loading'!$F$60*'Combined Stress'!C12+'Wind Loading'!$F$59*'Combined Stress'!C13+'Wind Loading'!$F$58*'Combined Stress'!C14+'Wind Loading'!$F$57*'Combined Stress'!C15+'Wind Loading'!$F$56*'Combined Stress'!C16+'Wind Loading'!$F$55*'Combined Stress'!C17+'Wind Loading'!$F$54*'Combined Stress'!C18+'Wind Loading'!$F$53*'Combined Stress'!C19+'Wind Loading'!$F$52*'Combined Stress'!C20+'Wind Loading'!$F$51*'Combined Stress'!C21+'Wind Loading'!$F$50*'Combined Stress'!C22+'Wind Loading'!$F$49*'Combined Stress'!C23+'Wind Loading'!$F$48*'Combined Stress'!C24+'Wind Loading'!$F$47*'Combined Stress'!C25+'Wind Loading'!$F$46*'Combined Stress'!C26+'Wind Loading'!$F$45*'Combined Stress'!C27+'Wind Loading'!$F$44*'Combined Stress'!C28+'Wind Loading'!$F$43*'Combined Stress'!C29+'Wind Loading'!$F$42*'Combined Stress'!C30+'Wind Loading'!$F$41*'Combined Stress'!C31+'Wind Loading'!$F$40*'Combined Stress'!C32+'Wind Loading'!$F$39*'Combined Stress'!C33+'Wind Loading'!$F$38*'Combined Stress'!C34+'Wind Loading'!$F$37*'Combined Stress'!C35+'Wind Loading'!$F$36*'Combined Stress'!C36+'Wind Loading'!$F$35*'Combined Stress'!C37+'Wind Loading'!$F$34*'Combined Stress'!C38+'Wind Loading'!$F$33*'Combined Stress'!C39+'Wind Loading'!$F$32*'Combined Stress'!C40+'Wind Loading'!$F$31*'Combined Stress'!C41+'Wind Loading'!$F$30*'Combined Stress'!C42+'Wind Loading'!$F$29*'Combined Stress'!C43+'Wind Loading'!$F$28*'Combined Stress'!C44+'Wind Loading'!$F$27*'Combined Stress'!C45+'Wind Loading'!$F$26*'Combined Stress'!C46+'Wind Loading'!$F$25*'Combined Stress'!C47+'Wind Loading'!$F$24*'Combined Stress'!C48+'Wind Loading'!$F$23*'Combined Stress'!C49+'Wind Loading'!$F$22*'Combined Stress'!C50+'Wind Loading'!$F$21*'Combined Stress'!C51+'Wind Loading'!$F$20*'Combined Stress'!C52+'Wind Loading'!$F$19*'Combined Stress'!C53+'Wind Loading'!$F$18*'Combined Stress'!C54+'Wind Loading'!$F$17*'Combined Stress'!C55+'Wind Loading'!$F$16*'Combined Stress'!C56+'Wind Loading'!$F$15*'Combined Stress'!C57+'Wind Loading'!$F$14*'Combined Stress'!C58+'Wind Loading'!$F$13*'Combined Stress'!C59+'Wind Loading'!$F$12*'Combined Stress'!C60+'Wind Loading'!$F$11*'Combined Stress'!C61+'Wind Loading'!$F$10*'Combined Stress'!C62+'Wind Loading'!$F$9*'Combined Stress'!C63+'Wind Loading'!$F$8*'Combined Stress'!C64+'Wind Loading'!$F$7*'Combined Stress'!C65+'Wind Loading'!$F$6*'Combined Stress'!C66+'Wind Loading'!$F$5*'Combined Stress'!C67+'Wind Loading'!$F$4*'Combined Stress'!C68+'Wind Loading'!$F$3*'Combined Stress'!C69</f>
        <v>734350.60375815188</v>
      </c>
      <c r="E3" s="14">
        <f>((D3*'Alternative 1'!K4)/'Alternative 1'!L4)/1000000</f>
        <v>10.640336087512855</v>
      </c>
      <c r="F3" s="14">
        <f>'Alternative 1'!$B12</f>
        <v>36</v>
      </c>
      <c r="G3" s="14">
        <f>IF(F3&gt;0,'Alternative 1'!$B$3+'Alternative 1'!$B$5+('Alternative 1'!$B$39*F3),0)</f>
        <v>320908.33482501161</v>
      </c>
      <c r="H3" s="14">
        <f>'Alternative 1'!M4</f>
        <v>3.4507899890198299</v>
      </c>
      <c r="I3" s="14">
        <f t="shared" ref="I3:I34" si="0">(G3/H3)/1000000</f>
        <v>9.2995614292993578E-2</v>
      </c>
      <c r="J3" s="14">
        <f t="shared" ref="J3:J34" si="1">I3+E3</f>
        <v>10.733331701805849</v>
      </c>
      <c r="K3" s="286"/>
      <c r="L3" s="13">
        <f>IF('Alternative 2'!$F4&gt;0,'Alternative 2'!$F4,"x")</f>
        <v>1</v>
      </c>
      <c r="M3" s="30">
        <f>ROUNDUP('Alternative 2'!$B6,0)-0.5</f>
        <v>36.5</v>
      </c>
      <c r="N3" s="30">
        <f>'Alternative 2'!B12-0.5</f>
        <v>35.5</v>
      </c>
      <c r="O3" s="14">
        <f>'Dynamic Loading'!$Q$3*'Combined Stress'!M3+'Wind Loading'!$K$69*N3+'Wind Loading'!$K$68*'Combined Stress'!N4+'Wind Loading'!$K$67*'Combined Stress'!N5+'Wind Loading'!$K$66*'Combined Stress'!N6+'Wind Loading'!$K$65*'Combined Stress'!N7+'Wind Loading'!$K$64*'Combined Stress'!N8+'Wind Loading'!$K$63*'Combined Stress'!N9+'Wind Loading'!$K$62*'Combined Stress'!N10+'Wind Loading'!$K$61*'Combined Stress'!N11+'Wind Loading'!$K$60*'Combined Stress'!N12+'Wind Loading'!$K$59*'Combined Stress'!N13+'Wind Loading'!$K$58*'Combined Stress'!N14+'Wind Loading'!$K$57*'Combined Stress'!N15+'Wind Loading'!$K$56*'Combined Stress'!N16+'Wind Loading'!$K$55*'Combined Stress'!N17+'Wind Loading'!$K$54*'Combined Stress'!N18+'Wind Loading'!$K$53*'Combined Stress'!N19+'Wind Loading'!$K$52*'Combined Stress'!N20+'Wind Loading'!$K$51*'Combined Stress'!N21+'Wind Loading'!$K$50*'Combined Stress'!N22+'Wind Loading'!$K$49*'Combined Stress'!N23+'Wind Loading'!$K$48*'Combined Stress'!N24+'Wind Loading'!$K$47*'Combined Stress'!N25+'Wind Loading'!$K$46*'Combined Stress'!N26+'Wind Loading'!$K$45*'Combined Stress'!N27+'Wind Loading'!$K$44*'Combined Stress'!N28+'Wind Loading'!$K$43*'Combined Stress'!N29+'Wind Loading'!$K$42*'Combined Stress'!N30+'Wind Loading'!$K$41*'Combined Stress'!N31+'Wind Loading'!$K$40*'Combined Stress'!N32+'Wind Loading'!$K$39*'Combined Stress'!N33+'Wind Loading'!$K$38*'Combined Stress'!N34+'Wind Loading'!$K$37*'Combined Stress'!N35+'Wind Loading'!$K$36*'Combined Stress'!N36+'Wind Loading'!$K$35*'Combined Stress'!N37+'Wind Loading'!$K$34*'Combined Stress'!N38+'Wind Loading'!$K$33*'Combined Stress'!N39+'Wind Loading'!$K$32*'Combined Stress'!N40+'Wind Loading'!$K$31*'Combined Stress'!N41+'Wind Loading'!$K$30*'Combined Stress'!N42+'Wind Loading'!$K$29*'Combined Stress'!N43+'Wind Loading'!$K$28*'Combined Stress'!N44+'Wind Loading'!$K$27*'Combined Stress'!N45+'Wind Loading'!$K$26*'Combined Stress'!N46+'Wind Loading'!$K$25*'Combined Stress'!N47+'Wind Loading'!$K$24*'Combined Stress'!N48+'Wind Loading'!$K$23*'Combined Stress'!N49+'Wind Loading'!$K$22*'Combined Stress'!N50+'Wind Loading'!$K$21*'Combined Stress'!N51+'Wind Loading'!$K$20*'Combined Stress'!N52+'Wind Loading'!$K$19*'Combined Stress'!N53+'Wind Loading'!$K$18*'Combined Stress'!N54+'Wind Loading'!$K$17*'Combined Stress'!N55+'Wind Loading'!$K$16*'Combined Stress'!N56+'Wind Loading'!$K$15*'Combined Stress'!N57+'Wind Loading'!$K$14*'Combined Stress'!N58+'Wind Loading'!$K$13*'Combined Stress'!N59+'Wind Loading'!$K$12*'Combined Stress'!N60+'Wind Loading'!$K$11*'Combined Stress'!N61+'Wind Loading'!$K$10*'Combined Stress'!N62+'Wind Loading'!$K$9*'Combined Stress'!N63+'Wind Loading'!$K$8*'Combined Stress'!N64+'Wind Loading'!$K$7*'Combined Stress'!N65+'Wind Loading'!$K$6*'Combined Stress'!N66+'Wind Loading'!$K$5*'Combined Stress'!N67+'Wind Loading'!$K$4*'Combined Stress'!N68+'Wind Loading'!$K$3*'Combined Stress'!N69</f>
        <v>734350.60375815188</v>
      </c>
      <c r="P3" s="14">
        <f>((O3*'Alternative 2'!K4)/'Alternative 2'!L4)/1000000</f>
        <v>10.640336087512855</v>
      </c>
      <c r="Q3" s="14">
        <f>'Alternative 2'!$B12</f>
        <v>36</v>
      </c>
      <c r="R3" s="14">
        <f>'Alternative 2'!$B$3+'Alternative 2'!$B$5+('Alternative 2'!$B$39*Q3)</f>
        <v>320908.33482501161</v>
      </c>
      <c r="S3" s="14">
        <f>'Alternative 2'!M4</f>
        <v>3.4507899890198299</v>
      </c>
      <c r="T3" s="14">
        <f t="shared" ref="T3:T34" si="2">(R3/S3)/1000000</f>
        <v>9.2995614292993578E-2</v>
      </c>
      <c r="U3" s="284">
        <f t="shared" ref="U3:U34" si="3">T3+P3</f>
        <v>10.733331701805849</v>
      </c>
      <c r="V3" s="286"/>
      <c r="W3" s="153">
        <f>'Alternative 3'!F4</f>
        <v>1</v>
      </c>
      <c r="X3" s="30">
        <f>ROUNDUP('Alternative 3'!$B6,0)-0.5</f>
        <v>36.5</v>
      </c>
      <c r="Y3" s="30">
        <f>'Alternative 3'!B12-0.5</f>
        <v>35.5</v>
      </c>
      <c r="Z3" s="60">
        <f>'Dynamic Loading'!$Y$3*'Combined Stress'!X3+'Wind Loading'!$P$69*Y3+'Wind Loading'!$P$68*'Combined Stress'!Y4+'Wind Loading'!$P$67*'Combined Stress'!Y5+'Wind Loading'!$P$66*'Combined Stress'!Y6+'Wind Loading'!$P$65*'Combined Stress'!Y7+'Wind Loading'!$P$64*'Combined Stress'!Y8+'Wind Loading'!$P$63*'Combined Stress'!Y9+'Wind Loading'!$P$62*'Combined Stress'!Y10+'Wind Loading'!$P$61*'Combined Stress'!Y11+'Wind Loading'!$P$60*'Combined Stress'!Y12+'Wind Loading'!$P$59*'Combined Stress'!Y13+'Wind Loading'!$P$58*'Combined Stress'!Y14+'Wind Loading'!$P$57*'Combined Stress'!Y15+'Wind Loading'!$P$56*'Combined Stress'!Y16+'Wind Loading'!$P$55*'Combined Stress'!Y17+'Wind Loading'!$P$54*'Combined Stress'!Y18+'Wind Loading'!$P$53*'Combined Stress'!Y19+'Wind Loading'!$P$52*'Combined Stress'!Y20+'Wind Loading'!$P$51*'Combined Stress'!Y21+'Wind Loading'!$P$50*'Combined Stress'!Y22+'Wind Loading'!$P$49*'Combined Stress'!Y23+'Wind Loading'!$P$48*'Combined Stress'!Y24+'Wind Loading'!$P$47*'Combined Stress'!Y25+'Wind Loading'!$P$46*'Combined Stress'!Y26+'Wind Loading'!$P$45*'Combined Stress'!Y27+'Wind Loading'!$P$44*'Combined Stress'!Y28+'Wind Loading'!$P$43*'Combined Stress'!Y29+'Wind Loading'!$P$42*'Combined Stress'!Y30+'Wind Loading'!$P$41*'Combined Stress'!Y31+'Wind Loading'!$P$40*'Combined Stress'!Y32+'Wind Loading'!$P$39*'Combined Stress'!Y33+'Wind Loading'!$P$38*'Combined Stress'!Y34+'Wind Loading'!$P$37*'Combined Stress'!Y35+'Wind Loading'!$P$36*'Combined Stress'!Y36+'Wind Loading'!$P$35*'Combined Stress'!Y37+'Wind Loading'!$P$34*'Combined Stress'!Y38+'Wind Loading'!$P$33*'Combined Stress'!Y39+'Wind Loading'!$P$32*'Combined Stress'!Y40+'Wind Loading'!$P$31*'Combined Stress'!Y41+'Wind Loading'!$P$30*'Combined Stress'!Y42+'Wind Loading'!$P$29*'Combined Stress'!Y43+'Wind Loading'!$P$28*'Combined Stress'!Y44+'Wind Loading'!$P$27*'Combined Stress'!Y45+'Wind Loading'!$P$26*'Combined Stress'!Y46+'Wind Loading'!$P$25*'Combined Stress'!Y47+'Wind Loading'!$P$24*'Combined Stress'!Y48+'Wind Loading'!$P$23*'Combined Stress'!Y49+'Wind Loading'!$P$22*'Combined Stress'!Y50+'Wind Loading'!$P$21*'Combined Stress'!Y51+'Wind Loading'!$P$20*'Combined Stress'!Y52+'Wind Loading'!$P$19*'Combined Stress'!Y53+'Wind Loading'!$P$18*'Combined Stress'!Y54+'Wind Loading'!$P$17*'Combined Stress'!Y55+'Wind Loading'!$P$16*'Combined Stress'!Y56+'Wind Loading'!$P$15*'Combined Stress'!Y57+'Wind Loading'!$P$14*'Combined Stress'!Y58+'Wind Loading'!$P$13*'Combined Stress'!Y59+'Wind Loading'!$P$12*'Combined Stress'!Y60+'Wind Loading'!$P$11*'Combined Stress'!Y61+'Wind Loading'!$P$10*'Combined Stress'!Y62+'Wind Loading'!$P$9*'Combined Stress'!Y63+'Wind Loading'!$P$8*'Combined Stress'!Y64+'Wind Loading'!$P$7*'Combined Stress'!Y65+'Wind Loading'!$P$6*'Combined Stress'!Y66+'Wind Loading'!$P$5*'Combined Stress'!Y67+'Wind Loading'!$P$4*'Combined Stress'!Y68+'Wind Loading'!$P$3*'Combined Stress'!Y69</f>
        <v>734350.60375815188</v>
      </c>
      <c r="AA3" s="60">
        <f>((Z3*'Alternative 3'!K4)/'Alternative 3'!L4)/1000000</f>
        <v>10.640336087512855</v>
      </c>
      <c r="AB3" s="60">
        <f t="shared" ref="AB3:AB34" si="4">AB4+1</f>
        <v>67</v>
      </c>
      <c r="AC3" s="14">
        <f>'Alternative 3'!$B$3+'Alternative 3'!$B$5+('Alternative 2'!$B$39*AB3)</f>
        <v>584511.58775210485</v>
      </c>
      <c r="AD3" s="60">
        <f>'Alternative 3'!M4</f>
        <v>3.4507899890198299</v>
      </c>
      <c r="AE3" s="60">
        <f t="shared" ref="AE3:AE34" si="5">(AC3/AD3)/1000000</f>
        <v>0.16938486248423676</v>
      </c>
      <c r="AF3" s="60">
        <f t="shared" ref="AF3:AF34" si="6">AE3+AA3</f>
        <v>10.809720949997091</v>
      </c>
    </row>
    <row r="4" spans="1:32" ht="14.45" customHeight="1" x14ac:dyDescent="0.25">
      <c r="A4" s="13">
        <f>IF('Alternative 1'!F5&gt;0,'Alternative 1'!F5,"x")</f>
        <v>2</v>
      </c>
      <c r="B4" s="30">
        <f>IF(B3-1&gt;1,B3-1,0)</f>
        <v>35.5</v>
      </c>
      <c r="C4" s="30">
        <f>IF(C3-1&gt;0,C3-1,0)</f>
        <v>34.5</v>
      </c>
      <c r="D4" s="14">
        <f>'Dynamic Loading'!$I$3*'Combined Stress'!B4+'Wind Loading'!$F$69*C4+'Wind Loading'!$F$68*'Combined Stress'!C5+'Wind Loading'!$F$67*'Combined Stress'!C6+'Wind Loading'!$F$66*'Combined Stress'!C7+'Wind Loading'!$F$65*'Combined Stress'!C8+'Wind Loading'!$F$64*'Combined Stress'!C9+'Wind Loading'!$F$63*'Combined Stress'!C10+'Wind Loading'!$F$62*'Combined Stress'!C11+'Wind Loading'!$F$61*'Combined Stress'!C12+'Wind Loading'!$F$60*'Combined Stress'!C13+'Wind Loading'!$F$59*'Combined Stress'!C14+'Wind Loading'!$F$58*'Combined Stress'!C15+'Wind Loading'!$F$57*'Combined Stress'!C16+'Wind Loading'!$F$56*'Combined Stress'!C17+'Wind Loading'!$F$55*'Combined Stress'!C18+'Wind Loading'!$F$54*'Combined Stress'!C19+'Wind Loading'!$F$53*'Combined Stress'!C20+'Wind Loading'!$F$52*'Combined Stress'!C21+'Wind Loading'!$F$51*'Combined Stress'!C22+'Wind Loading'!$F$50*'Combined Stress'!C23+'Wind Loading'!$F$49*'Combined Stress'!C24+'Wind Loading'!$F$48*'Combined Stress'!C25+'Wind Loading'!$F$47*'Combined Stress'!C26+'Wind Loading'!$F$46*'Combined Stress'!C27+'Wind Loading'!$F$45*'Combined Stress'!C28+'Wind Loading'!$F$44*'Combined Stress'!C29+'Wind Loading'!$F$43*'Combined Stress'!C30+'Wind Loading'!$F$42*'Combined Stress'!C31+'Wind Loading'!$F$41*'Combined Stress'!C32+'Wind Loading'!$F$40*'Combined Stress'!C33+'Wind Loading'!$F$39*'Combined Stress'!C34+'Wind Loading'!$F$38*'Combined Stress'!C35+'Wind Loading'!$F$37*'Combined Stress'!C36+'Wind Loading'!$F$36*'Combined Stress'!C37+'Wind Loading'!$F$35*'Combined Stress'!C38+'Wind Loading'!$F$34*'Combined Stress'!C39+'Wind Loading'!$F$33*'Combined Stress'!C40+'Wind Loading'!$F$32*'Combined Stress'!C41+'Wind Loading'!$F$31*'Combined Stress'!C42+'Wind Loading'!$F$30*'Combined Stress'!C43+'Wind Loading'!$F$29*'Combined Stress'!C44+'Wind Loading'!$F$28*'Combined Stress'!C45+'Wind Loading'!$F$27*'Combined Stress'!C46+'Wind Loading'!$F$26*'Combined Stress'!C47+'Wind Loading'!$F$25*'Combined Stress'!C48+'Wind Loading'!$F$24*'Combined Stress'!C49+'Wind Loading'!$F$23*'Combined Stress'!C50+'Wind Loading'!$F$22*'Combined Stress'!C51+'Wind Loading'!$F$21*'Combined Stress'!C52+'Wind Loading'!$F$20*'Combined Stress'!C53+'Wind Loading'!$F$19*'Combined Stress'!C54+'Wind Loading'!$F$18*'Combined Stress'!C55+'Wind Loading'!$F$17*'Combined Stress'!C56+'Wind Loading'!$F$16*'Combined Stress'!C57+'Wind Loading'!$F$15*'Combined Stress'!C58+'Wind Loading'!$F$14*'Combined Stress'!C59+'Wind Loading'!$F$13*'Combined Stress'!C60+'Wind Loading'!$F$12*'Combined Stress'!C61+'Wind Loading'!$F$11*'Combined Stress'!C62+'Wind Loading'!$F$10*'Combined Stress'!C63+'Wind Loading'!$F$9*'Combined Stress'!C64+'Wind Loading'!$F$8*'Combined Stress'!C65+'Wind Loading'!$F$7*'Combined Stress'!C66+'Wind Loading'!$F$6*'Combined Stress'!C67+'Wind Loading'!$F$5*'Combined Stress'!C68+'Wind Loading'!$F$4*'Combined Stress'!C69</f>
        <v>708078.39697717782</v>
      </c>
      <c r="E4" s="30">
        <f>IF(E3-1&gt;0,E3-1,0)</f>
        <v>9.6403360875128552</v>
      </c>
      <c r="F4" s="30">
        <f>IF(F3-1&gt;0,F3-1,0)</f>
        <v>35</v>
      </c>
      <c r="G4" s="14">
        <f>IF(F4&gt;0,'Alternative 1'!$B$3+'Alternative 1'!$B$5+('Alternative 1'!$B$39*F4),0)</f>
        <v>312405.00408542791</v>
      </c>
      <c r="H4" s="14">
        <f>'Alternative 1'!M5</f>
        <v>3.3856152278624325</v>
      </c>
      <c r="I4" s="14">
        <f t="shared" si="0"/>
        <v>9.2274219915613478E-2</v>
      </c>
      <c r="J4" s="14">
        <f t="shared" si="1"/>
        <v>9.7326103074284696</v>
      </c>
      <c r="K4" s="286"/>
      <c r="L4" s="13">
        <f>IF('Alternative 2'!$F5&gt;0,'Alternative 2'!$F5,"x")</f>
        <v>2</v>
      </c>
      <c r="M4" s="30">
        <f>IF(M3-1&gt;1,M3-1,0)</f>
        <v>35.5</v>
      </c>
      <c r="N4" s="30">
        <f>IF(N3-1&gt;0,N3-1,0)</f>
        <v>34.5</v>
      </c>
      <c r="O4" s="14">
        <f>'Dynamic Loading'!$Q$3*'Combined Stress'!M4+'Wind Loading'!$K$69*N4+'Wind Loading'!$K$68*'Combined Stress'!N5+'Wind Loading'!$K$67*'Combined Stress'!N6+'Wind Loading'!$K$66*'Combined Stress'!N7+'Wind Loading'!$K$65*'Combined Stress'!N8+'Wind Loading'!$K$64*'Combined Stress'!N9+'Wind Loading'!$K$63*'Combined Stress'!N10+'Wind Loading'!$K$62*'Combined Stress'!N11+'Wind Loading'!$K$61*'Combined Stress'!N12+'Wind Loading'!$K$60*'Combined Stress'!N13+'Wind Loading'!$K$59*'Combined Stress'!N14+'Wind Loading'!$K$58*'Combined Stress'!N15+'Wind Loading'!$K$57*'Combined Stress'!N16+'Wind Loading'!$K$56*'Combined Stress'!N17+'Wind Loading'!$K$55*'Combined Stress'!N18+'Wind Loading'!$K$54*'Combined Stress'!N19+'Wind Loading'!$K$53*'Combined Stress'!N20+'Wind Loading'!$K$52*'Combined Stress'!N21+'Wind Loading'!$K$51*'Combined Stress'!N22+'Wind Loading'!$K$50*'Combined Stress'!N23+'Wind Loading'!$K$49*'Combined Stress'!N24+'Wind Loading'!$K$48*'Combined Stress'!N25+'Wind Loading'!$K$47*'Combined Stress'!N26+'Wind Loading'!$K$46*'Combined Stress'!N27+'Wind Loading'!$K$45*'Combined Stress'!N28+'Wind Loading'!$K$44*'Combined Stress'!N29+'Wind Loading'!$K$43*'Combined Stress'!N30+'Wind Loading'!$K$42*'Combined Stress'!N31+'Wind Loading'!$K$41*'Combined Stress'!N32+'Wind Loading'!$K$40*'Combined Stress'!N33+'Wind Loading'!$K$39*'Combined Stress'!N34+'Wind Loading'!$K$38*'Combined Stress'!N35+'Wind Loading'!$K$37*'Combined Stress'!N36+'Wind Loading'!$K$36*'Combined Stress'!N37+'Wind Loading'!$K$35*'Combined Stress'!N38+'Wind Loading'!$K$34*'Combined Stress'!N39+'Wind Loading'!$K$33*'Combined Stress'!N40+'Wind Loading'!$K$32*'Combined Stress'!N41+'Wind Loading'!$K$31*'Combined Stress'!N42+'Wind Loading'!$K$30*'Combined Stress'!N43+'Wind Loading'!$K$29*'Combined Stress'!N44+'Wind Loading'!$K$28*'Combined Stress'!N45+'Wind Loading'!$K$27*'Combined Stress'!N46+'Wind Loading'!$K$26*'Combined Stress'!N47+'Wind Loading'!$K$25*'Combined Stress'!N48+'Wind Loading'!$K$24*'Combined Stress'!N49+'Wind Loading'!$K$23*'Combined Stress'!N50+'Wind Loading'!$K$22*'Combined Stress'!N51+'Wind Loading'!$K$21*'Combined Stress'!N52+'Wind Loading'!$K$20*'Combined Stress'!N53+'Wind Loading'!$K$19*'Combined Stress'!N54+'Wind Loading'!$K$18*'Combined Stress'!N55+'Wind Loading'!$K$17*'Combined Stress'!N56+'Wind Loading'!$K$16*'Combined Stress'!N57+'Wind Loading'!$K$15*'Combined Stress'!N58+'Wind Loading'!$K$14*'Combined Stress'!N59+'Wind Loading'!$K$13*'Combined Stress'!N60+'Wind Loading'!$K$12*'Combined Stress'!N61+'Wind Loading'!$K$11*'Combined Stress'!N62+'Wind Loading'!$K$10*'Combined Stress'!N63+'Wind Loading'!$K$9*'Combined Stress'!N64+'Wind Loading'!$K$8*'Combined Stress'!N65+'Wind Loading'!$K$7*'Combined Stress'!N66+'Wind Loading'!$K$6*'Combined Stress'!N67+'Wind Loading'!$K$5*'Combined Stress'!N68+'Wind Loading'!$K$4*'Combined Stress'!N69</f>
        <v>708078.39697717782</v>
      </c>
      <c r="P4" s="14">
        <f>((O4*'Alternative 2'!K5)/'Alternative 2'!L5)/1000000</f>
        <v>10.457169900991211</v>
      </c>
      <c r="Q4" s="30">
        <f>IF(Q3-1&gt;0,Q3-1,0)</f>
        <v>35</v>
      </c>
      <c r="R4" s="14">
        <f>'Alternative 2'!$B$3+'Alternative 2'!$B$5+('Alternative 2'!$B$39*Q4)</f>
        <v>312405.00408542791</v>
      </c>
      <c r="S4" s="14">
        <f>'Alternative 2'!M5</f>
        <v>3.3856152278624325</v>
      </c>
      <c r="T4" s="14">
        <f t="shared" si="2"/>
        <v>9.2274219915613478E-2</v>
      </c>
      <c r="U4" s="284">
        <f t="shared" si="3"/>
        <v>10.549444120906825</v>
      </c>
      <c r="V4" s="286"/>
      <c r="W4" s="153">
        <f>'Alternative 3'!F5</f>
        <v>2</v>
      </c>
      <c r="X4" s="59">
        <f>IF(W4&gt;0,X3-1,0)</f>
        <v>35.5</v>
      </c>
      <c r="Y4" s="30">
        <f>IF(Y3-1&gt;0,Y3-1,0)</f>
        <v>34.5</v>
      </c>
      <c r="Z4" s="60">
        <f>'Dynamic Loading'!$Y$3*'Combined Stress'!X4+'Wind Loading'!$P$69*Y4+'Wind Loading'!$P$68*'Combined Stress'!Y5+'Wind Loading'!$P$67*'Combined Stress'!Y6+'Wind Loading'!$P$66*'Combined Stress'!Y7+'Wind Loading'!$P$65*'Combined Stress'!Y8+'Wind Loading'!$P$64*'Combined Stress'!Y9+'Wind Loading'!$P$63*'Combined Stress'!Y10+'Wind Loading'!$P$62*'Combined Stress'!Y11+'Wind Loading'!$P$61*'Combined Stress'!Y12+'Wind Loading'!$P$60*'Combined Stress'!Y13+'Wind Loading'!$P$59*'Combined Stress'!Y14+'Wind Loading'!$P$58*'Combined Stress'!Y15+'Wind Loading'!$P$57*'Combined Stress'!Y16+'Wind Loading'!$P$56*'Combined Stress'!Y17+'Wind Loading'!$P$55*'Combined Stress'!Y18+'Wind Loading'!$P$54*'Combined Stress'!Y19+'Wind Loading'!$P$53*'Combined Stress'!Y20+'Wind Loading'!$P$52*'Combined Stress'!Y21+'Wind Loading'!$P$51*'Combined Stress'!Y22+'Wind Loading'!$P$50*'Combined Stress'!Y23+'Wind Loading'!$P$49*'Combined Stress'!Y24+'Wind Loading'!$P$48*'Combined Stress'!Y25+'Wind Loading'!$P$47*'Combined Stress'!Y26+'Wind Loading'!$P$46*'Combined Stress'!Y27+'Wind Loading'!$P$45*'Combined Stress'!Y28+'Wind Loading'!$P$44*'Combined Stress'!Y29+'Wind Loading'!$P$43*'Combined Stress'!Y30+'Wind Loading'!$P$42*'Combined Stress'!Y31+'Wind Loading'!$P$41*'Combined Stress'!Y32+'Wind Loading'!$P$40*'Combined Stress'!Y33+'Wind Loading'!$P$39*'Combined Stress'!Y34+'Wind Loading'!$P$38*'Combined Stress'!Y35+'Wind Loading'!$P$37*'Combined Stress'!Y36+'Wind Loading'!$P$36*'Combined Stress'!Y37+'Wind Loading'!$P$35*'Combined Stress'!Y38+'Wind Loading'!$P$34*'Combined Stress'!Y39+'Wind Loading'!$P$33*'Combined Stress'!Y40+'Wind Loading'!$P$32*'Combined Stress'!Y41+'Wind Loading'!$P$31*'Combined Stress'!Y42+'Wind Loading'!$P$30*'Combined Stress'!Y43+'Wind Loading'!$P$29*'Combined Stress'!Y44+'Wind Loading'!$P$28*'Combined Stress'!Y45+'Wind Loading'!$P$27*'Combined Stress'!Y46+'Wind Loading'!$P$26*'Combined Stress'!Y47+'Wind Loading'!$P$25*'Combined Stress'!Y48+'Wind Loading'!$P$24*'Combined Stress'!Y49+'Wind Loading'!$P$23*'Combined Stress'!Y50+'Wind Loading'!$P$22*'Combined Stress'!Y51+'Wind Loading'!$P$21*'Combined Stress'!Y52+'Wind Loading'!$P$20*'Combined Stress'!Y53+'Wind Loading'!$P$19*'Combined Stress'!Y54+'Wind Loading'!$P$18*'Combined Stress'!Y55+'Wind Loading'!$P$17*'Combined Stress'!Y56+'Wind Loading'!$P$16*'Combined Stress'!Y57+'Wind Loading'!$P$15*'Combined Stress'!Y58+'Wind Loading'!$P$14*'Combined Stress'!Y59+'Wind Loading'!$P$13*'Combined Stress'!Y60+'Wind Loading'!$P$12*'Combined Stress'!Y61+'Wind Loading'!$P$11*'Combined Stress'!Y62+'Wind Loading'!$P$10*'Combined Stress'!Y63+'Wind Loading'!$P$9*'Combined Stress'!Y64+'Wind Loading'!$P$8*'Combined Stress'!Y65+'Wind Loading'!$P$7*'Combined Stress'!Y66+'Wind Loading'!$P$6*'Combined Stress'!Y67+'Wind Loading'!$P$5*'Combined Stress'!Y68+'Wind Loading'!$P$4*'Combined Stress'!Y69</f>
        <v>708078.39697717782</v>
      </c>
      <c r="AA4" s="60">
        <f>((Z4*'Alternative 3'!K5)/'Alternative 3'!L5)/1000000</f>
        <v>10.457169900991211</v>
      </c>
      <c r="AB4" s="60">
        <f t="shared" si="4"/>
        <v>66</v>
      </c>
      <c r="AC4" s="14">
        <f>'Alternative 3'!$B$3+'Alternative 3'!$B$5+('Alternative 2'!$B$39*AB4)</f>
        <v>576008.25701252115</v>
      </c>
      <c r="AD4" s="60">
        <f>'Alternative 3'!M5</f>
        <v>3.3856152278624325</v>
      </c>
      <c r="AE4" s="60">
        <f t="shared" si="5"/>
        <v>0.1701339987699057</v>
      </c>
      <c r="AF4" s="60">
        <f t="shared" si="6"/>
        <v>10.627303899761117</v>
      </c>
    </row>
    <row r="5" spans="1:32" ht="14.45" customHeight="1" x14ac:dyDescent="0.25">
      <c r="A5" s="13">
        <f>IF('Alternative 1'!F6&gt;0,'Alternative 1'!F6,"x")</f>
        <v>3</v>
      </c>
      <c r="B5" s="30">
        <f t="shared" ref="B5:B68" si="7">IF(B4-1&gt;1,B4-1,0)</f>
        <v>34.5</v>
      </c>
      <c r="C5" s="30">
        <f t="shared" ref="C5:C68" si="8">IF(C4-1&gt;0,C4-1,0)</f>
        <v>33.5</v>
      </c>
      <c r="D5" s="14">
        <f>'Dynamic Loading'!$I$3*'Combined Stress'!B5+'Wind Loading'!$F$69*C5+'Wind Loading'!$F$68*'Combined Stress'!C6+'Wind Loading'!$F$67*'Combined Stress'!C7+'Wind Loading'!$F$66*'Combined Stress'!C8+'Wind Loading'!$F$65*'Combined Stress'!C9+'Wind Loading'!$F$64*'Combined Stress'!C10+'Wind Loading'!$F$63*'Combined Stress'!C11+'Wind Loading'!$F$62*'Combined Stress'!C12+'Wind Loading'!$F$61*'Combined Stress'!C13+'Wind Loading'!$F$60*'Combined Stress'!C14+'Wind Loading'!$F$59*'Combined Stress'!C15+'Wind Loading'!$F$58*'Combined Stress'!C16+'Wind Loading'!$F$57*'Combined Stress'!C17+'Wind Loading'!$F$56*'Combined Stress'!C18+'Wind Loading'!$F$55*'Combined Stress'!C19+'Wind Loading'!$F$54*'Combined Stress'!C20+'Wind Loading'!$F$53*'Combined Stress'!C21+'Wind Loading'!$F$52*'Combined Stress'!C22+'Wind Loading'!$F$51*'Combined Stress'!C23+'Wind Loading'!$F$50*'Combined Stress'!C24+'Wind Loading'!$F$49*'Combined Stress'!C25+'Wind Loading'!$F$48*'Combined Stress'!C26+'Wind Loading'!$F$47*'Combined Stress'!C27+'Wind Loading'!$F$46*'Combined Stress'!C28+'Wind Loading'!$F$45*'Combined Stress'!C29+'Wind Loading'!$F$44*'Combined Stress'!C30+'Wind Loading'!$F$43*'Combined Stress'!C31+'Wind Loading'!$F$42*'Combined Stress'!C32+'Wind Loading'!$F$41*'Combined Stress'!C33+'Wind Loading'!$F$40*'Combined Stress'!C34+'Wind Loading'!$F$39*'Combined Stress'!C35+'Wind Loading'!$F$38*'Combined Stress'!C36+'Wind Loading'!$F$37*'Combined Stress'!C37+'Wind Loading'!$F$36*'Combined Stress'!C38+'Wind Loading'!$F$35*'Combined Stress'!C39+'Wind Loading'!$F$34*'Combined Stress'!C40+'Wind Loading'!$F$33*'Combined Stress'!C41+'Wind Loading'!$F$32*'Combined Stress'!C42+'Wind Loading'!$F$31*'Combined Stress'!C43+'Wind Loading'!$F$30*'Combined Stress'!C44+'Wind Loading'!$F$29*'Combined Stress'!C45+'Wind Loading'!$F$28*'Combined Stress'!C46+'Wind Loading'!$F$27*'Combined Stress'!C47+'Wind Loading'!$F$26*'Combined Stress'!C48+'Wind Loading'!$F$25*'Combined Stress'!C49+'Wind Loading'!$F$24*'Combined Stress'!C50+'Wind Loading'!$F$23*'Combined Stress'!C51+'Wind Loading'!$F$22*'Combined Stress'!C52+'Wind Loading'!$F$21*'Combined Stress'!C53+'Wind Loading'!$F$20*'Combined Stress'!C54+'Wind Loading'!$F$19*'Combined Stress'!C55+'Wind Loading'!$F$18*'Combined Stress'!C56+'Wind Loading'!$F$17*'Combined Stress'!C57+'Wind Loading'!$F$16*'Combined Stress'!C58+'Wind Loading'!$F$15*'Combined Stress'!C59+'Wind Loading'!$F$14*'Combined Stress'!C60+'Wind Loading'!$F$13*'Combined Stress'!C61+'Wind Loading'!$F$12*'Combined Stress'!C62+'Wind Loading'!$F$11*'Combined Stress'!C63+'Wind Loading'!$F$10*'Combined Stress'!C64+'Wind Loading'!$F$9*'Combined Stress'!C65+'Wind Loading'!$F$8*'Combined Stress'!C66+'Wind Loading'!$F$7*'Combined Stress'!C67+'Wind Loading'!$F$6*'Combined Stress'!C68+'Wind Loading'!$F$5*'Combined Stress'!C69</f>
        <v>683306.7008054679</v>
      </c>
      <c r="E5" s="14">
        <f>((D5*'Alternative 1'!K6)/'Alternative 1'!L6)/1000000</f>
        <v>10.287483185429828</v>
      </c>
      <c r="F5" s="30">
        <f t="shared" ref="F5:F68" si="9">IF(F4-1&gt;0,F4-1,0)</f>
        <v>34</v>
      </c>
      <c r="G5" s="14">
        <f>IF(F5&gt;0,'Alternative 1'!$B$3+'Alternative 1'!$B$5+('Alternative 1'!$B$39*F5),0)</f>
        <v>303901.67334584426</v>
      </c>
      <c r="H5" s="14">
        <f>'Alternative 1'!M6</f>
        <v>3.3210618233798055</v>
      </c>
      <c r="I5" s="14">
        <f t="shared" si="0"/>
        <v>9.1507382128938247E-2</v>
      </c>
      <c r="J5" s="14">
        <f t="shared" si="1"/>
        <v>10.378990567558766</v>
      </c>
      <c r="K5" s="286"/>
      <c r="L5" s="13">
        <f>IF('Alternative 2'!$F6&gt;0,'Alternative 2'!$F6,"x")</f>
        <v>3</v>
      </c>
      <c r="M5" s="30">
        <f t="shared" ref="M5:M68" si="10">IF(M4-1&gt;1,M4-1,0)</f>
        <v>34.5</v>
      </c>
      <c r="N5" s="30">
        <f t="shared" ref="N5:N68" si="11">IF(N4-1&gt;0,N4-1,0)</f>
        <v>33.5</v>
      </c>
      <c r="O5" s="14">
        <f>'Dynamic Loading'!$Q$3*'Combined Stress'!M5+'Wind Loading'!$K$69*N5+'Wind Loading'!$K$68*'Combined Stress'!N6+'Wind Loading'!$K$67*'Combined Stress'!N7+'Wind Loading'!$K$66*'Combined Stress'!N8+'Wind Loading'!$K$65*'Combined Stress'!N9+'Wind Loading'!$K$64*'Combined Stress'!N10+'Wind Loading'!$K$63*'Combined Stress'!N11+'Wind Loading'!$K$62*'Combined Stress'!N12+'Wind Loading'!$K$61*'Combined Stress'!N13+'Wind Loading'!$K$60*'Combined Stress'!N14+'Wind Loading'!$K$59*'Combined Stress'!N15+'Wind Loading'!$K$58*'Combined Stress'!N16+'Wind Loading'!$K$57*'Combined Stress'!N17+'Wind Loading'!$K$56*'Combined Stress'!N18+'Wind Loading'!$K$55*'Combined Stress'!N19+'Wind Loading'!$K$54*'Combined Stress'!N20+'Wind Loading'!$K$53*'Combined Stress'!N21+'Wind Loading'!$K$52*'Combined Stress'!N22+'Wind Loading'!$K$51*'Combined Stress'!N23+'Wind Loading'!$K$50*'Combined Stress'!N24+'Wind Loading'!$K$49*'Combined Stress'!N25+'Wind Loading'!$K$48*'Combined Stress'!N26+'Wind Loading'!$K$47*'Combined Stress'!N27+'Wind Loading'!$K$46*'Combined Stress'!N28+'Wind Loading'!$K$45*'Combined Stress'!N29+'Wind Loading'!$K$44*'Combined Stress'!N30+'Wind Loading'!$K$43*'Combined Stress'!N31+'Wind Loading'!$K$42*'Combined Stress'!N32+'Wind Loading'!$K$41*'Combined Stress'!N33+'Wind Loading'!$K$40*'Combined Stress'!N34+'Wind Loading'!$K$39*'Combined Stress'!N35+'Wind Loading'!$K$38*'Combined Stress'!N36+'Wind Loading'!$K$37*'Combined Stress'!N37+'Wind Loading'!$K$36*'Combined Stress'!N38+'Wind Loading'!$K$35*'Combined Stress'!N39+'Wind Loading'!$K$34*'Combined Stress'!N40+'Wind Loading'!$K$33*'Combined Stress'!N41+'Wind Loading'!$K$32*'Combined Stress'!N42+'Wind Loading'!$K$31*'Combined Stress'!N43+'Wind Loading'!$K$30*'Combined Stress'!N44+'Wind Loading'!$K$29*'Combined Stress'!N45+'Wind Loading'!$K$28*'Combined Stress'!N46+'Wind Loading'!$K$27*'Combined Stress'!N47+'Wind Loading'!$K$26*'Combined Stress'!N48+'Wind Loading'!$K$25*'Combined Stress'!N49+'Wind Loading'!$K$24*'Combined Stress'!N50+'Wind Loading'!$K$23*'Combined Stress'!N51+'Wind Loading'!$K$22*'Combined Stress'!N52+'Wind Loading'!$K$21*'Combined Stress'!N53+'Wind Loading'!$K$20*'Combined Stress'!N54+'Wind Loading'!$K$19*'Combined Stress'!N55+'Wind Loading'!$K$18*'Combined Stress'!N56+'Wind Loading'!$K$17*'Combined Stress'!N57+'Wind Loading'!$K$16*'Combined Stress'!N58+'Wind Loading'!$K$15*'Combined Stress'!N59+'Wind Loading'!$K$14*'Combined Stress'!N60+'Wind Loading'!$K$13*'Combined Stress'!N61+'Wind Loading'!$K$12*'Combined Stress'!N62+'Wind Loading'!$K$11*'Combined Stress'!N63+'Wind Loading'!$K$10*'Combined Stress'!N64+'Wind Loading'!$K$9*'Combined Stress'!N65+'Wind Loading'!$K$8*'Combined Stress'!N66+'Wind Loading'!$K$7*'Combined Stress'!N67+'Wind Loading'!$K$6*'Combined Stress'!N68+'Wind Loading'!$K$5*'Combined Stress'!N69</f>
        <v>683306.7008054679</v>
      </c>
      <c r="P5" s="14">
        <f>((O5*'Alternative 2'!K6)/'Alternative 2'!L6)/1000000</f>
        <v>10.287483185429828</v>
      </c>
      <c r="Q5" s="30">
        <f t="shared" ref="Q5:Q68" si="12">IF(Q4-1&gt;0,Q4-1,0)</f>
        <v>34</v>
      </c>
      <c r="R5" s="14">
        <f>'Alternative 2'!$B$3+'Alternative 2'!$B$5+('Alternative 2'!$B$39*Q5)</f>
        <v>303901.67334584426</v>
      </c>
      <c r="S5" s="14">
        <f>'Alternative 2'!M6</f>
        <v>3.3210618233798055</v>
      </c>
      <c r="T5" s="14">
        <f t="shared" si="2"/>
        <v>9.1507382128938247E-2</v>
      </c>
      <c r="U5" s="284">
        <f t="shared" si="3"/>
        <v>10.378990567558766</v>
      </c>
      <c r="V5" s="286"/>
      <c r="W5" s="153">
        <f>'Alternative 3'!F6</f>
        <v>3</v>
      </c>
      <c r="X5" s="59">
        <f t="shared" ref="X5:X68" si="13">IF(W5&gt;0,X4-1,0)</f>
        <v>34.5</v>
      </c>
      <c r="Y5" s="30">
        <f t="shared" ref="Y5:Y68" si="14">IF(Y4-1&gt;0,Y4-1,0)</f>
        <v>33.5</v>
      </c>
      <c r="Z5" s="60">
        <f>'Dynamic Loading'!$Y$3*'Combined Stress'!X5+'Wind Loading'!$P$69*Y5+'Wind Loading'!$P$68*'Combined Stress'!Y6+'Wind Loading'!$P$67*'Combined Stress'!Y7+'Wind Loading'!$P$66*'Combined Stress'!Y8+'Wind Loading'!$P$65*'Combined Stress'!Y9+'Wind Loading'!$P$64*'Combined Stress'!Y10+'Wind Loading'!$P$63*'Combined Stress'!Y11+'Wind Loading'!$P$62*'Combined Stress'!Y12+'Wind Loading'!$P$61*'Combined Stress'!Y13+'Wind Loading'!$P$60*'Combined Stress'!Y14+'Wind Loading'!$P$59*'Combined Stress'!Y15+'Wind Loading'!$P$58*'Combined Stress'!Y16+'Wind Loading'!$P$57*'Combined Stress'!Y17+'Wind Loading'!$P$56*'Combined Stress'!Y18+'Wind Loading'!$P$55*'Combined Stress'!Y19+'Wind Loading'!$P$54*'Combined Stress'!Y20+'Wind Loading'!$P$53*'Combined Stress'!Y21+'Wind Loading'!$P$52*'Combined Stress'!Y22+'Wind Loading'!$P$51*'Combined Stress'!Y23+'Wind Loading'!$P$50*'Combined Stress'!Y24+'Wind Loading'!$P$49*'Combined Stress'!Y25+'Wind Loading'!$P$48*'Combined Stress'!Y26+'Wind Loading'!$P$47*'Combined Stress'!Y27+'Wind Loading'!$P$46*'Combined Stress'!Y28+'Wind Loading'!$P$45*'Combined Stress'!Y29+'Wind Loading'!$P$44*'Combined Stress'!Y30+'Wind Loading'!$P$43*'Combined Stress'!Y31+'Wind Loading'!$P$42*'Combined Stress'!Y32+'Wind Loading'!$P$41*'Combined Stress'!Y33+'Wind Loading'!$P$40*'Combined Stress'!Y34+'Wind Loading'!$P$39*'Combined Stress'!Y35+'Wind Loading'!$P$38*'Combined Stress'!Y36+'Wind Loading'!$P$37*'Combined Stress'!Y37+'Wind Loading'!$P$36*'Combined Stress'!Y38+'Wind Loading'!$P$35*'Combined Stress'!Y39+'Wind Loading'!$P$34*'Combined Stress'!Y40+'Wind Loading'!$P$33*'Combined Stress'!Y41+'Wind Loading'!$P$32*'Combined Stress'!Y42+'Wind Loading'!$P$31*'Combined Stress'!Y43+'Wind Loading'!$P$30*'Combined Stress'!Y44+'Wind Loading'!$P$29*'Combined Stress'!Y45+'Wind Loading'!$P$28*'Combined Stress'!Y46+'Wind Loading'!$P$27*'Combined Stress'!Y47+'Wind Loading'!$P$26*'Combined Stress'!Y48+'Wind Loading'!$P$25*'Combined Stress'!Y49+'Wind Loading'!$P$24*'Combined Stress'!Y50+'Wind Loading'!$P$23*'Combined Stress'!Y51+'Wind Loading'!$P$22*'Combined Stress'!Y52+'Wind Loading'!$P$21*'Combined Stress'!Y53+'Wind Loading'!$P$20*'Combined Stress'!Y54+'Wind Loading'!$P$19*'Combined Stress'!Y55+'Wind Loading'!$P$18*'Combined Stress'!Y56+'Wind Loading'!$P$17*'Combined Stress'!Y57+'Wind Loading'!$P$16*'Combined Stress'!Y58+'Wind Loading'!$P$15*'Combined Stress'!Y59+'Wind Loading'!$P$14*'Combined Stress'!Y60+'Wind Loading'!$P$13*'Combined Stress'!Y61+'Wind Loading'!$P$12*'Combined Stress'!Y62+'Wind Loading'!$P$11*'Combined Stress'!Y63+'Wind Loading'!$P$10*'Combined Stress'!Y64+'Wind Loading'!$P$9*'Combined Stress'!Y65+'Wind Loading'!$P$8*'Combined Stress'!Y66+'Wind Loading'!$P$7*'Combined Stress'!Y67+'Wind Loading'!$P$6*'Combined Stress'!Y68+'Wind Loading'!$P$5*'Combined Stress'!Y69</f>
        <v>683306.7008054679</v>
      </c>
      <c r="AA5" s="60">
        <f>((Z5*'Alternative 3'!K6)/'Alternative 3'!L6)/1000000</f>
        <v>10.287483185429828</v>
      </c>
      <c r="AB5" s="60">
        <f t="shared" si="4"/>
        <v>65</v>
      </c>
      <c r="AC5" s="14">
        <f>'Alternative 3'!$B$3+'Alternative 3'!$B$5+('Alternative 2'!$B$39*AB5)</f>
        <v>567504.92627293756</v>
      </c>
      <c r="AD5" s="60">
        <f>'Alternative 3'!M6</f>
        <v>3.3210618233798055</v>
      </c>
      <c r="AE5" s="60">
        <f t="shared" si="5"/>
        <v>0.17088056665424992</v>
      </c>
      <c r="AF5" s="60">
        <f t="shared" si="6"/>
        <v>10.458363752084077</v>
      </c>
    </row>
    <row r="6" spans="1:32" ht="14.45" customHeight="1" x14ac:dyDescent="0.25">
      <c r="A6" s="13">
        <f>IF('Alternative 1'!F7&gt;0,'Alternative 1'!F7,"x")</f>
        <v>4</v>
      </c>
      <c r="B6" s="30">
        <f t="shared" si="7"/>
        <v>33.5</v>
      </c>
      <c r="C6" s="30">
        <f t="shared" si="8"/>
        <v>32.5</v>
      </c>
      <c r="D6" s="14">
        <f>'Dynamic Loading'!$I$3*'Combined Stress'!B6+'Wind Loading'!$F$69*C6+'Wind Loading'!$F$68*'Combined Stress'!C7+'Wind Loading'!$F$67*'Combined Stress'!C8+'Wind Loading'!$F$66*'Combined Stress'!C9+'Wind Loading'!$F$65*'Combined Stress'!C10+'Wind Loading'!$F$64*'Combined Stress'!C11+'Wind Loading'!$F$63*'Combined Stress'!C12+'Wind Loading'!$F$62*'Combined Stress'!C13+'Wind Loading'!$F$61*'Combined Stress'!C14+'Wind Loading'!$F$60*'Combined Stress'!C15+'Wind Loading'!$F$59*'Combined Stress'!C16+'Wind Loading'!$F$58*'Combined Stress'!C17+'Wind Loading'!$F$57*'Combined Stress'!C18+'Wind Loading'!$F$56*'Combined Stress'!C19+'Wind Loading'!$F$55*'Combined Stress'!C20+'Wind Loading'!$F$54*'Combined Stress'!C21+'Wind Loading'!$F$53*'Combined Stress'!C22+'Wind Loading'!$F$52*'Combined Stress'!C23+'Wind Loading'!$F$51*'Combined Stress'!C24+'Wind Loading'!$F$50*'Combined Stress'!C25+'Wind Loading'!$F$49*'Combined Stress'!C26+'Wind Loading'!$F$48*'Combined Stress'!C27+'Wind Loading'!$F$47*'Combined Stress'!C28+'Wind Loading'!$F$46*'Combined Stress'!C29+'Wind Loading'!$F$45*'Combined Stress'!C30+'Wind Loading'!$F$44*'Combined Stress'!C31+'Wind Loading'!$F$43*'Combined Stress'!C32+'Wind Loading'!$F$42*'Combined Stress'!C33+'Wind Loading'!$F$41*'Combined Stress'!C34+'Wind Loading'!$F$40*'Combined Stress'!C35+'Wind Loading'!$F$39*'Combined Stress'!C36+'Wind Loading'!$F$38*'Combined Stress'!C37+'Wind Loading'!$F$37*'Combined Stress'!C38+'Wind Loading'!$F$36*'Combined Stress'!C39+'Wind Loading'!$F$35*'Combined Stress'!C40+'Wind Loading'!$F$34*'Combined Stress'!C41+'Wind Loading'!$F$33*'Combined Stress'!C42+'Wind Loading'!$F$32*'Combined Stress'!C43+'Wind Loading'!$F$31*'Combined Stress'!C44+'Wind Loading'!$F$30*'Combined Stress'!C45+'Wind Loading'!$F$29*'Combined Stress'!C46+'Wind Loading'!$F$28*'Combined Stress'!C47+'Wind Loading'!$F$27*'Combined Stress'!C48+'Wind Loading'!$F$26*'Combined Stress'!C49+'Wind Loading'!$F$25*'Combined Stress'!C50+'Wind Loading'!$F$24*'Combined Stress'!C51+'Wind Loading'!$F$23*'Combined Stress'!C52+'Wind Loading'!$F$22*'Combined Stress'!C53+'Wind Loading'!$F$21*'Combined Stress'!C54+'Wind Loading'!$F$20*'Combined Stress'!C55+'Wind Loading'!$F$19*'Combined Stress'!C56+'Wind Loading'!$F$18*'Combined Stress'!C57+'Wind Loading'!$F$17*'Combined Stress'!C58+'Wind Loading'!$F$16*'Combined Stress'!C59+'Wind Loading'!$F$15*'Combined Stress'!C60+'Wind Loading'!$F$14*'Combined Stress'!C61+'Wind Loading'!$F$13*'Combined Stress'!C62+'Wind Loading'!$F$12*'Combined Stress'!C63+'Wind Loading'!$F$11*'Combined Stress'!C64+'Wind Loading'!$F$10*'Combined Stress'!C65+'Wind Loading'!$F$9*'Combined Stress'!C66+'Wind Loading'!$F$8*'Combined Stress'!C67+'Wind Loading'!$F$7*'Combined Stress'!C68+'Wind Loading'!$F$6*'Combined Stress'!C69</f>
        <v>660023.56056562741</v>
      </c>
      <c r="E6" s="14">
        <f>((D6*'Alternative 1'!K7)/'Alternative 1'!L7)/1000000</f>
        <v>10.131990990846118</v>
      </c>
      <c r="F6" s="30">
        <f t="shared" si="9"/>
        <v>33</v>
      </c>
      <c r="G6" s="14">
        <f>IF(F6&gt;0,'Alternative 1'!$B$3+'Alternative 1'!$B$5+('Alternative 1'!$B$39*F6),0)</f>
        <v>295398.34260626062</v>
      </c>
      <c r="H6" s="14">
        <f>'Alternative 1'!M7</f>
        <v>3.2571297755719515</v>
      </c>
      <c r="I6" s="14">
        <f t="shared" si="0"/>
        <v>9.0692837854269626E-2</v>
      </c>
      <c r="J6" s="14">
        <f t="shared" si="1"/>
        <v>10.222683828700388</v>
      </c>
      <c r="K6" s="286"/>
      <c r="L6" s="13">
        <f>IF('Alternative 2'!$F7&gt;0,'Alternative 2'!$F7,"x")</f>
        <v>4</v>
      </c>
      <c r="M6" s="30">
        <f t="shared" si="10"/>
        <v>33.5</v>
      </c>
      <c r="N6" s="30">
        <f t="shared" si="11"/>
        <v>32.5</v>
      </c>
      <c r="O6" s="14">
        <f>'Dynamic Loading'!$Q$3*'Combined Stress'!M6+'Wind Loading'!$K$69*N6+'Wind Loading'!$K$68*'Combined Stress'!N7+'Wind Loading'!$K$67*'Combined Stress'!N8+'Wind Loading'!$K$66*'Combined Stress'!N9+'Wind Loading'!$K$65*'Combined Stress'!N10+'Wind Loading'!$K$64*'Combined Stress'!N11+'Wind Loading'!$K$63*'Combined Stress'!N12+'Wind Loading'!$K$62*'Combined Stress'!N13+'Wind Loading'!$K$61*'Combined Stress'!N14+'Wind Loading'!$K$60*'Combined Stress'!N15+'Wind Loading'!$K$59*'Combined Stress'!N16+'Wind Loading'!$K$58*'Combined Stress'!N17+'Wind Loading'!$K$57*'Combined Stress'!N18+'Wind Loading'!$K$56*'Combined Stress'!N19+'Wind Loading'!$K$55*'Combined Stress'!N20+'Wind Loading'!$K$54*'Combined Stress'!N21+'Wind Loading'!$K$53*'Combined Stress'!N22+'Wind Loading'!$K$52*'Combined Stress'!N23+'Wind Loading'!$K$51*'Combined Stress'!N24+'Wind Loading'!$K$50*'Combined Stress'!N25+'Wind Loading'!$K$49*'Combined Stress'!N26+'Wind Loading'!$K$48*'Combined Stress'!N27+'Wind Loading'!$K$47*'Combined Stress'!N28+'Wind Loading'!$K$46*'Combined Stress'!N29+'Wind Loading'!$K$45*'Combined Stress'!N30+'Wind Loading'!$K$44*'Combined Stress'!N31+'Wind Loading'!$K$43*'Combined Stress'!N32+'Wind Loading'!$K$42*'Combined Stress'!N33+'Wind Loading'!$K$41*'Combined Stress'!N34+'Wind Loading'!$K$40*'Combined Stress'!N35+'Wind Loading'!$K$39*'Combined Stress'!N36+'Wind Loading'!$K$38*'Combined Stress'!N37+'Wind Loading'!$K$37*'Combined Stress'!N38+'Wind Loading'!$K$36*'Combined Stress'!N39+'Wind Loading'!$K$35*'Combined Stress'!N40+'Wind Loading'!$K$34*'Combined Stress'!N41+'Wind Loading'!$K$33*'Combined Stress'!N42+'Wind Loading'!$K$32*'Combined Stress'!N43+'Wind Loading'!$K$31*'Combined Stress'!N44+'Wind Loading'!$K$30*'Combined Stress'!N45+'Wind Loading'!$K$29*'Combined Stress'!N46+'Wind Loading'!$K$28*'Combined Stress'!N47+'Wind Loading'!$K$27*'Combined Stress'!N48+'Wind Loading'!$K$26*'Combined Stress'!N49+'Wind Loading'!$K$25*'Combined Stress'!N50+'Wind Loading'!$K$24*'Combined Stress'!N51+'Wind Loading'!$K$23*'Combined Stress'!N52+'Wind Loading'!$K$22*'Combined Stress'!N53+'Wind Loading'!$K$21*'Combined Stress'!N54+'Wind Loading'!$K$20*'Combined Stress'!N55+'Wind Loading'!$K$19*'Combined Stress'!N56+'Wind Loading'!$K$18*'Combined Stress'!N57+'Wind Loading'!$K$17*'Combined Stress'!N58+'Wind Loading'!$K$16*'Combined Stress'!N59+'Wind Loading'!$K$15*'Combined Stress'!N60+'Wind Loading'!$K$14*'Combined Stress'!N61+'Wind Loading'!$K$13*'Combined Stress'!N62+'Wind Loading'!$K$12*'Combined Stress'!N63+'Wind Loading'!$K$11*'Combined Stress'!N64+'Wind Loading'!$K$10*'Combined Stress'!N65+'Wind Loading'!$K$9*'Combined Stress'!N66+'Wind Loading'!$K$8*'Combined Stress'!N67+'Wind Loading'!$K$7*'Combined Stress'!N68+'Wind Loading'!$K$6*'Combined Stress'!N69</f>
        <v>660023.56056562741</v>
      </c>
      <c r="P6" s="14">
        <f>((O6*'Alternative 2'!K7)/'Alternative 2'!L7)/1000000</f>
        <v>10.131990990846118</v>
      </c>
      <c r="Q6" s="30">
        <f t="shared" si="12"/>
        <v>33</v>
      </c>
      <c r="R6" s="14">
        <f>'Alternative 2'!$B$3+'Alternative 2'!$B$5+('Alternative 2'!$B$39*Q6)</f>
        <v>295398.34260626062</v>
      </c>
      <c r="S6" s="14">
        <f>'Alternative 2'!M7</f>
        <v>3.2571297755719515</v>
      </c>
      <c r="T6" s="14">
        <f t="shared" si="2"/>
        <v>9.0692837854269626E-2</v>
      </c>
      <c r="U6" s="284">
        <f t="shared" si="3"/>
        <v>10.222683828700388</v>
      </c>
      <c r="V6" s="286"/>
      <c r="W6" s="153">
        <f>'Alternative 3'!F7</f>
        <v>4</v>
      </c>
      <c r="X6" s="59">
        <f t="shared" si="13"/>
        <v>33.5</v>
      </c>
      <c r="Y6" s="30">
        <f t="shared" si="14"/>
        <v>32.5</v>
      </c>
      <c r="Z6" s="60">
        <f>'Dynamic Loading'!$Y$3*'Combined Stress'!X6+'Wind Loading'!$P$69*Y6+'Wind Loading'!$P$68*'Combined Stress'!Y7+'Wind Loading'!$P$67*'Combined Stress'!Y8+'Wind Loading'!$P$66*'Combined Stress'!Y9+'Wind Loading'!$P$65*'Combined Stress'!Y10+'Wind Loading'!$P$64*'Combined Stress'!Y11+'Wind Loading'!$P$63*'Combined Stress'!Y12+'Wind Loading'!$P$62*'Combined Stress'!Y13+'Wind Loading'!$P$61*'Combined Stress'!Y14+'Wind Loading'!$P$60*'Combined Stress'!Y15+'Wind Loading'!$P$59*'Combined Stress'!Y16+'Wind Loading'!$P$58*'Combined Stress'!Y17+'Wind Loading'!$P$57*'Combined Stress'!Y18+'Wind Loading'!$P$56*'Combined Stress'!Y19+'Wind Loading'!$P$55*'Combined Stress'!Y20+'Wind Loading'!$P$54*'Combined Stress'!Y21+'Wind Loading'!$P$53*'Combined Stress'!Y22+'Wind Loading'!$P$52*'Combined Stress'!Y23+'Wind Loading'!$P$51*'Combined Stress'!Y24+'Wind Loading'!$P$50*'Combined Stress'!Y25+'Wind Loading'!$P$49*'Combined Stress'!Y26+'Wind Loading'!$P$48*'Combined Stress'!Y27+'Wind Loading'!$P$47*'Combined Stress'!Y28+'Wind Loading'!$P$46*'Combined Stress'!Y29+'Wind Loading'!$P$45*'Combined Stress'!Y30+'Wind Loading'!$P$44*'Combined Stress'!Y31+'Wind Loading'!$P$43*'Combined Stress'!Y32+'Wind Loading'!$P$42*'Combined Stress'!Y33+'Wind Loading'!$P$41*'Combined Stress'!Y34+'Wind Loading'!$P$40*'Combined Stress'!Y35+'Wind Loading'!$P$39*'Combined Stress'!Y36+'Wind Loading'!$P$38*'Combined Stress'!Y37+'Wind Loading'!$P$37*'Combined Stress'!Y38+'Wind Loading'!$P$36*'Combined Stress'!Y39+'Wind Loading'!$P$35*'Combined Stress'!Y40+'Wind Loading'!$P$34*'Combined Stress'!Y41+'Wind Loading'!$P$33*'Combined Stress'!Y42+'Wind Loading'!$P$32*'Combined Stress'!Y43+'Wind Loading'!$P$31*'Combined Stress'!Y44+'Wind Loading'!$P$30*'Combined Stress'!Y45+'Wind Loading'!$P$29*'Combined Stress'!Y46+'Wind Loading'!$P$28*'Combined Stress'!Y47+'Wind Loading'!$P$27*'Combined Stress'!Y48+'Wind Loading'!$P$26*'Combined Stress'!Y49+'Wind Loading'!$P$25*'Combined Stress'!Y50+'Wind Loading'!$P$24*'Combined Stress'!Y51+'Wind Loading'!$P$23*'Combined Stress'!Y52+'Wind Loading'!$P$22*'Combined Stress'!Y53+'Wind Loading'!$P$21*'Combined Stress'!Y54+'Wind Loading'!$P$20*'Combined Stress'!Y55+'Wind Loading'!$P$19*'Combined Stress'!Y56+'Wind Loading'!$P$18*'Combined Stress'!Y57+'Wind Loading'!$P$17*'Combined Stress'!Y58+'Wind Loading'!$P$16*'Combined Stress'!Y59+'Wind Loading'!$P$15*'Combined Stress'!Y60+'Wind Loading'!$P$14*'Combined Stress'!Y61+'Wind Loading'!$P$13*'Combined Stress'!Y62+'Wind Loading'!$P$12*'Combined Stress'!Y63+'Wind Loading'!$P$11*'Combined Stress'!Y64+'Wind Loading'!$P$10*'Combined Stress'!Y65+'Wind Loading'!$P$9*'Combined Stress'!Y66+'Wind Loading'!$P$8*'Combined Stress'!Y67+'Wind Loading'!$P$7*'Combined Stress'!Y68+'Wind Loading'!$P$6*'Combined Stress'!Y69</f>
        <v>660023.56056562741</v>
      </c>
      <c r="AA6" s="60">
        <f>((Z6*'Alternative 3'!K7)/'Alternative 3'!L7)/1000000</f>
        <v>10.131990990846118</v>
      </c>
      <c r="AB6" s="60">
        <f t="shared" si="4"/>
        <v>64</v>
      </c>
      <c r="AC6" s="14">
        <f>'Alternative 3'!$B$3+'Alternative 3'!$B$5+('Alternative 2'!$B$39*AB6)</f>
        <v>559001.59553335386</v>
      </c>
      <c r="AD6" s="60">
        <f>'Alternative 3'!M7</f>
        <v>3.2571297755719515</v>
      </c>
      <c r="AE6" s="60">
        <f t="shared" si="5"/>
        <v>0.17162398616284585</v>
      </c>
      <c r="AF6" s="60">
        <f t="shared" si="6"/>
        <v>10.303614977008964</v>
      </c>
    </row>
    <row r="7" spans="1:32" ht="14.45" customHeight="1" x14ac:dyDescent="0.25">
      <c r="A7" s="13">
        <f>IF('Alternative 1'!F8&gt;0,'Alternative 1'!F8,"x")</f>
        <v>5</v>
      </c>
      <c r="B7" s="30">
        <f t="shared" si="7"/>
        <v>32.5</v>
      </c>
      <c r="C7" s="30">
        <f t="shared" si="8"/>
        <v>31.5</v>
      </c>
      <c r="D7" s="14">
        <f>'Dynamic Loading'!$I$3*'Combined Stress'!B7+'Wind Loading'!$F$69*C7+'Wind Loading'!$F$68*'Combined Stress'!C8+'Wind Loading'!$F$67*'Combined Stress'!C9+'Wind Loading'!$F$66*'Combined Stress'!C10+'Wind Loading'!$F$65*'Combined Stress'!C11+'Wind Loading'!$F$64*'Combined Stress'!C12+'Wind Loading'!$F$63*'Combined Stress'!C13+'Wind Loading'!$F$62*'Combined Stress'!C14+'Wind Loading'!$F$61*'Combined Stress'!C15+'Wind Loading'!$F$60*'Combined Stress'!C16+'Wind Loading'!$F$59*'Combined Stress'!C17+'Wind Loading'!$F$58*'Combined Stress'!C18+'Wind Loading'!$F$57*'Combined Stress'!C19+'Wind Loading'!$F$56*'Combined Stress'!C20+'Wind Loading'!$F$55*'Combined Stress'!C21+'Wind Loading'!$F$54*'Combined Stress'!C22+'Wind Loading'!$F$53*'Combined Stress'!C23+'Wind Loading'!$F$52*'Combined Stress'!C24+'Wind Loading'!$F$51*'Combined Stress'!C25+'Wind Loading'!$F$50*'Combined Stress'!C26+'Wind Loading'!$F$49*'Combined Stress'!C27+'Wind Loading'!$F$48*'Combined Stress'!C28+'Wind Loading'!$F$47*'Combined Stress'!C29+'Wind Loading'!$F$46*'Combined Stress'!C30+'Wind Loading'!$F$45*'Combined Stress'!C31+'Wind Loading'!$F$44*'Combined Stress'!C32+'Wind Loading'!$F$43*'Combined Stress'!C33+'Wind Loading'!$F$42*'Combined Stress'!C34+'Wind Loading'!$F$41*'Combined Stress'!C35+'Wind Loading'!$F$40*'Combined Stress'!C36+'Wind Loading'!$F$39*'Combined Stress'!C37+'Wind Loading'!$F$38*'Combined Stress'!C38+'Wind Loading'!$F$37*'Combined Stress'!C39+'Wind Loading'!$F$36*'Combined Stress'!C40+'Wind Loading'!$F$35*'Combined Stress'!C41+'Wind Loading'!$F$34*'Combined Stress'!C42+'Wind Loading'!$F$33*'Combined Stress'!C43+'Wind Loading'!$F$32*'Combined Stress'!C44+'Wind Loading'!$F$31*'Combined Stress'!C45+'Wind Loading'!$F$30*'Combined Stress'!C46+'Wind Loading'!$F$29*'Combined Stress'!C47+'Wind Loading'!$F$28*'Combined Stress'!C48+'Wind Loading'!$F$27*'Combined Stress'!C49+'Wind Loading'!$F$26*'Combined Stress'!C50+'Wind Loading'!$F$25*'Combined Stress'!C51+'Wind Loading'!$F$24*'Combined Stress'!C52+'Wind Loading'!$F$23*'Combined Stress'!C53+'Wind Loading'!$F$22*'Combined Stress'!C54+'Wind Loading'!$F$21*'Combined Stress'!C55+'Wind Loading'!$F$20*'Combined Stress'!C56+'Wind Loading'!$F$19*'Combined Stress'!C57+'Wind Loading'!$F$18*'Combined Stress'!C58+'Wind Loading'!$F$17*'Combined Stress'!C59+'Wind Loading'!$F$16*'Combined Stress'!C60+'Wind Loading'!$F$15*'Combined Stress'!C61+'Wind Loading'!$F$14*'Combined Stress'!C62+'Wind Loading'!$F$13*'Combined Stress'!C63+'Wind Loading'!$F$12*'Combined Stress'!C64+'Wind Loading'!$F$11*'Combined Stress'!C65+'Wind Loading'!$F$10*'Combined Stress'!C66+'Wind Loading'!$F$9*'Combined Stress'!C67+'Wind Loading'!$F$8*'Combined Stress'!C68+'Wind Loading'!$F$7*'Combined Stress'!C69</f>
        <v>638216.61397931329</v>
      </c>
      <c r="E7" s="14">
        <f>((D7*'Alternative 1'!K8)/'Alternative 1'!L8)/1000000</f>
        <v>9.9914429489974044</v>
      </c>
      <c r="F7" s="30">
        <f t="shared" si="9"/>
        <v>32</v>
      </c>
      <c r="G7" s="14">
        <f>IF(F7&gt;0,'Alternative 1'!$B$3+'Alternative 1'!$B$5+('Alternative 1'!$B$39*F7),0)</f>
        <v>286895.01186667697</v>
      </c>
      <c r="H7" s="14">
        <f>'Alternative 1'!M8</f>
        <v>3.1938190844388674</v>
      </c>
      <c r="I7" s="14">
        <f t="shared" si="0"/>
        <v>8.9828197615984401E-2</v>
      </c>
      <c r="J7" s="14">
        <f t="shared" si="1"/>
        <v>10.081271146613389</v>
      </c>
      <c r="K7" s="286"/>
      <c r="L7" s="13">
        <f>IF('Alternative 2'!$F8&gt;0,'Alternative 2'!$F8,"x")</f>
        <v>5</v>
      </c>
      <c r="M7" s="30">
        <f t="shared" si="10"/>
        <v>32.5</v>
      </c>
      <c r="N7" s="30">
        <f t="shared" si="11"/>
        <v>31.5</v>
      </c>
      <c r="O7" s="14">
        <f>'Dynamic Loading'!$Q$3*'Combined Stress'!M7+'Wind Loading'!$K$69*N7+'Wind Loading'!$K$68*'Combined Stress'!N8+'Wind Loading'!$K$67*'Combined Stress'!N9+'Wind Loading'!$K$66*'Combined Stress'!N10+'Wind Loading'!$K$65*'Combined Stress'!N11+'Wind Loading'!$K$64*'Combined Stress'!N12+'Wind Loading'!$K$63*'Combined Stress'!N13+'Wind Loading'!$K$62*'Combined Stress'!N14+'Wind Loading'!$K$61*'Combined Stress'!N15+'Wind Loading'!$K$60*'Combined Stress'!N16+'Wind Loading'!$K$59*'Combined Stress'!N17+'Wind Loading'!$K$58*'Combined Stress'!N18+'Wind Loading'!$K$57*'Combined Stress'!N19+'Wind Loading'!$K$56*'Combined Stress'!N20+'Wind Loading'!$K$55*'Combined Stress'!N21+'Wind Loading'!$K$54*'Combined Stress'!N22+'Wind Loading'!$K$53*'Combined Stress'!N23+'Wind Loading'!$K$52*'Combined Stress'!N24+'Wind Loading'!$K$51*'Combined Stress'!N25+'Wind Loading'!$K$50*'Combined Stress'!N26+'Wind Loading'!$K$49*'Combined Stress'!N27+'Wind Loading'!$K$48*'Combined Stress'!N28+'Wind Loading'!$K$47*'Combined Stress'!N29+'Wind Loading'!$K$46*'Combined Stress'!N30+'Wind Loading'!$K$45*'Combined Stress'!N31+'Wind Loading'!$K$44*'Combined Stress'!N32+'Wind Loading'!$K$43*'Combined Stress'!N33+'Wind Loading'!$K$42*'Combined Stress'!N34+'Wind Loading'!$K$41*'Combined Stress'!N35+'Wind Loading'!$K$40*'Combined Stress'!N36+'Wind Loading'!$K$39*'Combined Stress'!N37+'Wind Loading'!$K$38*'Combined Stress'!N38+'Wind Loading'!$K$37*'Combined Stress'!N39+'Wind Loading'!$K$36*'Combined Stress'!N40+'Wind Loading'!$K$35*'Combined Stress'!N41+'Wind Loading'!$K$34*'Combined Stress'!N42+'Wind Loading'!$K$33*'Combined Stress'!N43+'Wind Loading'!$K$32*'Combined Stress'!N44+'Wind Loading'!$K$31*'Combined Stress'!N45+'Wind Loading'!$K$30*'Combined Stress'!N46+'Wind Loading'!$K$29*'Combined Stress'!N47+'Wind Loading'!$K$28*'Combined Stress'!N48+'Wind Loading'!$K$27*'Combined Stress'!N49+'Wind Loading'!$K$26*'Combined Stress'!N50+'Wind Loading'!$K$25*'Combined Stress'!N51+'Wind Loading'!$K$24*'Combined Stress'!N52+'Wind Loading'!$K$23*'Combined Stress'!N53+'Wind Loading'!$K$22*'Combined Stress'!N54+'Wind Loading'!$K$21*'Combined Stress'!N55+'Wind Loading'!$K$20*'Combined Stress'!N56+'Wind Loading'!$K$19*'Combined Stress'!N57+'Wind Loading'!$K$18*'Combined Stress'!N58+'Wind Loading'!$K$17*'Combined Stress'!N59+'Wind Loading'!$K$16*'Combined Stress'!N60+'Wind Loading'!$K$15*'Combined Stress'!N61+'Wind Loading'!$K$14*'Combined Stress'!N62+'Wind Loading'!$K$13*'Combined Stress'!N63+'Wind Loading'!$K$12*'Combined Stress'!N64+'Wind Loading'!$K$11*'Combined Stress'!N65+'Wind Loading'!$K$10*'Combined Stress'!N66+'Wind Loading'!$K$9*'Combined Stress'!N67+'Wind Loading'!$K$8*'Combined Stress'!N68+'Wind Loading'!$K$7*'Combined Stress'!N69</f>
        <v>638216.61397931329</v>
      </c>
      <c r="P7" s="14">
        <f>((O7*'Alternative 2'!K8)/'Alternative 2'!L8)/1000000</f>
        <v>9.9914429489974044</v>
      </c>
      <c r="Q7" s="30">
        <f t="shared" si="12"/>
        <v>32</v>
      </c>
      <c r="R7" s="14">
        <f>'Alternative 2'!$B$3+'Alternative 2'!$B$5+('Alternative 2'!$B$39*Q7)</f>
        <v>286895.01186667697</v>
      </c>
      <c r="S7" s="14">
        <f>'Alternative 2'!M8</f>
        <v>3.1938190844388674</v>
      </c>
      <c r="T7" s="14">
        <f t="shared" si="2"/>
        <v>8.9828197615984401E-2</v>
      </c>
      <c r="U7" s="284">
        <f t="shared" si="3"/>
        <v>10.081271146613389</v>
      </c>
      <c r="V7" s="286"/>
      <c r="W7" s="153">
        <f>'Alternative 3'!F8</f>
        <v>5</v>
      </c>
      <c r="X7" s="59">
        <f t="shared" si="13"/>
        <v>32.5</v>
      </c>
      <c r="Y7" s="30">
        <f t="shared" si="14"/>
        <v>31.5</v>
      </c>
      <c r="Z7" s="60">
        <f>'Dynamic Loading'!$Y$3*'Combined Stress'!X7+'Wind Loading'!$P$69*Y7+'Wind Loading'!$P$68*'Combined Stress'!Y8+'Wind Loading'!$P$67*'Combined Stress'!Y9+'Wind Loading'!$P$66*'Combined Stress'!Y10+'Wind Loading'!$P$65*'Combined Stress'!Y11+'Wind Loading'!$P$64*'Combined Stress'!Y12+'Wind Loading'!$P$63*'Combined Stress'!Y13+'Wind Loading'!$P$62*'Combined Stress'!Y14+'Wind Loading'!$P$61*'Combined Stress'!Y15+'Wind Loading'!$P$60*'Combined Stress'!Y16+'Wind Loading'!$P$59*'Combined Stress'!Y17+'Wind Loading'!$P$58*'Combined Stress'!Y18+'Wind Loading'!$P$57*'Combined Stress'!Y19+'Wind Loading'!$P$56*'Combined Stress'!Y20+'Wind Loading'!$P$55*'Combined Stress'!Y21+'Wind Loading'!$P$54*'Combined Stress'!Y22+'Wind Loading'!$P$53*'Combined Stress'!Y23+'Wind Loading'!$P$52*'Combined Stress'!Y24+'Wind Loading'!$P$51*'Combined Stress'!Y25+'Wind Loading'!$P$50*'Combined Stress'!Y26+'Wind Loading'!$P$49*'Combined Stress'!Y27+'Wind Loading'!$P$48*'Combined Stress'!Y28+'Wind Loading'!$P$47*'Combined Stress'!Y29+'Wind Loading'!$P$46*'Combined Stress'!Y30+'Wind Loading'!$P$45*'Combined Stress'!Y31+'Wind Loading'!$P$44*'Combined Stress'!Y32+'Wind Loading'!$P$43*'Combined Stress'!Y33+'Wind Loading'!$P$42*'Combined Stress'!Y34+'Wind Loading'!$P$41*'Combined Stress'!Y35+'Wind Loading'!$P$40*'Combined Stress'!Y36+'Wind Loading'!$P$39*'Combined Stress'!Y37+'Wind Loading'!$P$38*'Combined Stress'!Y38+'Wind Loading'!$P$37*'Combined Stress'!Y39+'Wind Loading'!$P$36*'Combined Stress'!Y40+'Wind Loading'!$P$35*'Combined Stress'!Y41+'Wind Loading'!$P$34*'Combined Stress'!Y42+'Wind Loading'!$P$33*'Combined Stress'!Y43+'Wind Loading'!$P$32*'Combined Stress'!Y44+'Wind Loading'!$P$31*'Combined Stress'!Y45+'Wind Loading'!$P$30*'Combined Stress'!Y46+'Wind Loading'!$P$29*'Combined Stress'!Y47+'Wind Loading'!$P$28*'Combined Stress'!Y48+'Wind Loading'!$P$27*'Combined Stress'!Y49+'Wind Loading'!$P$26*'Combined Stress'!Y50+'Wind Loading'!$P$25*'Combined Stress'!Y51+'Wind Loading'!$P$24*'Combined Stress'!Y52+'Wind Loading'!$P$23*'Combined Stress'!Y53+'Wind Loading'!$P$22*'Combined Stress'!Y54+'Wind Loading'!$P$21*'Combined Stress'!Y55+'Wind Loading'!$P$20*'Combined Stress'!Y56+'Wind Loading'!$P$19*'Combined Stress'!Y57+'Wind Loading'!$P$18*'Combined Stress'!Y58+'Wind Loading'!$P$17*'Combined Stress'!Y59+'Wind Loading'!$P$16*'Combined Stress'!Y60+'Wind Loading'!$P$15*'Combined Stress'!Y61+'Wind Loading'!$P$14*'Combined Stress'!Y62+'Wind Loading'!$P$13*'Combined Stress'!Y63+'Wind Loading'!$P$12*'Combined Stress'!Y64+'Wind Loading'!$P$11*'Combined Stress'!Y65+'Wind Loading'!$P$10*'Combined Stress'!Y66+'Wind Loading'!$P$9*'Combined Stress'!Y67+'Wind Loading'!$P$8*'Combined Stress'!Y68+'Wind Loading'!$P$7*'Combined Stress'!Y69</f>
        <v>638216.61397931329</v>
      </c>
      <c r="AA7" s="60">
        <f>((Z7*'Alternative 3'!K8)/'Alternative 3'!L8)/1000000</f>
        <v>9.9914429489974044</v>
      </c>
      <c r="AB7" s="60">
        <f t="shared" si="4"/>
        <v>63</v>
      </c>
      <c r="AC7" s="14">
        <f>'Alternative 3'!$B$3+'Alternative 3'!$B$5+('Alternative 2'!$B$39*AB7)</f>
        <v>550498.26479377015</v>
      </c>
      <c r="AD7" s="60">
        <f>'Alternative 3'!M8</f>
        <v>3.1938190844388674</v>
      </c>
      <c r="AE7" s="60">
        <f t="shared" si="5"/>
        <v>0.17236363433230878</v>
      </c>
      <c r="AF7" s="60">
        <f t="shared" si="6"/>
        <v>10.163806583329713</v>
      </c>
    </row>
    <row r="8" spans="1:32" ht="14.45" customHeight="1" x14ac:dyDescent="0.25">
      <c r="A8" s="13">
        <f>IF('Alternative 1'!F9&gt;0,'Alternative 1'!F9,"x")</f>
        <v>6</v>
      </c>
      <c r="B8" s="30">
        <f t="shared" si="7"/>
        <v>31.5</v>
      </c>
      <c r="C8" s="30">
        <f t="shared" si="8"/>
        <v>30.5</v>
      </c>
      <c r="D8" s="14">
        <f>'Dynamic Loading'!$I$3*'Combined Stress'!B8+'Wind Loading'!$F$69*C8+'Wind Loading'!$F$68*'Combined Stress'!C9+'Wind Loading'!$F$67*'Combined Stress'!C10+'Wind Loading'!$F$66*'Combined Stress'!C11+'Wind Loading'!$F$65*'Combined Stress'!C12+'Wind Loading'!$F$64*'Combined Stress'!C13+'Wind Loading'!$F$63*'Combined Stress'!C14+'Wind Loading'!$F$62*'Combined Stress'!C15+'Wind Loading'!$F$61*'Combined Stress'!C16+'Wind Loading'!$F$60*'Combined Stress'!C17+'Wind Loading'!$F$59*'Combined Stress'!C18+'Wind Loading'!$F$58*'Combined Stress'!C19+'Wind Loading'!$F$57*'Combined Stress'!C20+'Wind Loading'!$F$56*'Combined Stress'!C21+'Wind Loading'!$F$55*'Combined Stress'!C22+'Wind Loading'!$F$54*'Combined Stress'!C23+'Wind Loading'!$F$53*'Combined Stress'!C24+'Wind Loading'!$F$52*'Combined Stress'!C25+'Wind Loading'!$F$51*'Combined Stress'!C26+'Wind Loading'!$F$50*'Combined Stress'!C27+'Wind Loading'!$F$49*'Combined Stress'!C28+'Wind Loading'!$F$48*'Combined Stress'!C29+'Wind Loading'!$F$47*'Combined Stress'!C30+'Wind Loading'!$F$46*'Combined Stress'!C31+'Wind Loading'!$F$45*'Combined Stress'!C32+'Wind Loading'!$F$44*'Combined Stress'!C33+'Wind Loading'!$F$43*'Combined Stress'!C34+'Wind Loading'!$F$42*'Combined Stress'!C35+'Wind Loading'!$F$41*'Combined Stress'!C36+'Wind Loading'!$F$40*'Combined Stress'!C37+'Wind Loading'!$F$39*'Combined Stress'!C38+'Wind Loading'!$F$38*'Combined Stress'!C39+'Wind Loading'!$F$37*'Combined Stress'!C40+'Wind Loading'!$F$36*'Combined Stress'!C41+'Wind Loading'!$F$35*'Combined Stress'!C42+'Wind Loading'!$F$34*'Combined Stress'!C43+'Wind Loading'!$F$33*'Combined Stress'!C44+'Wind Loading'!$F$32*'Combined Stress'!C45+'Wind Loading'!$F$31*'Combined Stress'!C46+'Wind Loading'!$F$30*'Combined Stress'!C47+'Wind Loading'!$F$29*'Combined Stress'!C48+'Wind Loading'!$F$28*'Combined Stress'!C49+'Wind Loading'!$F$27*'Combined Stress'!C50+'Wind Loading'!$F$26*'Combined Stress'!C51+'Wind Loading'!$F$25*'Combined Stress'!C52+'Wind Loading'!$F$24*'Combined Stress'!C53+'Wind Loading'!$F$23*'Combined Stress'!C54+'Wind Loading'!$F$22*'Combined Stress'!C55+'Wind Loading'!$F$21*'Combined Stress'!C56+'Wind Loading'!$F$20*'Combined Stress'!C57+'Wind Loading'!$F$19*'Combined Stress'!C58+'Wind Loading'!$F$18*'Combined Stress'!C59+'Wind Loading'!$F$17*'Combined Stress'!C60+'Wind Loading'!$F$16*'Combined Stress'!C61+'Wind Loading'!$F$15*'Combined Stress'!C62+'Wind Loading'!$F$14*'Combined Stress'!C63+'Wind Loading'!$F$13*'Combined Stress'!C64+'Wind Loading'!$F$12*'Combined Stress'!C65+'Wind Loading'!$F$11*'Combined Stress'!C66+'Wind Loading'!$F$10*'Combined Stress'!C67+'Wind Loading'!$F$9*'Combined Stress'!C68+'Wind Loading'!$F$8*'Combined Stress'!C69</f>
        <v>617873.10925668431</v>
      </c>
      <c r="E8" s="14">
        <f>((D8*'Alternative 1'!K9)/'Alternative 1'!L9)/1000000</f>
        <v>9.8666256051250674</v>
      </c>
      <c r="F8" s="30">
        <f t="shared" si="9"/>
        <v>31</v>
      </c>
      <c r="G8" s="14">
        <f>IF(F8&gt;0,'Alternative 1'!$B$3+'Alternative 1'!$B$5+('Alternative 1'!$B$39*F8),0)</f>
        <v>278391.68112709332</v>
      </c>
      <c r="H8" s="14">
        <f>'Alternative 1'!M9</f>
        <v>3.131129749980555</v>
      </c>
      <c r="I8" s="14">
        <f t="shared" si="0"/>
        <v>8.8910937379334795E-2</v>
      </c>
      <c r="J8" s="14">
        <f t="shared" si="1"/>
        <v>9.9555365425044027</v>
      </c>
      <c r="K8" s="286"/>
      <c r="L8" s="13">
        <f>IF('Alternative 2'!$F9&gt;0,'Alternative 2'!$F9,"x")</f>
        <v>6</v>
      </c>
      <c r="M8" s="30">
        <f t="shared" si="10"/>
        <v>31.5</v>
      </c>
      <c r="N8" s="30">
        <f t="shared" si="11"/>
        <v>30.5</v>
      </c>
      <c r="O8" s="14">
        <f>'Dynamic Loading'!$Q$3*'Combined Stress'!M8+'Wind Loading'!$K$69*N8+'Wind Loading'!$K$68*'Combined Stress'!N9+'Wind Loading'!$K$67*'Combined Stress'!N10+'Wind Loading'!$K$66*'Combined Stress'!N11+'Wind Loading'!$K$65*'Combined Stress'!N12+'Wind Loading'!$K$64*'Combined Stress'!N13+'Wind Loading'!$K$63*'Combined Stress'!N14+'Wind Loading'!$K$62*'Combined Stress'!N15+'Wind Loading'!$K$61*'Combined Stress'!N16+'Wind Loading'!$K$60*'Combined Stress'!N17+'Wind Loading'!$K$59*'Combined Stress'!N18+'Wind Loading'!$K$58*'Combined Stress'!N19+'Wind Loading'!$K$57*'Combined Stress'!N20+'Wind Loading'!$K$56*'Combined Stress'!N21+'Wind Loading'!$K$55*'Combined Stress'!N22+'Wind Loading'!$K$54*'Combined Stress'!N23+'Wind Loading'!$K$53*'Combined Stress'!N24+'Wind Loading'!$K$52*'Combined Stress'!N25+'Wind Loading'!$K$51*'Combined Stress'!N26+'Wind Loading'!$K$50*'Combined Stress'!N27+'Wind Loading'!$K$49*'Combined Stress'!N28+'Wind Loading'!$K$48*'Combined Stress'!N29+'Wind Loading'!$K$47*'Combined Stress'!N30+'Wind Loading'!$K$46*'Combined Stress'!N31+'Wind Loading'!$K$45*'Combined Stress'!N32+'Wind Loading'!$K$44*'Combined Stress'!N33+'Wind Loading'!$K$43*'Combined Stress'!N34+'Wind Loading'!$K$42*'Combined Stress'!N35+'Wind Loading'!$K$41*'Combined Stress'!N36+'Wind Loading'!$K$40*'Combined Stress'!N37+'Wind Loading'!$K$39*'Combined Stress'!N38+'Wind Loading'!$K$38*'Combined Stress'!N39+'Wind Loading'!$K$37*'Combined Stress'!N40+'Wind Loading'!$K$36*'Combined Stress'!N41+'Wind Loading'!$K$35*'Combined Stress'!N42+'Wind Loading'!$K$34*'Combined Stress'!N43+'Wind Loading'!$K$33*'Combined Stress'!N44+'Wind Loading'!$K$32*'Combined Stress'!N45+'Wind Loading'!$K$31*'Combined Stress'!N46+'Wind Loading'!$K$30*'Combined Stress'!N47+'Wind Loading'!$K$29*'Combined Stress'!N48+'Wind Loading'!$K$28*'Combined Stress'!N49+'Wind Loading'!$K$27*'Combined Stress'!N50+'Wind Loading'!$K$26*'Combined Stress'!N51+'Wind Loading'!$K$25*'Combined Stress'!N52+'Wind Loading'!$K$24*'Combined Stress'!N53+'Wind Loading'!$K$23*'Combined Stress'!N54+'Wind Loading'!$K$22*'Combined Stress'!N55+'Wind Loading'!$K$21*'Combined Stress'!N56+'Wind Loading'!$K$20*'Combined Stress'!N57+'Wind Loading'!$K$19*'Combined Stress'!N58+'Wind Loading'!$K$18*'Combined Stress'!N59+'Wind Loading'!$K$17*'Combined Stress'!N60+'Wind Loading'!$K$16*'Combined Stress'!N61+'Wind Loading'!$K$15*'Combined Stress'!N62+'Wind Loading'!$K$14*'Combined Stress'!N63+'Wind Loading'!$K$13*'Combined Stress'!N64+'Wind Loading'!$K$12*'Combined Stress'!N65+'Wind Loading'!$K$11*'Combined Stress'!N66+'Wind Loading'!$K$10*'Combined Stress'!N67+'Wind Loading'!$K$9*'Combined Stress'!N68+'Wind Loading'!$K$8*'Combined Stress'!N69</f>
        <v>617873.10925668431</v>
      </c>
      <c r="P8" s="14">
        <f>((O8*'Alternative 2'!K9)/'Alternative 2'!L9)/1000000</f>
        <v>9.8666256051250674</v>
      </c>
      <c r="Q8" s="30">
        <f t="shared" si="12"/>
        <v>31</v>
      </c>
      <c r="R8" s="14">
        <f>'Alternative 2'!$B$3+'Alternative 2'!$B$5+('Alternative 2'!$B$39*Q8)</f>
        <v>278391.68112709332</v>
      </c>
      <c r="S8" s="14">
        <f>'Alternative 2'!M9</f>
        <v>3.131129749980555</v>
      </c>
      <c r="T8" s="14">
        <f t="shared" si="2"/>
        <v>8.8910937379334795E-2</v>
      </c>
      <c r="U8" s="284">
        <f t="shared" si="3"/>
        <v>9.9555365425044027</v>
      </c>
      <c r="V8" s="286"/>
      <c r="W8" s="153">
        <f>'Alternative 3'!F9</f>
        <v>6</v>
      </c>
      <c r="X8" s="59">
        <f t="shared" si="13"/>
        <v>31.5</v>
      </c>
      <c r="Y8" s="30">
        <f t="shared" si="14"/>
        <v>30.5</v>
      </c>
      <c r="Z8" s="60">
        <f>'Dynamic Loading'!$Y$3*'Combined Stress'!X8+'Wind Loading'!$P$69*Y8+'Wind Loading'!$P$68*'Combined Stress'!Y9+'Wind Loading'!$P$67*'Combined Stress'!Y10+'Wind Loading'!$P$66*'Combined Stress'!Y11+'Wind Loading'!$P$65*'Combined Stress'!Y12+'Wind Loading'!$P$64*'Combined Stress'!Y13+'Wind Loading'!$P$63*'Combined Stress'!Y14+'Wind Loading'!$P$62*'Combined Stress'!Y15+'Wind Loading'!$P$61*'Combined Stress'!Y16+'Wind Loading'!$P$60*'Combined Stress'!Y17+'Wind Loading'!$P$59*'Combined Stress'!Y18+'Wind Loading'!$P$58*'Combined Stress'!Y19+'Wind Loading'!$P$57*'Combined Stress'!Y20+'Wind Loading'!$P$56*'Combined Stress'!Y21+'Wind Loading'!$P$55*'Combined Stress'!Y22+'Wind Loading'!$P$54*'Combined Stress'!Y23+'Wind Loading'!$P$53*'Combined Stress'!Y24+'Wind Loading'!$P$52*'Combined Stress'!Y25+'Wind Loading'!$P$51*'Combined Stress'!Y26+'Wind Loading'!$P$50*'Combined Stress'!Y27+'Wind Loading'!$P$49*'Combined Stress'!Y28+'Wind Loading'!$P$48*'Combined Stress'!Y29+'Wind Loading'!$P$47*'Combined Stress'!Y30+'Wind Loading'!$P$46*'Combined Stress'!Y31+'Wind Loading'!$P$45*'Combined Stress'!Y32+'Wind Loading'!$P$44*'Combined Stress'!Y33+'Wind Loading'!$P$43*'Combined Stress'!Y34+'Wind Loading'!$P$42*'Combined Stress'!Y35+'Wind Loading'!$P$41*'Combined Stress'!Y36+'Wind Loading'!$P$40*'Combined Stress'!Y37+'Wind Loading'!$P$39*'Combined Stress'!Y38+'Wind Loading'!$P$38*'Combined Stress'!Y39+'Wind Loading'!$P$37*'Combined Stress'!Y40+'Wind Loading'!$P$36*'Combined Stress'!Y41+'Wind Loading'!$P$35*'Combined Stress'!Y42+'Wind Loading'!$P$34*'Combined Stress'!Y43+'Wind Loading'!$P$33*'Combined Stress'!Y44+'Wind Loading'!$P$32*'Combined Stress'!Y45+'Wind Loading'!$P$31*'Combined Stress'!Y46+'Wind Loading'!$P$30*'Combined Stress'!Y47+'Wind Loading'!$P$29*'Combined Stress'!Y48+'Wind Loading'!$P$28*'Combined Stress'!Y49+'Wind Loading'!$P$27*'Combined Stress'!Y50+'Wind Loading'!$P$26*'Combined Stress'!Y51+'Wind Loading'!$P$25*'Combined Stress'!Y52+'Wind Loading'!$P$24*'Combined Stress'!Y53+'Wind Loading'!$P$23*'Combined Stress'!Y54+'Wind Loading'!$P$22*'Combined Stress'!Y55+'Wind Loading'!$P$21*'Combined Stress'!Y56+'Wind Loading'!$P$20*'Combined Stress'!Y57+'Wind Loading'!$P$19*'Combined Stress'!Y58+'Wind Loading'!$P$18*'Combined Stress'!Y59+'Wind Loading'!$P$17*'Combined Stress'!Y60+'Wind Loading'!$P$16*'Combined Stress'!Y61+'Wind Loading'!$P$15*'Combined Stress'!Y62+'Wind Loading'!$P$14*'Combined Stress'!Y63+'Wind Loading'!$P$13*'Combined Stress'!Y64+'Wind Loading'!$P$12*'Combined Stress'!Y65+'Wind Loading'!$P$11*'Combined Stress'!Y66+'Wind Loading'!$P$10*'Combined Stress'!Y67+'Wind Loading'!$P$9*'Combined Stress'!Y68+'Wind Loading'!$P$8*'Combined Stress'!Y69</f>
        <v>617873.10925668431</v>
      </c>
      <c r="AA8" s="60">
        <f>((Z8*'Alternative 3'!K9)/'Alternative 3'!L9)/1000000</f>
        <v>9.8666256051250674</v>
      </c>
      <c r="AB8" s="60">
        <f t="shared" si="4"/>
        <v>62</v>
      </c>
      <c r="AC8" s="14">
        <f>'Alternative 3'!$B$3+'Alternative 3'!$B$5+('Alternative 2'!$B$39*AB8)</f>
        <v>541994.93405418657</v>
      </c>
      <c r="AD8" s="60">
        <f>'Alternative 3'!M9</f>
        <v>3.131129749980555</v>
      </c>
      <c r="AE8" s="60">
        <f t="shared" si="5"/>
        <v>0.1730988420577437</v>
      </c>
      <c r="AF8" s="60">
        <f t="shared" si="6"/>
        <v>10.039724447182811</v>
      </c>
    </row>
    <row r="9" spans="1:32" ht="14.45" customHeight="1" x14ac:dyDescent="0.25">
      <c r="A9" s="13">
        <f>IF('Alternative 1'!F10&gt;0,'Alternative 1'!F10,"x")</f>
        <v>7</v>
      </c>
      <c r="B9" s="30">
        <f t="shared" si="7"/>
        <v>30.5</v>
      </c>
      <c r="C9" s="30">
        <f t="shared" si="8"/>
        <v>29.5</v>
      </c>
      <c r="D9" s="14">
        <f>'Dynamic Loading'!$I$3*'Combined Stress'!B9+'Wind Loading'!$F$69*C9+'Wind Loading'!$F$68*'Combined Stress'!C10+'Wind Loading'!$F$67*'Combined Stress'!C11+'Wind Loading'!$F$66*'Combined Stress'!C12+'Wind Loading'!$F$65*'Combined Stress'!C13+'Wind Loading'!$F$64*'Combined Stress'!C14+'Wind Loading'!$F$63*'Combined Stress'!C15+'Wind Loading'!$F$62*'Combined Stress'!C16+'Wind Loading'!$F$61*'Combined Stress'!C17+'Wind Loading'!$F$60*'Combined Stress'!C18+'Wind Loading'!$F$59*'Combined Stress'!C19+'Wind Loading'!$F$58*'Combined Stress'!C20+'Wind Loading'!$F$57*'Combined Stress'!C21+'Wind Loading'!$F$56*'Combined Stress'!C22+'Wind Loading'!$F$55*'Combined Stress'!C23+'Wind Loading'!$F$54*'Combined Stress'!C24+'Wind Loading'!$F$53*'Combined Stress'!C25+'Wind Loading'!$F$52*'Combined Stress'!C26+'Wind Loading'!$F$51*'Combined Stress'!C27+'Wind Loading'!$F$50*'Combined Stress'!C28+'Wind Loading'!$F$49*'Combined Stress'!C29+'Wind Loading'!$F$48*'Combined Stress'!C30+'Wind Loading'!$F$47*'Combined Stress'!C31+'Wind Loading'!$F$46*'Combined Stress'!C32+'Wind Loading'!$F$45*'Combined Stress'!C33+'Wind Loading'!$F$44*'Combined Stress'!C34+'Wind Loading'!$F$43*'Combined Stress'!C35+'Wind Loading'!$F$42*'Combined Stress'!C36+'Wind Loading'!$F$41*'Combined Stress'!C37+'Wind Loading'!$F$40*'Combined Stress'!C38+'Wind Loading'!$F$39*'Combined Stress'!C39+'Wind Loading'!$F$38*'Combined Stress'!C40+'Wind Loading'!$F$37*'Combined Stress'!C41+'Wind Loading'!$F$36*'Combined Stress'!C42+'Wind Loading'!$F$35*'Combined Stress'!C43+'Wind Loading'!$F$34*'Combined Stress'!C44+'Wind Loading'!$F$33*'Combined Stress'!C45+'Wind Loading'!$F$32*'Combined Stress'!C46+'Wind Loading'!$F$31*'Combined Stress'!C47+'Wind Loading'!$F$30*'Combined Stress'!C48+'Wind Loading'!$F$29*'Combined Stress'!C49+'Wind Loading'!$F$28*'Combined Stress'!C50+'Wind Loading'!$F$27*'Combined Stress'!C51+'Wind Loading'!$F$26*'Combined Stress'!C52+'Wind Loading'!$F$25*'Combined Stress'!C53+'Wind Loading'!$F$24*'Combined Stress'!C54+'Wind Loading'!$F$23*'Combined Stress'!C55+'Wind Loading'!$F$22*'Combined Stress'!C56+'Wind Loading'!$F$21*'Combined Stress'!C57+'Wind Loading'!$F$20*'Combined Stress'!C58+'Wind Loading'!$F$19*'Combined Stress'!C59+'Wind Loading'!$F$18*'Combined Stress'!C60+'Wind Loading'!$F$17*'Combined Stress'!C61+'Wind Loading'!$F$16*'Combined Stress'!C62+'Wind Loading'!$F$15*'Combined Stress'!C63+'Wind Loading'!$F$14*'Combined Stress'!C64+'Wind Loading'!$F$13*'Combined Stress'!C65+'Wind Loading'!$F$12*'Combined Stress'!C66+'Wind Loading'!$F$11*'Combined Stress'!C67+'Wind Loading'!$F$10*'Combined Stress'!C68+'Wind Loading'!$F$9*'Combined Stress'!C69</f>
        <v>598258.08991520235</v>
      </c>
      <c r="E9" s="14">
        <f>((D9*'Alternative 1'!K10)/'Alternative 1'!L10)/1000000</f>
        <v>9.7466050802524169</v>
      </c>
      <c r="F9" s="30">
        <f t="shared" si="9"/>
        <v>30</v>
      </c>
      <c r="G9" s="14">
        <f>IF(F9&gt;0,'Alternative 1'!$B$3+'Alternative 1'!$B$5+('Alternative 1'!$B$39*F9),0)</f>
        <v>269888.35038750962</v>
      </c>
      <c r="H9" s="14">
        <f>'Alternative 1'!M10</f>
        <v>3.0690617721970161</v>
      </c>
      <c r="I9" s="14">
        <f t="shared" si="0"/>
        <v>8.7938389781678311E-2</v>
      </c>
      <c r="J9" s="14">
        <f t="shared" si="1"/>
        <v>9.8345434700340952</v>
      </c>
      <c r="K9" s="286"/>
      <c r="L9" s="13">
        <f>IF('Alternative 2'!$F10&gt;0,'Alternative 2'!$F10,"x")</f>
        <v>7</v>
      </c>
      <c r="M9" s="30">
        <f t="shared" si="10"/>
        <v>30.5</v>
      </c>
      <c r="N9" s="30">
        <f t="shared" si="11"/>
        <v>29.5</v>
      </c>
      <c r="O9" s="14">
        <f>'Dynamic Loading'!$Q$3*'Combined Stress'!M9+'Wind Loading'!$K$69*N9+'Wind Loading'!$K$68*'Combined Stress'!N10+'Wind Loading'!$K$67*'Combined Stress'!N11+'Wind Loading'!$K$66*'Combined Stress'!N12+'Wind Loading'!$K$65*'Combined Stress'!N13+'Wind Loading'!$K$64*'Combined Stress'!N14+'Wind Loading'!$K$63*'Combined Stress'!N15+'Wind Loading'!$K$62*'Combined Stress'!N16+'Wind Loading'!$K$61*'Combined Stress'!N17+'Wind Loading'!$K$60*'Combined Stress'!N18+'Wind Loading'!$K$59*'Combined Stress'!N19+'Wind Loading'!$K$58*'Combined Stress'!N20+'Wind Loading'!$K$57*'Combined Stress'!N21+'Wind Loading'!$K$56*'Combined Stress'!N22+'Wind Loading'!$K$55*'Combined Stress'!N23+'Wind Loading'!$K$54*'Combined Stress'!N24+'Wind Loading'!$K$53*'Combined Stress'!N25+'Wind Loading'!$K$52*'Combined Stress'!N26+'Wind Loading'!$K$51*'Combined Stress'!N27+'Wind Loading'!$K$50*'Combined Stress'!N28+'Wind Loading'!$K$49*'Combined Stress'!N29+'Wind Loading'!$K$48*'Combined Stress'!N30+'Wind Loading'!$K$47*'Combined Stress'!N31+'Wind Loading'!$K$46*'Combined Stress'!N32+'Wind Loading'!$K$45*'Combined Stress'!N33+'Wind Loading'!$K$44*'Combined Stress'!N34+'Wind Loading'!$K$43*'Combined Stress'!N35+'Wind Loading'!$K$42*'Combined Stress'!N36+'Wind Loading'!$K$41*'Combined Stress'!N37+'Wind Loading'!$K$40*'Combined Stress'!N38+'Wind Loading'!$K$39*'Combined Stress'!N39+'Wind Loading'!$K$38*'Combined Stress'!N40+'Wind Loading'!$K$37*'Combined Stress'!N41+'Wind Loading'!$K$36*'Combined Stress'!N42+'Wind Loading'!$K$35*'Combined Stress'!N43+'Wind Loading'!$K$34*'Combined Stress'!N44+'Wind Loading'!$K$33*'Combined Stress'!N45+'Wind Loading'!$K$32*'Combined Stress'!N46+'Wind Loading'!$K$31*'Combined Stress'!N47+'Wind Loading'!$K$30*'Combined Stress'!N48+'Wind Loading'!$K$29*'Combined Stress'!N49+'Wind Loading'!$K$28*'Combined Stress'!N50+'Wind Loading'!$K$27*'Combined Stress'!N51+'Wind Loading'!$K$26*'Combined Stress'!N52+'Wind Loading'!$K$25*'Combined Stress'!N53+'Wind Loading'!$K$24*'Combined Stress'!N54+'Wind Loading'!$K$23*'Combined Stress'!N55+'Wind Loading'!$K$22*'Combined Stress'!N56+'Wind Loading'!$K$21*'Combined Stress'!N57+'Wind Loading'!$K$20*'Combined Stress'!N58+'Wind Loading'!$K$19*'Combined Stress'!N59+'Wind Loading'!$K$18*'Combined Stress'!N60+'Wind Loading'!$K$17*'Combined Stress'!N61+'Wind Loading'!$K$16*'Combined Stress'!N62+'Wind Loading'!$K$15*'Combined Stress'!N63+'Wind Loading'!$K$14*'Combined Stress'!N64+'Wind Loading'!$K$13*'Combined Stress'!N65+'Wind Loading'!$K$12*'Combined Stress'!N66+'Wind Loading'!$K$11*'Combined Stress'!N67+'Wind Loading'!$K$10*'Combined Stress'!N68+'Wind Loading'!$K$9*'Combined Stress'!N69</f>
        <v>598258.08991520235</v>
      </c>
      <c r="P9" s="14">
        <f>((O9*'Alternative 2'!K10)/'Alternative 2'!L10)/1000000</f>
        <v>9.7466050802524169</v>
      </c>
      <c r="Q9" s="30">
        <f t="shared" si="12"/>
        <v>30</v>
      </c>
      <c r="R9" s="14">
        <f>'Alternative 2'!$B$3+'Alternative 2'!$B$5+('Alternative 2'!$B$39*Q9)</f>
        <v>269888.35038750962</v>
      </c>
      <c r="S9" s="14">
        <f>'Alternative 2'!M10</f>
        <v>3.0690617721970161</v>
      </c>
      <c r="T9" s="14">
        <f t="shared" si="2"/>
        <v>8.7938389781678311E-2</v>
      </c>
      <c r="U9" s="284">
        <f t="shared" si="3"/>
        <v>9.8345434700340952</v>
      </c>
      <c r="V9" s="286"/>
      <c r="W9" s="153">
        <f>'Alternative 3'!F10</f>
        <v>7</v>
      </c>
      <c r="X9" s="59">
        <f t="shared" si="13"/>
        <v>30.5</v>
      </c>
      <c r="Y9" s="30">
        <f t="shared" si="14"/>
        <v>29.5</v>
      </c>
      <c r="Z9" s="60">
        <f>'Dynamic Loading'!$Y$3*'Combined Stress'!X9+'Wind Loading'!$P$69*Y9+'Wind Loading'!$P$68*'Combined Stress'!Y10+'Wind Loading'!$P$67*'Combined Stress'!Y11+'Wind Loading'!$P$66*'Combined Stress'!Y12+'Wind Loading'!$P$65*'Combined Stress'!Y13+'Wind Loading'!$P$64*'Combined Stress'!Y14+'Wind Loading'!$P$63*'Combined Stress'!Y15+'Wind Loading'!$P$62*'Combined Stress'!Y16+'Wind Loading'!$P$61*'Combined Stress'!Y17+'Wind Loading'!$P$60*'Combined Stress'!Y18+'Wind Loading'!$P$59*'Combined Stress'!Y19+'Wind Loading'!$P$58*'Combined Stress'!Y20+'Wind Loading'!$P$57*'Combined Stress'!Y21+'Wind Loading'!$P$56*'Combined Stress'!Y22+'Wind Loading'!$P$55*'Combined Stress'!Y23+'Wind Loading'!$P$54*'Combined Stress'!Y24+'Wind Loading'!$P$53*'Combined Stress'!Y25+'Wind Loading'!$P$52*'Combined Stress'!Y26+'Wind Loading'!$P$51*'Combined Stress'!Y27+'Wind Loading'!$P$50*'Combined Stress'!Y28+'Wind Loading'!$P$49*'Combined Stress'!Y29+'Wind Loading'!$P$48*'Combined Stress'!Y30+'Wind Loading'!$P$47*'Combined Stress'!Y31+'Wind Loading'!$P$46*'Combined Stress'!Y32+'Wind Loading'!$P$45*'Combined Stress'!Y33+'Wind Loading'!$P$44*'Combined Stress'!Y34+'Wind Loading'!$P$43*'Combined Stress'!Y35+'Wind Loading'!$P$42*'Combined Stress'!Y36+'Wind Loading'!$P$41*'Combined Stress'!Y37+'Wind Loading'!$P$40*'Combined Stress'!Y38+'Wind Loading'!$P$39*'Combined Stress'!Y39+'Wind Loading'!$P$38*'Combined Stress'!Y40+'Wind Loading'!$P$37*'Combined Stress'!Y41+'Wind Loading'!$P$36*'Combined Stress'!Y42+'Wind Loading'!$P$35*'Combined Stress'!Y43+'Wind Loading'!$P$34*'Combined Stress'!Y44+'Wind Loading'!$P$33*'Combined Stress'!Y45+'Wind Loading'!$P$32*'Combined Stress'!Y46+'Wind Loading'!$P$31*'Combined Stress'!Y47+'Wind Loading'!$P$30*'Combined Stress'!Y48+'Wind Loading'!$P$29*'Combined Stress'!Y49+'Wind Loading'!$P$28*'Combined Stress'!Y50+'Wind Loading'!$P$27*'Combined Stress'!Y51+'Wind Loading'!$P$26*'Combined Stress'!Y52+'Wind Loading'!$P$25*'Combined Stress'!Y53+'Wind Loading'!$P$24*'Combined Stress'!Y54+'Wind Loading'!$P$23*'Combined Stress'!Y55+'Wind Loading'!$P$22*'Combined Stress'!Y56+'Wind Loading'!$P$21*'Combined Stress'!Y57+'Wind Loading'!$P$20*'Combined Stress'!Y58+'Wind Loading'!$P$19*'Combined Stress'!Y59+'Wind Loading'!$P$18*'Combined Stress'!Y60+'Wind Loading'!$P$17*'Combined Stress'!Y61+'Wind Loading'!$P$16*'Combined Stress'!Y62+'Wind Loading'!$P$15*'Combined Stress'!Y63+'Wind Loading'!$P$14*'Combined Stress'!Y64+'Wind Loading'!$P$13*'Combined Stress'!Y65+'Wind Loading'!$P$12*'Combined Stress'!Y66+'Wind Loading'!$P$11*'Combined Stress'!Y67+'Wind Loading'!$P$10*'Combined Stress'!Y68+'Wind Loading'!$P$9*'Combined Stress'!Y69</f>
        <v>598258.08991520235</v>
      </c>
      <c r="AA9" s="60">
        <f>((Z9*'Alternative 3'!K10)/'Alternative 3'!L10)/1000000</f>
        <v>9.7466050802524169</v>
      </c>
      <c r="AB9" s="60">
        <f t="shared" si="4"/>
        <v>61</v>
      </c>
      <c r="AC9" s="14">
        <f>'Alternative 3'!$B$3+'Alternative 3'!$B$5+('Alternative 2'!$B$39*AB9)</f>
        <v>533491.60331460298</v>
      </c>
      <c r="AD9" s="60">
        <f>'Alternative 3'!M10</f>
        <v>3.0690617721970161</v>
      </c>
      <c r="AE9" s="60">
        <f t="shared" si="5"/>
        <v>0.17382889068821125</v>
      </c>
      <c r="AF9" s="60">
        <f t="shared" si="6"/>
        <v>9.9204339709406284</v>
      </c>
    </row>
    <row r="10" spans="1:32" ht="14.45" customHeight="1" x14ac:dyDescent="0.25">
      <c r="A10" s="13">
        <f>IF('Alternative 1'!F11&gt;0,'Alternative 1'!F11,"x")</f>
        <v>8</v>
      </c>
      <c r="B10" s="30">
        <f t="shared" si="7"/>
        <v>29.5</v>
      </c>
      <c r="C10" s="30">
        <f t="shared" si="8"/>
        <v>28.5</v>
      </c>
      <c r="D10" s="14">
        <f>'Dynamic Loading'!$I$3*'Combined Stress'!B10+'Wind Loading'!$F$69*C10+'Wind Loading'!$F$68*'Combined Stress'!C11+'Wind Loading'!$F$67*'Combined Stress'!C12+'Wind Loading'!$F$66*'Combined Stress'!C13+'Wind Loading'!$F$65*'Combined Stress'!C14+'Wind Loading'!$F$64*'Combined Stress'!C15+'Wind Loading'!$F$63*'Combined Stress'!C16+'Wind Loading'!$F$62*'Combined Stress'!C17+'Wind Loading'!$F$61*'Combined Stress'!C18+'Wind Loading'!$F$60*'Combined Stress'!C19+'Wind Loading'!$F$59*'Combined Stress'!C20+'Wind Loading'!$F$58*'Combined Stress'!C21+'Wind Loading'!$F$57*'Combined Stress'!C22+'Wind Loading'!$F$56*'Combined Stress'!C23+'Wind Loading'!$F$55*'Combined Stress'!C24+'Wind Loading'!$F$54*'Combined Stress'!C25+'Wind Loading'!$F$53*'Combined Stress'!C26+'Wind Loading'!$F$52*'Combined Stress'!C27+'Wind Loading'!$F$51*'Combined Stress'!C28+'Wind Loading'!$F$50*'Combined Stress'!C29+'Wind Loading'!$F$49*'Combined Stress'!C30+'Wind Loading'!$F$48*'Combined Stress'!C31+'Wind Loading'!$F$47*'Combined Stress'!C32+'Wind Loading'!$F$46*'Combined Stress'!C33+'Wind Loading'!$F$45*'Combined Stress'!C34+'Wind Loading'!$F$44*'Combined Stress'!C35+'Wind Loading'!$F$43*'Combined Stress'!C36+'Wind Loading'!$F$42*'Combined Stress'!C37+'Wind Loading'!$F$41*'Combined Stress'!C38+'Wind Loading'!$F$40*'Combined Stress'!C39+'Wind Loading'!$F$39*'Combined Stress'!C40+'Wind Loading'!$F$38*'Combined Stress'!C41+'Wind Loading'!$F$37*'Combined Stress'!C42+'Wind Loading'!$F$36*'Combined Stress'!C43+'Wind Loading'!$F$35*'Combined Stress'!C44+'Wind Loading'!$F$34*'Combined Stress'!C45+'Wind Loading'!$F$33*'Combined Stress'!C46+'Wind Loading'!$F$32*'Combined Stress'!C47+'Wind Loading'!$F$31*'Combined Stress'!C48+'Wind Loading'!$F$30*'Combined Stress'!C49+'Wind Loading'!$F$29*'Combined Stress'!C50+'Wind Loading'!$F$28*'Combined Stress'!C51+'Wind Loading'!$F$27*'Combined Stress'!C52+'Wind Loading'!$F$26*'Combined Stress'!C53+'Wind Loading'!$F$25*'Combined Stress'!C54+'Wind Loading'!$F$24*'Combined Stress'!C55+'Wind Loading'!$F$23*'Combined Stress'!C56+'Wind Loading'!$F$22*'Combined Stress'!C57+'Wind Loading'!$F$21*'Combined Stress'!C58+'Wind Loading'!$F$20*'Combined Stress'!C59+'Wind Loading'!$F$19*'Combined Stress'!C60+'Wind Loading'!$F$18*'Combined Stress'!C61+'Wind Loading'!$F$17*'Combined Stress'!C62+'Wind Loading'!$F$16*'Combined Stress'!C63+'Wind Loading'!$F$15*'Combined Stress'!C64+'Wind Loading'!$F$14*'Combined Stress'!C65+'Wind Loading'!$F$13*'Combined Stress'!C66+'Wind Loading'!$F$12*'Combined Stress'!C67+'Wind Loading'!$F$11*'Combined Stress'!C68+'Wind Loading'!$F$10*'Combined Stress'!C69</f>
        <v>578643.07057372027</v>
      </c>
      <c r="E10" s="14">
        <f>((D10*'Alternative 1'!K11)/'Alternative 1'!L11)/1000000</f>
        <v>9.6196420431025889</v>
      </c>
      <c r="F10" s="30">
        <f t="shared" si="9"/>
        <v>29</v>
      </c>
      <c r="G10" s="14">
        <f>IF(F10&gt;0,'Alternative 1'!$B$3+'Alternative 1'!$B$5+('Alternative 1'!$B$39*F10),0)</f>
        <v>261385.01964792598</v>
      </c>
      <c r="H10" s="14">
        <f>'Alternative 1'!M11</f>
        <v>3.0076151510882467</v>
      </c>
      <c r="I10" s="14">
        <f t="shared" si="0"/>
        <v>8.6907734705801334E-2</v>
      </c>
      <c r="J10" s="14">
        <f t="shared" si="1"/>
        <v>9.7065497778083909</v>
      </c>
      <c r="K10" s="286"/>
      <c r="L10" s="13">
        <f>IF('Alternative 2'!$F11&gt;0,'Alternative 2'!$F11,"x")</f>
        <v>8</v>
      </c>
      <c r="M10" s="30">
        <f t="shared" si="10"/>
        <v>29.5</v>
      </c>
      <c r="N10" s="30">
        <f t="shared" si="11"/>
        <v>28.5</v>
      </c>
      <c r="O10" s="14">
        <f>'Dynamic Loading'!$Q$3*'Combined Stress'!M10+'Wind Loading'!$K$69*N10+'Wind Loading'!$K$68*'Combined Stress'!N11+'Wind Loading'!$K$67*'Combined Stress'!N12+'Wind Loading'!$K$66*'Combined Stress'!N13+'Wind Loading'!$K$65*'Combined Stress'!N14+'Wind Loading'!$K$64*'Combined Stress'!N15+'Wind Loading'!$K$63*'Combined Stress'!N16+'Wind Loading'!$K$62*'Combined Stress'!N17+'Wind Loading'!$K$61*'Combined Stress'!N18+'Wind Loading'!$K$60*'Combined Stress'!N19+'Wind Loading'!$K$59*'Combined Stress'!N20+'Wind Loading'!$K$58*'Combined Stress'!N21+'Wind Loading'!$K$57*'Combined Stress'!N22+'Wind Loading'!$K$56*'Combined Stress'!N23+'Wind Loading'!$K$55*'Combined Stress'!N24+'Wind Loading'!$K$54*'Combined Stress'!N25+'Wind Loading'!$K$53*'Combined Stress'!N26+'Wind Loading'!$K$52*'Combined Stress'!N27+'Wind Loading'!$K$51*'Combined Stress'!N28+'Wind Loading'!$K$50*'Combined Stress'!N29+'Wind Loading'!$K$49*'Combined Stress'!N30+'Wind Loading'!$K$48*'Combined Stress'!N31+'Wind Loading'!$K$47*'Combined Stress'!N32+'Wind Loading'!$K$46*'Combined Stress'!N33+'Wind Loading'!$K$45*'Combined Stress'!N34+'Wind Loading'!$K$44*'Combined Stress'!N35+'Wind Loading'!$K$43*'Combined Stress'!N36+'Wind Loading'!$K$42*'Combined Stress'!N37+'Wind Loading'!$K$41*'Combined Stress'!N38+'Wind Loading'!$K$40*'Combined Stress'!N39+'Wind Loading'!$K$39*'Combined Stress'!N40+'Wind Loading'!$K$38*'Combined Stress'!N41+'Wind Loading'!$K$37*'Combined Stress'!N42+'Wind Loading'!$K$36*'Combined Stress'!N43+'Wind Loading'!$K$35*'Combined Stress'!N44+'Wind Loading'!$K$34*'Combined Stress'!N45+'Wind Loading'!$K$33*'Combined Stress'!N46+'Wind Loading'!$K$32*'Combined Stress'!N47+'Wind Loading'!$K$31*'Combined Stress'!N48+'Wind Loading'!$K$30*'Combined Stress'!N49+'Wind Loading'!$K$29*'Combined Stress'!N50+'Wind Loading'!$K$28*'Combined Stress'!N51+'Wind Loading'!$K$27*'Combined Stress'!N52+'Wind Loading'!$K$26*'Combined Stress'!N53+'Wind Loading'!$K$25*'Combined Stress'!N54+'Wind Loading'!$K$24*'Combined Stress'!N55+'Wind Loading'!$K$23*'Combined Stress'!N56+'Wind Loading'!$K$22*'Combined Stress'!N57+'Wind Loading'!$K$21*'Combined Stress'!N58+'Wind Loading'!$K$20*'Combined Stress'!N59+'Wind Loading'!$K$19*'Combined Stress'!N60+'Wind Loading'!$K$18*'Combined Stress'!N61+'Wind Loading'!$K$17*'Combined Stress'!N62+'Wind Loading'!$K$16*'Combined Stress'!N63+'Wind Loading'!$K$15*'Combined Stress'!N64+'Wind Loading'!$K$14*'Combined Stress'!N65+'Wind Loading'!$K$13*'Combined Stress'!N66+'Wind Loading'!$K$12*'Combined Stress'!N67+'Wind Loading'!$K$11*'Combined Stress'!N68+'Wind Loading'!$K$10*'Combined Stress'!N69</f>
        <v>578643.07057372027</v>
      </c>
      <c r="P10" s="14">
        <f>((O10*'Alternative 2'!K11)/'Alternative 2'!L11)/1000000</f>
        <v>9.6196420431025889</v>
      </c>
      <c r="Q10" s="30">
        <f t="shared" si="12"/>
        <v>29</v>
      </c>
      <c r="R10" s="14">
        <f>'Alternative 2'!$B$3+'Alternative 2'!$B$5+('Alternative 2'!$B$39*Q10)</f>
        <v>261385.01964792598</v>
      </c>
      <c r="S10" s="14">
        <f>'Alternative 2'!M11</f>
        <v>3.0076151510882467</v>
      </c>
      <c r="T10" s="14">
        <f t="shared" si="2"/>
        <v>8.6907734705801334E-2</v>
      </c>
      <c r="U10" s="284">
        <f t="shared" si="3"/>
        <v>9.7065497778083909</v>
      </c>
      <c r="V10" s="286"/>
      <c r="W10" s="153">
        <f>'Alternative 3'!F11</f>
        <v>8</v>
      </c>
      <c r="X10" s="59">
        <f t="shared" si="13"/>
        <v>29.5</v>
      </c>
      <c r="Y10" s="30">
        <f t="shared" si="14"/>
        <v>28.5</v>
      </c>
      <c r="Z10" s="60">
        <f>'Dynamic Loading'!$Y$3*'Combined Stress'!X10+'Wind Loading'!$P$69*Y10+'Wind Loading'!$P$68*'Combined Stress'!Y11+'Wind Loading'!$P$67*'Combined Stress'!Y12+'Wind Loading'!$P$66*'Combined Stress'!Y13+'Wind Loading'!$P$65*'Combined Stress'!Y14+'Wind Loading'!$P$64*'Combined Stress'!Y15+'Wind Loading'!$P$63*'Combined Stress'!Y16+'Wind Loading'!$P$62*'Combined Stress'!Y17+'Wind Loading'!$P$61*'Combined Stress'!Y18+'Wind Loading'!$P$60*'Combined Stress'!Y19+'Wind Loading'!$P$59*'Combined Stress'!Y20+'Wind Loading'!$P$58*'Combined Stress'!Y21+'Wind Loading'!$P$57*'Combined Stress'!Y22+'Wind Loading'!$P$56*'Combined Stress'!Y23+'Wind Loading'!$P$55*'Combined Stress'!Y24+'Wind Loading'!$P$54*'Combined Stress'!Y25+'Wind Loading'!$P$53*'Combined Stress'!Y26+'Wind Loading'!$P$52*'Combined Stress'!Y27+'Wind Loading'!$P$51*'Combined Stress'!Y28+'Wind Loading'!$P$50*'Combined Stress'!Y29+'Wind Loading'!$P$49*'Combined Stress'!Y30+'Wind Loading'!$P$48*'Combined Stress'!Y31+'Wind Loading'!$P$47*'Combined Stress'!Y32+'Wind Loading'!$P$46*'Combined Stress'!Y33+'Wind Loading'!$P$45*'Combined Stress'!Y34+'Wind Loading'!$P$44*'Combined Stress'!Y35+'Wind Loading'!$P$43*'Combined Stress'!Y36+'Wind Loading'!$P$42*'Combined Stress'!Y37+'Wind Loading'!$P$41*'Combined Stress'!Y38+'Wind Loading'!$P$40*'Combined Stress'!Y39+'Wind Loading'!$P$39*'Combined Stress'!Y40+'Wind Loading'!$P$38*'Combined Stress'!Y41+'Wind Loading'!$P$37*'Combined Stress'!Y42+'Wind Loading'!$P$36*'Combined Stress'!Y43+'Wind Loading'!$P$35*'Combined Stress'!Y44+'Wind Loading'!$P$34*'Combined Stress'!Y45+'Wind Loading'!$P$33*'Combined Stress'!Y46+'Wind Loading'!$P$32*'Combined Stress'!Y47+'Wind Loading'!$P$31*'Combined Stress'!Y48+'Wind Loading'!$P$30*'Combined Stress'!Y49+'Wind Loading'!$P$29*'Combined Stress'!Y50+'Wind Loading'!$P$28*'Combined Stress'!Y51+'Wind Loading'!$P$27*'Combined Stress'!Y52+'Wind Loading'!$P$26*'Combined Stress'!Y53+'Wind Loading'!$P$25*'Combined Stress'!Y54+'Wind Loading'!$P$24*'Combined Stress'!Y55+'Wind Loading'!$P$23*'Combined Stress'!Y56+'Wind Loading'!$P$22*'Combined Stress'!Y57+'Wind Loading'!$P$21*'Combined Stress'!Y58+'Wind Loading'!$P$20*'Combined Stress'!Y59+'Wind Loading'!$P$19*'Combined Stress'!Y60+'Wind Loading'!$P$18*'Combined Stress'!Y61+'Wind Loading'!$P$17*'Combined Stress'!Y62+'Wind Loading'!$P$16*'Combined Stress'!Y63+'Wind Loading'!$P$15*'Combined Stress'!Y64+'Wind Loading'!$P$14*'Combined Stress'!Y65+'Wind Loading'!$P$13*'Combined Stress'!Y66+'Wind Loading'!$P$12*'Combined Stress'!Y67+'Wind Loading'!$P$11*'Combined Stress'!Y68+'Wind Loading'!$P$10*'Combined Stress'!Y69</f>
        <v>578643.07057372027</v>
      </c>
      <c r="AA10" s="60">
        <f>((Z10*'Alternative 3'!K11)/'Alternative 3'!L11)/1000000</f>
        <v>9.6196420431025889</v>
      </c>
      <c r="AB10" s="60">
        <f t="shared" si="4"/>
        <v>60</v>
      </c>
      <c r="AC10" s="14">
        <f>'Alternative 3'!$B$3+'Alternative 3'!$B$5+('Alternative 2'!$B$39*AB10)</f>
        <v>524988.27257501928</v>
      </c>
      <c r="AD10" s="60">
        <f>'Alternative 3'!M11</f>
        <v>3.0076151510882467</v>
      </c>
      <c r="AE10" s="60">
        <f t="shared" si="5"/>
        <v>0.17455300834784748</v>
      </c>
      <c r="AF10" s="60">
        <f t="shared" si="6"/>
        <v>9.794195051450437</v>
      </c>
    </row>
    <row r="11" spans="1:32" ht="14.45" customHeight="1" x14ac:dyDescent="0.25">
      <c r="A11" s="13">
        <f>IF('Alternative 1'!F12&gt;0,'Alternative 1'!F12,"x")</f>
        <v>9</v>
      </c>
      <c r="B11" s="30">
        <f t="shared" si="7"/>
        <v>28.5</v>
      </c>
      <c r="C11" s="30">
        <f t="shared" si="8"/>
        <v>27.5</v>
      </c>
      <c r="D11" s="14">
        <f>'Dynamic Loading'!$I$3*'Combined Stress'!B11+'Wind Loading'!$F$69*C11+'Wind Loading'!$F$68*'Combined Stress'!C12+'Wind Loading'!$F$67*'Combined Stress'!C13+'Wind Loading'!$F$66*'Combined Stress'!C14+'Wind Loading'!$F$65*'Combined Stress'!C15+'Wind Loading'!$F$64*'Combined Stress'!C16+'Wind Loading'!$F$63*'Combined Stress'!C17+'Wind Loading'!$F$62*'Combined Stress'!C18+'Wind Loading'!$F$61*'Combined Stress'!C19+'Wind Loading'!$F$60*'Combined Stress'!C20+'Wind Loading'!$F$59*'Combined Stress'!C21+'Wind Loading'!$F$58*'Combined Stress'!C22+'Wind Loading'!$F$57*'Combined Stress'!C23+'Wind Loading'!$F$56*'Combined Stress'!C24+'Wind Loading'!$F$55*'Combined Stress'!C25+'Wind Loading'!$F$54*'Combined Stress'!C26+'Wind Loading'!$F$53*'Combined Stress'!C27+'Wind Loading'!$F$52*'Combined Stress'!C28+'Wind Loading'!$F$51*'Combined Stress'!C29+'Wind Loading'!$F$50*'Combined Stress'!C30+'Wind Loading'!$F$49*'Combined Stress'!C31+'Wind Loading'!$F$48*'Combined Stress'!C32+'Wind Loading'!$F$47*'Combined Stress'!C33+'Wind Loading'!$F$46*'Combined Stress'!C34+'Wind Loading'!$F$45*'Combined Stress'!C35+'Wind Loading'!$F$44*'Combined Stress'!C36+'Wind Loading'!$F$43*'Combined Stress'!C37+'Wind Loading'!$F$42*'Combined Stress'!C38+'Wind Loading'!$F$41*'Combined Stress'!C39+'Wind Loading'!$F$40*'Combined Stress'!C40+'Wind Loading'!$F$39*'Combined Stress'!C41+'Wind Loading'!$F$38*'Combined Stress'!C42+'Wind Loading'!$F$37*'Combined Stress'!C43+'Wind Loading'!$F$36*'Combined Stress'!C44+'Wind Loading'!$F$35*'Combined Stress'!C45+'Wind Loading'!$F$34*'Combined Stress'!C46+'Wind Loading'!$F$33*'Combined Stress'!C47+'Wind Loading'!$F$32*'Combined Stress'!C48+'Wind Loading'!$F$31*'Combined Stress'!C49+'Wind Loading'!$F$30*'Combined Stress'!C50+'Wind Loading'!$F$29*'Combined Stress'!C51+'Wind Loading'!$F$28*'Combined Stress'!C52+'Wind Loading'!$F$27*'Combined Stress'!C53+'Wind Loading'!$F$26*'Combined Stress'!C54+'Wind Loading'!$F$25*'Combined Stress'!C55+'Wind Loading'!$F$24*'Combined Stress'!C56+'Wind Loading'!$F$23*'Combined Stress'!C57+'Wind Loading'!$F$22*'Combined Stress'!C58+'Wind Loading'!$F$21*'Combined Stress'!C59+'Wind Loading'!$F$20*'Combined Stress'!C60+'Wind Loading'!$F$19*'Combined Stress'!C61+'Wind Loading'!$F$18*'Combined Stress'!C62+'Wind Loading'!$F$17*'Combined Stress'!C63+'Wind Loading'!$F$16*'Combined Stress'!C64+'Wind Loading'!$F$15*'Combined Stress'!C65+'Wind Loading'!$F$14*'Combined Stress'!C66+'Wind Loading'!$F$13*'Combined Stress'!C67+'Wind Loading'!$F$12*'Combined Stress'!C68+'Wind Loading'!$F$11*'Combined Stress'!C69</f>
        <v>559028.05123223818</v>
      </c>
      <c r="E11" s="14">
        <f>((D11*'Alternative 1'!K12)/'Alternative 1'!L12)/1000000</f>
        <v>9.4853825105913714</v>
      </c>
      <c r="F11" s="30">
        <f t="shared" si="9"/>
        <v>28</v>
      </c>
      <c r="G11" s="14">
        <f>IF(F11&gt;0,'Alternative 1'!$B$3+'Alternative 1'!$B$5+('Alternative 1'!$B$39*F11),0)</f>
        <v>252881.68890834233</v>
      </c>
      <c r="H11" s="14">
        <f>'Alternative 1'!M12</f>
        <v>2.9467898866542503</v>
      </c>
      <c r="I11" s="14">
        <f t="shared" si="0"/>
        <v>8.581598913910389E-2</v>
      </c>
      <c r="J11" s="14">
        <f t="shared" si="1"/>
        <v>9.5711984997304747</v>
      </c>
      <c r="K11" s="286"/>
      <c r="L11" s="13">
        <f>IF('Alternative 2'!$F12&gt;0,'Alternative 2'!$F12,"x")</f>
        <v>9</v>
      </c>
      <c r="M11" s="30">
        <f t="shared" si="10"/>
        <v>28.5</v>
      </c>
      <c r="N11" s="30">
        <f t="shared" si="11"/>
        <v>27.5</v>
      </c>
      <c r="O11" s="14">
        <f>'Dynamic Loading'!$Q$3*'Combined Stress'!M11+'Wind Loading'!$K$69*N11+'Wind Loading'!$K$68*'Combined Stress'!N12+'Wind Loading'!$K$67*'Combined Stress'!N13+'Wind Loading'!$K$66*'Combined Stress'!N14+'Wind Loading'!$K$65*'Combined Stress'!N15+'Wind Loading'!$K$64*'Combined Stress'!N16+'Wind Loading'!$K$63*'Combined Stress'!N17+'Wind Loading'!$K$62*'Combined Stress'!N18+'Wind Loading'!$K$61*'Combined Stress'!N19+'Wind Loading'!$K$60*'Combined Stress'!N20+'Wind Loading'!$K$59*'Combined Stress'!N21+'Wind Loading'!$K$58*'Combined Stress'!N22+'Wind Loading'!$K$57*'Combined Stress'!N23+'Wind Loading'!$K$56*'Combined Stress'!N24+'Wind Loading'!$K$55*'Combined Stress'!N25+'Wind Loading'!$K$54*'Combined Stress'!N26+'Wind Loading'!$K$53*'Combined Stress'!N27+'Wind Loading'!$K$52*'Combined Stress'!N28+'Wind Loading'!$K$51*'Combined Stress'!N29+'Wind Loading'!$K$50*'Combined Stress'!N30+'Wind Loading'!$K$49*'Combined Stress'!N31+'Wind Loading'!$K$48*'Combined Stress'!N32+'Wind Loading'!$K$47*'Combined Stress'!N33+'Wind Loading'!$K$46*'Combined Stress'!N34+'Wind Loading'!$K$45*'Combined Stress'!N35+'Wind Loading'!$K$44*'Combined Stress'!N36+'Wind Loading'!$K$43*'Combined Stress'!N37+'Wind Loading'!$K$42*'Combined Stress'!N38+'Wind Loading'!$K$41*'Combined Stress'!N39+'Wind Loading'!$K$40*'Combined Stress'!N40+'Wind Loading'!$K$39*'Combined Stress'!N41+'Wind Loading'!$K$38*'Combined Stress'!N42+'Wind Loading'!$K$37*'Combined Stress'!N43+'Wind Loading'!$K$36*'Combined Stress'!N44+'Wind Loading'!$K$35*'Combined Stress'!N45+'Wind Loading'!$K$34*'Combined Stress'!N46+'Wind Loading'!$K$33*'Combined Stress'!N47+'Wind Loading'!$K$32*'Combined Stress'!N48+'Wind Loading'!$K$31*'Combined Stress'!N49+'Wind Loading'!$K$30*'Combined Stress'!N50+'Wind Loading'!$K$29*'Combined Stress'!N51+'Wind Loading'!$K$28*'Combined Stress'!N52+'Wind Loading'!$K$27*'Combined Stress'!N53+'Wind Loading'!$K$26*'Combined Stress'!N54+'Wind Loading'!$K$25*'Combined Stress'!N55+'Wind Loading'!$K$24*'Combined Stress'!N56+'Wind Loading'!$K$23*'Combined Stress'!N57+'Wind Loading'!$K$22*'Combined Stress'!N58+'Wind Loading'!$K$21*'Combined Stress'!N59+'Wind Loading'!$K$20*'Combined Stress'!N60+'Wind Loading'!$K$19*'Combined Stress'!N61+'Wind Loading'!$K$18*'Combined Stress'!N62+'Wind Loading'!$K$17*'Combined Stress'!N63+'Wind Loading'!$K$16*'Combined Stress'!N64+'Wind Loading'!$K$15*'Combined Stress'!N65+'Wind Loading'!$K$14*'Combined Stress'!N66+'Wind Loading'!$K$13*'Combined Stress'!N67+'Wind Loading'!$K$12*'Combined Stress'!N68+'Wind Loading'!$K$11*'Combined Stress'!N69</f>
        <v>559028.05123223818</v>
      </c>
      <c r="P11" s="14">
        <f>((O11*'Alternative 2'!K12)/'Alternative 2'!L12)/1000000</f>
        <v>9.4853825105913714</v>
      </c>
      <c r="Q11" s="30">
        <f t="shared" si="12"/>
        <v>28</v>
      </c>
      <c r="R11" s="14">
        <f>'Alternative 2'!$B$3+'Alternative 2'!$B$5+('Alternative 2'!$B$39*Q11)</f>
        <v>252881.68890834233</v>
      </c>
      <c r="S11" s="14">
        <f>'Alternative 2'!M12</f>
        <v>2.9467898866542503</v>
      </c>
      <c r="T11" s="14">
        <f t="shared" si="2"/>
        <v>8.581598913910389E-2</v>
      </c>
      <c r="U11" s="284">
        <f t="shared" si="3"/>
        <v>9.5711984997304747</v>
      </c>
      <c r="V11" s="286"/>
      <c r="W11" s="153">
        <f>'Alternative 3'!F12</f>
        <v>9</v>
      </c>
      <c r="X11" s="59">
        <f t="shared" si="13"/>
        <v>28.5</v>
      </c>
      <c r="Y11" s="30">
        <f t="shared" si="14"/>
        <v>27.5</v>
      </c>
      <c r="Z11" s="60">
        <f>'Dynamic Loading'!$Y$3*'Combined Stress'!X11+'Wind Loading'!$P$69*Y11+'Wind Loading'!$P$68*'Combined Stress'!Y12+'Wind Loading'!$P$67*'Combined Stress'!Y13+'Wind Loading'!$P$66*'Combined Stress'!Y14+'Wind Loading'!$P$65*'Combined Stress'!Y15+'Wind Loading'!$P$64*'Combined Stress'!Y16+'Wind Loading'!$P$63*'Combined Stress'!Y17+'Wind Loading'!$P$62*'Combined Stress'!Y18+'Wind Loading'!$P$61*'Combined Stress'!Y19+'Wind Loading'!$P$60*'Combined Stress'!Y20+'Wind Loading'!$P$59*'Combined Stress'!Y21+'Wind Loading'!$P$58*'Combined Stress'!Y22+'Wind Loading'!$P$57*'Combined Stress'!Y23+'Wind Loading'!$P$56*'Combined Stress'!Y24+'Wind Loading'!$P$55*'Combined Stress'!Y25+'Wind Loading'!$P$54*'Combined Stress'!Y26+'Wind Loading'!$P$53*'Combined Stress'!Y27+'Wind Loading'!$P$52*'Combined Stress'!Y28+'Wind Loading'!$P$51*'Combined Stress'!Y29+'Wind Loading'!$P$50*'Combined Stress'!Y30+'Wind Loading'!$P$49*'Combined Stress'!Y31+'Wind Loading'!$P$48*'Combined Stress'!Y32+'Wind Loading'!$P$47*'Combined Stress'!Y33+'Wind Loading'!$P$46*'Combined Stress'!Y34+'Wind Loading'!$P$45*'Combined Stress'!Y35+'Wind Loading'!$P$44*'Combined Stress'!Y36+'Wind Loading'!$P$43*'Combined Stress'!Y37+'Wind Loading'!$P$42*'Combined Stress'!Y38+'Wind Loading'!$P$41*'Combined Stress'!Y39+'Wind Loading'!$P$40*'Combined Stress'!Y40+'Wind Loading'!$P$39*'Combined Stress'!Y41+'Wind Loading'!$P$38*'Combined Stress'!Y42+'Wind Loading'!$P$37*'Combined Stress'!Y43+'Wind Loading'!$P$36*'Combined Stress'!Y44+'Wind Loading'!$P$35*'Combined Stress'!Y45+'Wind Loading'!$P$34*'Combined Stress'!Y46+'Wind Loading'!$P$33*'Combined Stress'!Y47+'Wind Loading'!$P$32*'Combined Stress'!Y48+'Wind Loading'!$P$31*'Combined Stress'!Y49+'Wind Loading'!$P$30*'Combined Stress'!Y50+'Wind Loading'!$P$29*'Combined Stress'!Y51+'Wind Loading'!$P$28*'Combined Stress'!Y52+'Wind Loading'!$P$27*'Combined Stress'!Y53+'Wind Loading'!$P$26*'Combined Stress'!Y54+'Wind Loading'!$P$25*'Combined Stress'!Y55+'Wind Loading'!$P$24*'Combined Stress'!Y56+'Wind Loading'!$P$23*'Combined Stress'!Y57+'Wind Loading'!$P$22*'Combined Stress'!Y58+'Wind Loading'!$P$21*'Combined Stress'!Y59+'Wind Loading'!$P$20*'Combined Stress'!Y60+'Wind Loading'!$P$19*'Combined Stress'!Y61+'Wind Loading'!$P$18*'Combined Stress'!Y62+'Wind Loading'!$P$17*'Combined Stress'!Y63+'Wind Loading'!$P$16*'Combined Stress'!Y64+'Wind Loading'!$P$15*'Combined Stress'!Y65+'Wind Loading'!$P$14*'Combined Stress'!Y66+'Wind Loading'!$P$13*'Combined Stress'!Y67+'Wind Loading'!$P$12*'Combined Stress'!Y68+'Wind Loading'!$P$11*'Combined Stress'!Y69</f>
        <v>559028.05123223818</v>
      </c>
      <c r="AA11" s="60">
        <f>((Z11*'Alternative 3'!K12)/'Alternative 3'!L12)/1000000</f>
        <v>9.4853825105913714</v>
      </c>
      <c r="AB11" s="60">
        <f t="shared" si="4"/>
        <v>59</v>
      </c>
      <c r="AC11" s="14">
        <f>'Alternative 3'!$B$3+'Alternative 3'!$B$5+('Alternative 2'!$B$39*AB11)</f>
        <v>516484.94183543563</v>
      </c>
      <c r="AD11" s="60">
        <f>'Alternative 3'!M12</f>
        <v>2.9467898866542503</v>
      </c>
      <c r="AE11" s="60">
        <f t="shared" si="5"/>
        <v>0.17527036595807188</v>
      </c>
      <c r="AF11" s="60">
        <f t="shared" si="6"/>
        <v>9.6606528765494435</v>
      </c>
    </row>
    <row r="12" spans="1:32" ht="14.45" customHeight="1" x14ac:dyDescent="0.25">
      <c r="A12" s="13">
        <f>IF('Alternative 1'!F13&gt;0,'Alternative 1'!F13,"x")</f>
        <v>10</v>
      </c>
      <c r="B12" s="30">
        <f t="shared" si="7"/>
        <v>27.5</v>
      </c>
      <c r="C12" s="30">
        <f t="shared" si="8"/>
        <v>26.5</v>
      </c>
      <c r="D12" s="14">
        <f>'Dynamic Loading'!$I$3*'Combined Stress'!B12+'Wind Loading'!$F$69*C12+'Wind Loading'!$F$68*'Combined Stress'!C13+'Wind Loading'!$F$67*'Combined Stress'!C14+'Wind Loading'!$F$66*'Combined Stress'!C15+'Wind Loading'!$F$65*'Combined Stress'!C16+'Wind Loading'!$F$64*'Combined Stress'!C17+'Wind Loading'!$F$63*'Combined Stress'!C18+'Wind Loading'!$F$62*'Combined Stress'!C19+'Wind Loading'!$F$61*'Combined Stress'!C20+'Wind Loading'!$F$60*'Combined Stress'!C21+'Wind Loading'!$F$59*'Combined Stress'!C22+'Wind Loading'!$F$58*'Combined Stress'!C23+'Wind Loading'!$F$57*'Combined Stress'!C24+'Wind Loading'!$F$56*'Combined Stress'!C25+'Wind Loading'!$F$55*'Combined Stress'!C26+'Wind Loading'!$F$54*'Combined Stress'!C27+'Wind Loading'!$F$53*'Combined Stress'!C28+'Wind Loading'!$F$52*'Combined Stress'!C29+'Wind Loading'!$F$51*'Combined Stress'!C30+'Wind Loading'!$F$50*'Combined Stress'!C31+'Wind Loading'!$F$49*'Combined Stress'!C32+'Wind Loading'!$F$48*'Combined Stress'!C33+'Wind Loading'!$F$47*'Combined Stress'!C34+'Wind Loading'!$F$46*'Combined Stress'!C35+'Wind Loading'!$F$45*'Combined Stress'!C36+'Wind Loading'!$F$44*'Combined Stress'!C37+'Wind Loading'!$F$43*'Combined Stress'!C38+'Wind Loading'!$F$42*'Combined Stress'!C39+'Wind Loading'!$F$41*'Combined Stress'!C40+'Wind Loading'!$F$40*'Combined Stress'!C41+'Wind Loading'!$F$39*'Combined Stress'!C42+'Wind Loading'!$F$38*'Combined Stress'!C43+'Wind Loading'!$F$37*'Combined Stress'!C44+'Wind Loading'!$F$36*'Combined Stress'!C45+'Wind Loading'!$F$35*'Combined Stress'!C46+'Wind Loading'!$F$34*'Combined Stress'!C47+'Wind Loading'!$F$33*'Combined Stress'!C48+'Wind Loading'!$F$32*'Combined Stress'!C49+'Wind Loading'!$F$31*'Combined Stress'!C50+'Wind Loading'!$F$30*'Combined Stress'!C51+'Wind Loading'!$F$29*'Combined Stress'!C52+'Wind Loading'!$F$28*'Combined Stress'!C53+'Wind Loading'!$F$27*'Combined Stress'!C54+'Wind Loading'!$F$26*'Combined Stress'!C55+'Wind Loading'!$F$25*'Combined Stress'!C56+'Wind Loading'!$F$24*'Combined Stress'!C57+'Wind Loading'!$F$23*'Combined Stress'!C58+'Wind Loading'!$F$22*'Combined Stress'!C59+'Wind Loading'!$F$21*'Combined Stress'!C60+'Wind Loading'!$F$20*'Combined Stress'!C61+'Wind Loading'!$F$19*'Combined Stress'!C62+'Wind Loading'!$F$18*'Combined Stress'!C63+'Wind Loading'!$F$17*'Combined Stress'!C64+'Wind Loading'!$F$16*'Combined Stress'!C65+'Wind Loading'!$F$15*'Combined Stress'!C66+'Wind Loading'!$F$14*'Combined Stress'!C67+'Wind Loading'!$F$13*'Combined Stress'!C68+'Wind Loading'!$F$12*'Combined Stress'!C69</f>
        <v>539413.03189075622</v>
      </c>
      <c r="E12" s="14">
        <f>((D12*'Alternative 1'!K13)/'Alternative 1'!L13)/1000000</f>
        <v>9.3434519348559171</v>
      </c>
      <c r="F12" s="30">
        <f t="shared" si="9"/>
        <v>27</v>
      </c>
      <c r="G12" s="14">
        <f>IF(F12&gt;0,'Alternative 1'!$B$3+'Alternative 1'!$B$5+('Alternative 1'!$B$39*F12),0)</f>
        <v>244378.35816875866</v>
      </c>
      <c r="H12" s="14">
        <f>'Alternative 1'!M13</f>
        <v>2.8865859788950248</v>
      </c>
      <c r="I12" s="14">
        <f t="shared" si="0"/>
        <v>8.4659996256999021E-2</v>
      </c>
      <c r="J12" s="14">
        <f t="shared" si="1"/>
        <v>9.428111931112916</v>
      </c>
      <c r="K12" s="286"/>
      <c r="L12" s="13">
        <f>IF('Alternative 2'!$F13&gt;0,'Alternative 2'!$F13,"x")</f>
        <v>10</v>
      </c>
      <c r="M12" s="30">
        <f t="shared" si="10"/>
        <v>27.5</v>
      </c>
      <c r="N12" s="30">
        <f t="shared" si="11"/>
        <v>26.5</v>
      </c>
      <c r="O12" s="14">
        <f>'Dynamic Loading'!$Q$3*'Combined Stress'!M12+'Wind Loading'!$K$69*N12+'Wind Loading'!$K$68*'Combined Stress'!N13+'Wind Loading'!$K$67*'Combined Stress'!N14+'Wind Loading'!$K$66*'Combined Stress'!N15+'Wind Loading'!$K$65*'Combined Stress'!N16+'Wind Loading'!$K$64*'Combined Stress'!N17+'Wind Loading'!$K$63*'Combined Stress'!N18+'Wind Loading'!$K$62*'Combined Stress'!N19+'Wind Loading'!$K$61*'Combined Stress'!N20+'Wind Loading'!$K$60*'Combined Stress'!N21+'Wind Loading'!$K$59*'Combined Stress'!N22+'Wind Loading'!$K$58*'Combined Stress'!N23+'Wind Loading'!$K$57*'Combined Stress'!N24+'Wind Loading'!$K$56*'Combined Stress'!N25+'Wind Loading'!$K$55*'Combined Stress'!N26+'Wind Loading'!$K$54*'Combined Stress'!N27+'Wind Loading'!$K$53*'Combined Stress'!N28+'Wind Loading'!$K$52*'Combined Stress'!N29+'Wind Loading'!$K$51*'Combined Stress'!N30+'Wind Loading'!$K$50*'Combined Stress'!N31+'Wind Loading'!$K$49*'Combined Stress'!N32+'Wind Loading'!$K$48*'Combined Stress'!N33+'Wind Loading'!$K$47*'Combined Stress'!N34+'Wind Loading'!$K$46*'Combined Stress'!N35+'Wind Loading'!$K$45*'Combined Stress'!N36+'Wind Loading'!$K$44*'Combined Stress'!N37+'Wind Loading'!$K$43*'Combined Stress'!N38+'Wind Loading'!$K$42*'Combined Stress'!N39+'Wind Loading'!$K$41*'Combined Stress'!N40+'Wind Loading'!$K$40*'Combined Stress'!N41+'Wind Loading'!$K$39*'Combined Stress'!N42+'Wind Loading'!$K$38*'Combined Stress'!N43+'Wind Loading'!$K$37*'Combined Stress'!N44+'Wind Loading'!$K$36*'Combined Stress'!N45+'Wind Loading'!$K$35*'Combined Stress'!N46+'Wind Loading'!$K$34*'Combined Stress'!N47+'Wind Loading'!$K$33*'Combined Stress'!N48+'Wind Loading'!$K$32*'Combined Stress'!N49+'Wind Loading'!$K$31*'Combined Stress'!N50+'Wind Loading'!$K$30*'Combined Stress'!N51+'Wind Loading'!$K$29*'Combined Stress'!N52+'Wind Loading'!$K$28*'Combined Stress'!N53+'Wind Loading'!$K$27*'Combined Stress'!N54+'Wind Loading'!$K$26*'Combined Stress'!N55+'Wind Loading'!$K$25*'Combined Stress'!N56+'Wind Loading'!$K$24*'Combined Stress'!N57+'Wind Loading'!$K$23*'Combined Stress'!N58+'Wind Loading'!$K$22*'Combined Stress'!N59+'Wind Loading'!$K$21*'Combined Stress'!N60+'Wind Loading'!$K$20*'Combined Stress'!N61+'Wind Loading'!$K$19*'Combined Stress'!N62+'Wind Loading'!$K$18*'Combined Stress'!N63+'Wind Loading'!$K$17*'Combined Stress'!N64+'Wind Loading'!$K$16*'Combined Stress'!N65+'Wind Loading'!$K$15*'Combined Stress'!N66+'Wind Loading'!$K$14*'Combined Stress'!N67+'Wind Loading'!$K$13*'Combined Stress'!N68+'Wind Loading'!$K$12*'Combined Stress'!N69</f>
        <v>539413.03189075622</v>
      </c>
      <c r="P12" s="14">
        <f>((O12*'Alternative 2'!K13)/'Alternative 2'!L13)/1000000</f>
        <v>9.3434519348559171</v>
      </c>
      <c r="Q12" s="30">
        <f t="shared" si="12"/>
        <v>27</v>
      </c>
      <c r="R12" s="14">
        <f>'Alternative 2'!$B$3+'Alternative 2'!$B$5+('Alternative 2'!$B$39*Q12)</f>
        <v>244378.35816875866</v>
      </c>
      <c r="S12" s="14">
        <f>'Alternative 2'!M13</f>
        <v>2.8865859788950248</v>
      </c>
      <c r="T12" s="14">
        <f t="shared" si="2"/>
        <v>8.4659996256999021E-2</v>
      </c>
      <c r="U12" s="284">
        <f t="shared" si="3"/>
        <v>9.428111931112916</v>
      </c>
      <c r="V12" s="286"/>
      <c r="W12" s="153">
        <f>'Alternative 3'!F13</f>
        <v>10</v>
      </c>
      <c r="X12" s="59">
        <f t="shared" si="13"/>
        <v>27.5</v>
      </c>
      <c r="Y12" s="30">
        <f t="shared" si="14"/>
        <v>26.5</v>
      </c>
      <c r="Z12" s="60">
        <f>'Dynamic Loading'!$Y$3*'Combined Stress'!X12+'Wind Loading'!$P$69*Y12+'Wind Loading'!$P$68*'Combined Stress'!Y13+'Wind Loading'!$P$67*'Combined Stress'!Y14+'Wind Loading'!$P$66*'Combined Stress'!Y15+'Wind Loading'!$P$65*'Combined Stress'!Y16+'Wind Loading'!$P$64*'Combined Stress'!Y17+'Wind Loading'!$P$63*'Combined Stress'!Y18+'Wind Loading'!$P$62*'Combined Stress'!Y19+'Wind Loading'!$P$61*'Combined Stress'!Y20+'Wind Loading'!$P$60*'Combined Stress'!Y21+'Wind Loading'!$P$59*'Combined Stress'!Y22+'Wind Loading'!$P$58*'Combined Stress'!Y23+'Wind Loading'!$P$57*'Combined Stress'!Y24+'Wind Loading'!$P$56*'Combined Stress'!Y25+'Wind Loading'!$P$55*'Combined Stress'!Y26+'Wind Loading'!$P$54*'Combined Stress'!Y27+'Wind Loading'!$P$53*'Combined Stress'!Y28+'Wind Loading'!$P$52*'Combined Stress'!Y29+'Wind Loading'!$P$51*'Combined Stress'!Y30+'Wind Loading'!$P$50*'Combined Stress'!Y31+'Wind Loading'!$P$49*'Combined Stress'!Y32+'Wind Loading'!$P$48*'Combined Stress'!Y33+'Wind Loading'!$P$47*'Combined Stress'!Y34+'Wind Loading'!$P$46*'Combined Stress'!Y35+'Wind Loading'!$P$45*'Combined Stress'!Y36+'Wind Loading'!$P$44*'Combined Stress'!Y37+'Wind Loading'!$P$43*'Combined Stress'!Y38+'Wind Loading'!$P$42*'Combined Stress'!Y39+'Wind Loading'!$P$41*'Combined Stress'!Y40+'Wind Loading'!$P$40*'Combined Stress'!Y41+'Wind Loading'!$P$39*'Combined Stress'!Y42+'Wind Loading'!$P$38*'Combined Stress'!Y43+'Wind Loading'!$P$37*'Combined Stress'!Y44+'Wind Loading'!$P$36*'Combined Stress'!Y45+'Wind Loading'!$P$35*'Combined Stress'!Y46+'Wind Loading'!$P$34*'Combined Stress'!Y47+'Wind Loading'!$P$33*'Combined Stress'!Y48+'Wind Loading'!$P$32*'Combined Stress'!Y49+'Wind Loading'!$P$31*'Combined Stress'!Y50+'Wind Loading'!$P$30*'Combined Stress'!Y51+'Wind Loading'!$P$29*'Combined Stress'!Y52+'Wind Loading'!$P$28*'Combined Stress'!Y53+'Wind Loading'!$P$27*'Combined Stress'!Y54+'Wind Loading'!$P$26*'Combined Stress'!Y55+'Wind Loading'!$P$25*'Combined Stress'!Y56+'Wind Loading'!$P$24*'Combined Stress'!Y57+'Wind Loading'!$P$23*'Combined Stress'!Y58+'Wind Loading'!$P$22*'Combined Stress'!Y59+'Wind Loading'!$P$21*'Combined Stress'!Y60+'Wind Loading'!$P$20*'Combined Stress'!Y61+'Wind Loading'!$P$19*'Combined Stress'!Y62+'Wind Loading'!$P$18*'Combined Stress'!Y63+'Wind Loading'!$P$17*'Combined Stress'!Y64+'Wind Loading'!$P$16*'Combined Stress'!Y65+'Wind Loading'!$P$15*'Combined Stress'!Y66+'Wind Loading'!$P$14*'Combined Stress'!Y67+'Wind Loading'!$P$13*'Combined Stress'!Y68+'Wind Loading'!$P$12*'Combined Stress'!Y69</f>
        <v>539413.03189075622</v>
      </c>
      <c r="AA12" s="60">
        <f>((Z12*'Alternative 3'!K13)/'Alternative 3'!L13)/1000000</f>
        <v>9.3434519348559171</v>
      </c>
      <c r="AB12" s="60">
        <f t="shared" si="4"/>
        <v>58</v>
      </c>
      <c r="AC12" s="14">
        <f>'Alternative 3'!$B$3+'Alternative 3'!$B$5+('Alternative 2'!$B$39*AB12)</f>
        <v>507981.61109585199</v>
      </c>
      <c r="AD12" s="60">
        <f>'Alternative 3'!M13</f>
        <v>2.8865859788950248</v>
      </c>
      <c r="AE12" s="60">
        <f t="shared" si="5"/>
        <v>0.17598007293387657</v>
      </c>
      <c r="AF12" s="60">
        <f t="shared" si="6"/>
        <v>9.5194320077897938</v>
      </c>
    </row>
    <row r="13" spans="1:32" ht="14.45" customHeight="1" x14ac:dyDescent="0.25">
      <c r="A13" s="13">
        <f>IF('Alternative 1'!F14&gt;0,'Alternative 1'!F14,"x")</f>
        <v>11</v>
      </c>
      <c r="B13" s="30">
        <f t="shared" si="7"/>
        <v>26.5</v>
      </c>
      <c r="C13" s="30">
        <f t="shared" si="8"/>
        <v>25.5</v>
      </c>
      <c r="D13" s="14">
        <f>'Dynamic Loading'!$I$3*'Combined Stress'!B13+'Wind Loading'!$F$69*C13+'Wind Loading'!$F$68*'Combined Stress'!C14+'Wind Loading'!$F$67*'Combined Stress'!C15+'Wind Loading'!$F$66*'Combined Stress'!C16+'Wind Loading'!$F$65*'Combined Stress'!C17+'Wind Loading'!$F$64*'Combined Stress'!C18+'Wind Loading'!$F$63*'Combined Stress'!C19+'Wind Loading'!$F$62*'Combined Stress'!C20+'Wind Loading'!$F$61*'Combined Stress'!C21+'Wind Loading'!$F$60*'Combined Stress'!C22+'Wind Loading'!$F$59*'Combined Stress'!C23+'Wind Loading'!$F$58*'Combined Stress'!C24+'Wind Loading'!$F$57*'Combined Stress'!C25+'Wind Loading'!$F$56*'Combined Stress'!C26+'Wind Loading'!$F$55*'Combined Stress'!C27+'Wind Loading'!$F$54*'Combined Stress'!C28+'Wind Loading'!$F$53*'Combined Stress'!C29+'Wind Loading'!$F$52*'Combined Stress'!C30+'Wind Loading'!$F$51*'Combined Stress'!C31+'Wind Loading'!$F$50*'Combined Stress'!C32+'Wind Loading'!$F$49*'Combined Stress'!C33+'Wind Loading'!$F$48*'Combined Stress'!C34+'Wind Loading'!$F$47*'Combined Stress'!C35+'Wind Loading'!$F$46*'Combined Stress'!C36+'Wind Loading'!$F$45*'Combined Stress'!C37+'Wind Loading'!$F$44*'Combined Stress'!C38+'Wind Loading'!$F$43*'Combined Stress'!C39+'Wind Loading'!$F$42*'Combined Stress'!C40+'Wind Loading'!$F$41*'Combined Stress'!C41+'Wind Loading'!$F$40*'Combined Stress'!C42+'Wind Loading'!$F$39*'Combined Stress'!C43+'Wind Loading'!$F$38*'Combined Stress'!C44+'Wind Loading'!$F$37*'Combined Stress'!C45+'Wind Loading'!$F$36*'Combined Stress'!C46+'Wind Loading'!$F$35*'Combined Stress'!C47+'Wind Loading'!$F$34*'Combined Stress'!C48+'Wind Loading'!$F$33*'Combined Stress'!C49+'Wind Loading'!$F$32*'Combined Stress'!C50+'Wind Loading'!$F$31*'Combined Stress'!C51+'Wind Loading'!$F$30*'Combined Stress'!C52+'Wind Loading'!$F$29*'Combined Stress'!C53+'Wind Loading'!$F$28*'Combined Stress'!C54+'Wind Loading'!$F$27*'Combined Stress'!C55+'Wind Loading'!$F$26*'Combined Stress'!C56+'Wind Loading'!$F$25*'Combined Stress'!C57+'Wind Loading'!$F$24*'Combined Stress'!C58+'Wind Loading'!$F$23*'Combined Stress'!C59+'Wind Loading'!$F$22*'Combined Stress'!C60+'Wind Loading'!$F$21*'Combined Stress'!C61+'Wind Loading'!$F$20*'Combined Stress'!C62+'Wind Loading'!$F$19*'Combined Stress'!C63+'Wind Loading'!$F$18*'Combined Stress'!C64+'Wind Loading'!$F$17*'Combined Stress'!C65+'Wind Loading'!$F$16*'Combined Stress'!C66+'Wind Loading'!$F$15*'Combined Stress'!C67+'Wind Loading'!$F$14*'Combined Stress'!C68+'Wind Loading'!$F$13*'Combined Stress'!C69</f>
        <v>519798.01254927414</v>
      </c>
      <c r="E13" s="14">
        <f>((D13*'Alternative 1'!K14)/'Alternative 1'!L14)/1000000</f>
        <v>9.1934538141469506</v>
      </c>
      <c r="F13" s="30">
        <f t="shared" si="9"/>
        <v>26</v>
      </c>
      <c r="G13" s="14">
        <f>IF(F13&gt;0,'Alternative 1'!$B$3+'Alternative 1'!$B$5+('Alternative 1'!$B$39*F13),0)</f>
        <v>235875.02742917501</v>
      </c>
      <c r="H13" s="14">
        <f>'Alternative 1'!M14</f>
        <v>2.8270034278105713</v>
      </c>
      <c r="I13" s="14">
        <f t="shared" si="0"/>
        <v>8.3436413662877323E-2</v>
      </c>
      <c r="J13" s="14">
        <f t="shared" si="1"/>
        <v>9.2768902278098277</v>
      </c>
      <c r="K13" s="286"/>
      <c r="L13" s="13">
        <f>IF('Alternative 2'!$F14&gt;0,'Alternative 2'!$F14,"x")</f>
        <v>11</v>
      </c>
      <c r="M13" s="30">
        <f t="shared" si="10"/>
        <v>26.5</v>
      </c>
      <c r="N13" s="30">
        <f t="shared" si="11"/>
        <v>25.5</v>
      </c>
      <c r="O13" s="14">
        <f>'Dynamic Loading'!$Q$3*'Combined Stress'!M13+'Wind Loading'!$K$69*N13+'Wind Loading'!$K$68*'Combined Stress'!N14+'Wind Loading'!$K$67*'Combined Stress'!N15+'Wind Loading'!$K$66*'Combined Stress'!N16+'Wind Loading'!$K$65*'Combined Stress'!N17+'Wind Loading'!$K$64*'Combined Stress'!N18+'Wind Loading'!$K$63*'Combined Stress'!N19+'Wind Loading'!$K$62*'Combined Stress'!N20+'Wind Loading'!$K$61*'Combined Stress'!N21+'Wind Loading'!$K$60*'Combined Stress'!N22+'Wind Loading'!$K$59*'Combined Stress'!N23+'Wind Loading'!$K$58*'Combined Stress'!N24+'Wind Loading'!$K$57*'Combined Stress'!N25+'Wind Loading'!$K$56*'Combined Stress'!N26+'Wind Loading'!$K$55*'Combined Stress'!N27+'Wind Loading'!$K$54*'Combined Stress'!N28+'Wind Loading'!$K$53*'Combined Stress'!N29+'Wind Loading'!$K$52*'Combined Stress'!N30+'Wind Loading'!$K$51*'Combined Stress'!N31+'Wind Loading'!$K$50*'Combined Stress'!N32+'Wind Loading'!$K$49*'Combined Stress'!N33+'Wind Loading'!$K$48*'Combined Stress'!N34+'Wind Loading'!$K$47*'Combined Stress'!N35+'Wind Loading'!$K$46*'Combined Stress'!N36+'Wind Loading'!$K$45*'Combined Stress'!N37+'Wind Loading'!$K$44*'Combined Stress'!N38+'Wind Loading'!$K$43*'Combined Stress'!N39+'Wind Loading'!$K$42*'Combined Stress'!N40+'Wind Loading'!$K$41*'Combined Stress'!N41+'Wind Loading'!$K$40*'Combined Stress'!N42+'Wind Loading'!$K$39*'Combined Stress'!N43+'Wind Loading'!$K$38*'Combined Stress'!N44+'Wind Loading'!$K$37*'Combined Stress'!N45+'Wind Loading'!$K$36*'Combined Stress'!N46+'Wind Loading'!$K$35*'Combined Stress'!N47+'Wind Loading'!$K$34*'Combined Stress'!N48+'Wind Loading'!$K$33*'Combined Stress'!N49+'Wind Loading'!$K$32*'Combined Stress'!N50+'Wind Loading'!$K$31*'Combined Stress'!N51+'Wind Loading'!$K$30*'Combined Stress'!N52+'Wind Loading'!$K$29*'Combined Stress'!N53+'Wind Loading'!$K$28*'Combined Stress'!N54+'Wind Loading'!$K$27*'Combined Stress'!N55+'Wind Loading'!$K$26*'Combined Stress'!N56+'Wind Loading'!$K$25*'Combined Stress'!N57+'Wind Loading'!$K$24*'Combined Stress'!N58+'Wind Loading'!$K$23*'Combined Stress'!N59+'Wind Loading'!$K$22*'Combined Stress'!N60+'Wind Loading'!$K$21*'Combined Stress'!N61+'Wind Loading'!$K$20*'Combined Stress'!N62+'Wind Loading'!$K$19*'Combined Stress'!N63+'Wind Loading'!$K$18*'Combined Stress'!N64+'Wind Loading'!$K$17*'Combined Stress'!N65+'Wind Loading'!$K$16*'Combined Stress'!N66+'Wind Loading'!$K$15*'Combined Stress'!N67+'Wind Loading'!$K$14*'Combined Stress'!N68+'Wind Loading'!$K$13*'Combined Stress'!N69</f>
        <v>519798.01254927414</v>
      </c>
      <c r="P13" s="14">
        <f>((O13*'Alternative 2'!K14)/'Alternative 2'!L14)/1000000</f>
        <v>9.1934538141469506</v>
      </c>
      <c r="Q13" s="30">
        <f t="shared" si="12"/>
        <v>26</v>
      </c>
      <c r="R13" s="14">
        <f>'Alternative 2'!$B$3+'Alternative 2'!$B$5+('Alternative 2'!$B$39*Q13)</f>
        <v>235875.02742917501</v>
      </c>
      <c r="S13" s="14">
        <f>'Alternative 2'!M14</f>
        <v>2.8270034278105713</v>
      </c>
      <c r="T13" s="14">
        <f t="shared" si="2"/>
        <v>8.3436413662877323E-2</v>
      </c>
      <c r="U13" s="284">
        <f t="shared" si="3"/>
        <v>9.2768902278098277</v>
      </c>
      <c r="V13" s="286"/>
      <c r="W13" s="153">
        <f>'Alternative 3'!F14</f>
        <v>11</v>
      </c>
      <c r="X13" s="59">
        <f t="shared" si="13"/>
        <v>26.5</v>
      </c>
      <c r="Y13" s="30">
        <f t="shared" si="14"/>
        <v>25.5</v>
      </c>
      <c r="Z13" s="60">
        <f>'Dynamic Loading'!$Y$3*'Combined Stress'!X13+'Wind Loading'!$P$69*Y13+'Wind Loading'!$P$68*'Combined Stress'!Y14+'Wind Loading'!$P$67*'Combined Stress'!Y15+'Wind Loading'!$P$66*'Combined Stress'!Y16+'Wind Loading'!$P$65*'Combined Stress'!Y17+'Wind Loading'!$P$64*'Combined Stress'!Y18+'Wind Loading'!$P$63*'Combined Stress'!Y19+'Wind Loading'!$P$62*'Combined Stress'!Y20+'Wind Loading'!$P$61*'Combined Stress'!Y21+'Wind Loading'!$P$60*'Combined Stress'!Y22+'Wind Loading'!$P$59*'Combined Stress'!Y23+'Wind Loading'!$P$58*'Combined Stress'!Y24+'Wind Loading'!$P$57*'Combined Stress'!Y25+'Wind Loading'!$P$56*'Combined Stress'!Y26+'Wind Loading'!$P$55*'Combined Stress'!Y27+'Wind Loading'!$P$54*'Combined Stress'!Y28+'Wind Loading'!$P$53*'Combined Stress'!Y29+'Wind Loading'!$P$52*'Combined Stress'!Y30+'Wind Loading'!$P$51*'Combined Stress'!Y31+'Wind Loading'!$P$50*'Combined Stress'!Y32+'Wind Loading'!$P$49*'Combined Stress'!Y33+'Wind Loading'!$P$48*'Combined Stress'!Y34+'Wind Loading'!$P$47*'Combined Stress'!Y35+'Wind Loading'!$P$46*'Combined Stress'!Y36+'Wind Loading'!$P$45*'Combined Stress'!Y37+'Wind Loading'!$P$44*'Combined Stress'!Y38+'Wind Loading'!$P$43*'Combined Stress'!Y39+'Wind Loading'!$P$42*'Combined Stress'!Y40+'Wind Loading'!$P$41*'Combined Stress'!Y41+'Wind Loading'!$P$40*'Combined Stress'!Y42+'Wind Loading'!$P$39*'Combined Stress'!Y43+'Wind Loading'!$P$38*'Combined Stress'!Y44+'Wind Loading'!$P$37*'Combined Stress'!Y45+'Wind Loading'!$P$36*'Combined Stress'!Y46+'Wind Loading'!$P$35*'Combined Stress'!Y47+'Wind Loading'!$P$34*'Combined Stress'!Y48+'Wind Loading'!$P$33*'Combined Stress'!Y49+'Wind Loading'!$P$32*'Combined Stress'!Y50+'Wind Loading'!$P$31*'Combined Stress'!Y51+'Wind Loading'!$P$30*'Combined Stress'!Y52+'Wind Loading'!$P$29*'Combined Stress'!Y53+'Wind Loading'!$P$28*'Combined Stress'!Y54+'Wind Loading'!$P$27*'Combined Stress'!Y55+'Wind Loading'!$P$26*'Combined Stress'!Y56+'Wind Loading'!$P$25*'Combined Stress'!Y57+'Wind Loading'!$P$24*'Combined Stress'!Y58+'Wind Loading'!$P$23*'Combined Stress'!Y59+'Wind Loading'!$P$22*'Combined Stress'!Y60+'Wind Loading'!$P$21*'Combined Stress'!Y61+'Wind Loading'!$P$20*'Combined Stress'!Y62+'Wind Loading'!$P$19*'Combined Stress'!Y63+'Wind Loading'!$P$18*'Combined Stress'!Y64+'Wind Loading'!$P$17*'Combined Stress'!Y65+'Wind Loading'!$P$16*'Combined Stress'!Y66+'Wind Loading'!$P$15*'Combined Stress'!Y67+'Wind Loading'!$P$14*'Combined Stress'!Y68+'Wind Loading'!$P$13*'Combined Stress'!Y69</f>
        <v>519798.01254927414</v>
      </c>
      <c r="AA13" s="60">
        <f>((Z13*'Alternative 3'!K14)/'Alternative 3'!L14)/1000000</f>
        <v>9.1934538141469506</v>
      </c>
      <c r="AB13" s="60">
        <f t="shared" si="4"/>
        <v>57</v>
      </c>
      <c r="AC13" s="14">
        <f>'Alternative 3'!$B$3+'Alternative 3'!$B$5+('Alternative 2'!$B$39*AB13)</f>
        <v>499478.28035626834</v>
      </c>
      <c r="AD13" s="60">
        <f>'Alternative 3'!M14</f>
        <v>2.8270034278105713</v>
      </c>
      <c r="AE13" s="60">
        <f t="shared" si="5"/>
        <v>0.17668117252447024</v>
      </c>
      <c r="AF13" s="60">
        <f t="shared" si="6"/>
        <v>9.3701349866714203</v>
      </c>
    </row>
    <row r="14" spans="1:32" ht="14.45" customHeight="1" x14ac:dyDescent="0.25">
      <c r="A14" s="13">
        <f>IF('Alternative 1'!F15&gt;0,'Alternative 1'!F15,"x")</f>
        <v>12</v>
      </c>
      <c r="B14" s="30">
        <f t="shared" si="7"/>
        <v>25.5</v>
      </c>
      <c r="C14" s="30">
        <f t="shared" si="8"/>
        <v>24.5</v>
      </c>
      <c r="D14" s="14">
        <f>'Dynamic Loading'!$I$3*'Combined Stress'!B14+'Wind Loading'!$F$69*C14+'Wind Loading'!$F$68*'Combined Stress'!C15+'Wind Loading'!$F$67*'Combined Stress'!C16+'Wind Loading'!$F$66*'Combined Stress'!C17+'Wind Loading'!$F$65*'Combined Stress'!C18+'Wind Loading'!$F$64*'Combined Stress'!C19+'Wind Loading'!$F$63*'Combined Stress'!C20+'Wind Loading'!$F$62*'Combined Stress'!C21+'Wind Loading'!$F$61*'Combined Stress'!C22+'Wind Loading'!$F$60*'Combined Stress'!C23+'Wind Loading'!$F$59*'Combined Stress'!C24+'Wind Loading'!$F$58*'Combined Stress'!C25+'Wind Loading'!$F$57*'Combined Stress'!C26+'Wind Loading'!$F$56*'Combined Stress'!C27+'Wind Loading'!$F$55*'Combined Stress'!C28+'Wind Loading'!$F$54*'Combined Stress'!C29+'Wind Loading'!$F$53*'Combined Stress'!C30+'Wind Loading'!$F$52*'Combined Stress'!C31+'Wind Loading'!$F$51*'Combined Stress'!C32+'Wind Loading'!$F$50*'Combined Stress'!C33+'Wind Loading'!$F$49*'Combined Stress'!C34+'Wind Loading'!$F$48*'Combined Stress'!C35+'Wind Loading'!$F$47*'Combined Stress'!C36+'Wind Loading'!$F$46*'Combined Stress'!C37+'Wind Loading'!$F$45*'Combined Stress'!C38+'Wind Loading'!$F$44*'Combined Stress'!C39+'Wind Loading'!$F$43*'Combined Stress'!C40+'Wind Loading'!$F$42*'Combined Stress'!C41+'Wind Loading'!$F$41*'Combined Stress'!C42+'Wind Loading'!$F$40*'Combined Stress'!C43+'Wind Loading'!$F$39*'Combined Stress'!C44+'Wind Loading'!$F$38*'Combined Stress'!C45+'Wind Loading'!$F$37*'Combined Stress'!C46+'Wind Loading'!$F$36*'Combined Stress'!C47+'Wind Loading'!$F$35*'Combined Stress'!C48+'Wind Loading'!$F$34*'Combined Stress'!C49+'Wind Loading'!$F$33*'Combined Stress'!C50+'Wind Loading'!$F$32*'Combined Stress'!C51+'Wind Loading'!$F$31*'Combined Stress'!C52+'Wind Loading'!$F$30*'Combined Stress'!C53+'Wind Loading'!$F$29*'Combined Stress'!C54+'Wind Loading'!$F$28*'Combined Stress'!C55+'Wind Loading'!$F$27*'Combined Stress'!C56+'Wind Loading'!$F$26*'Combined Stress'!C57+'Wind Loading'!$F$25*'Combined Stress'!C58+'Wind Loading'!$F$24*'Combined Stress'!C59+'Wind Loading'!$F$23*'Combined Stress'!C60+'Wind Loading'!$F$22*'Combined Stress'!C61+'Wind Loading'!$F$21*'Combined Stress'!C62+'Wind Loading'!$F$20*'Combined Stress'!C63+'Wind Loading'!$F$19*'Combined Stress'!C64+'Wind Loading'!$F$18*'Combined Stress'!C65+'Wind Loading'!$F$17*'Combined Stress'!C66+'Wind Loading'!$F$16*'Combined Stress'!C67+'Wind Loading'!$F$15*'Combined Stress'!C68+'Wind Loading'!$F$14*'Combined Stress'!C69</f>
        <v>500182.99320779205</v>
      </c>
      <c r="E14" s="14">
        <f>((D14*'Alternative 1'!K15)/'Alternative 1'!L15)/1000000</f>
        <v>9.0349681954316132</v>
      </c>
      <c r="F14" s="30">
        <f t="shared" si="9"/>
        <v>25</v>
      </c>
      <c r="G14" s="14">
        <f>IF(F14&gt;0,'Alternative 1'!$B$3+'Alternative 1'!$B$5+('Alternative 1'!$B$39*F14),0)</f>
        <v>227371.69668959136</v>
      </c>
      <c r="H14" s="14">
        <f>'Alternative 1'!M15</f>
        <v>2.7680422334008887</v>
      </c>
      <c r="I14" s="14">
        <f t="shared" si="0"/>
        <v>8.2141700710338009E-2</v>
      </c>
      <c r="J14" s="14">
        <f t="shared" si="1"/>
        <v>9.117109896141951</v>
      </c>
      <c r="K14" s="286"/>
      <c r="L14" s="13">
        <f>IF('Alternative 2'!$F15&gt;0,'Alternative 2'!$F15,"x")</f>
        <v>12</v>
      </c>
      <c r="M14" s="30">
        <f t="shared" si="10"/>
        <v>25.5</v>
      </c>
      <c r="N14" s="30">
        <f t="shared" si="11"/>
        <v>24.5</v>
      </c>
      <c r="O14" s="14">
        <f>'Dynamic Loading'!$Q$3*'Combined Stress'!M14+'Wind Loading'!$K$69*N14+'Wind Loading'!$K$68*'Combined Stress'!N15+'Wind Loading'!$K$67*'Combined Stress'!N16+'Wind Loading'!$K$66*'Combined Stress'!N17+'Wind Loading'!$K$65*'Combined Stress'!N18+'Wind Loading'!$K$64*'Combined Stress'!N19+'Wind Loading'!$K$63*'Combined Stress'!N20+'Wind Loading'!$K$62*'Combined Stress'!N21+'Wind Loading'!$K$61*'Combined Stress'!N22+'Wind Loading'!$K$60*'Combined Stress'!N23+'Wind Loading'!$K$59*'Combined Stress'!N24+'Wind Loading'!$K$58*'Combined Stress'!N25+'Wind Loading'!$K$57*'Combined Stress'!N26+'Wind Loading'!$K$56*'Combined Stress'!N27+'Wind Loading'!$K$55*'Combined Stress'!N28+'Wind Loading'!$K$54*'Combined Stress'!N29+'Wind Loading'!$K$53*'Combined Stress'!N30+'Wind Loading'!$K$52*'Combined Stress'!N31+'Wind Loading'!$K$51*'Combined Stress'!N32+'Wind Loading'!$K$50*'Combined Stress'!N33+'Wind Loading'!$K$49*'Combined Stress'!N34+'Wind Loading'!$K$48*'Combined Stress'!N35+'Wind Loading'!$K$47*'Combined Stress'!N36+'Wind Loading'!$K$46*'Combined Stress'!N37+'Wind Loading'!$K$45*'Combined Stress'!N38+'Wind Loading'!$K$44*'Combined Stress'!N39+'Wind Loading'!$K$43*'Combined Stress'!N40+'Wind Loading'!$K$42*'Combined Stress'!N41+'Wind Loading'!$K$41*'Combined Stress'!N42+'Wind Loading'!$K$40*'Combined Stress'!N43+'Wind Loading'!$K$39*'Combined Stress'!N44+'Wind Loading'!$K$38*'Combined Stress'!N45+'Wind Loading'!$K$37*'Combined Stress'!N46+'Wind Loading'!$K$36*'Combined Stress'!N47+'Wind Loading'!$K$35*'Combined Stress'!N48+'Wind Loading'!$K$34*'Combined Stress'!N49+'Wind Loading'!$K$33*'Combined Stress'!N50+'Wind Loading'!$K$32*'Combined Stress'!N51+'Wind Loading'!$K$31*'Combined Stress'!N52+'Wind Loading'!$K$30*'Combined Stress'!N53+'Wind Loading'!$K$29*'Combined Stress'!N54+'Wind Loading'!$K$28*'Combined Stress'!N55+'Wind Loading'!$K$27*'Combined Stress'!N56+'Wind Loading'!$K$26*'Combined Stress'!N57+'Wind Loading'!$K$25*'Combined Stress'!N58+'Wind Loading'!$K$24*'Combined Stress'!N59+'Wind Loading'!$K$23*'Combined Stress'!N60+'Wind Loading'!$K$22*'Combined Stress'!N61+'Wind Loading'!$K$21*'Combined Stress'!N62+'Wind Loading'!$K$20*'Combined Stress'!N63+'Wind Loading'!$K$19*'Combined Stress'!N64+'Wind Loading'!$K$18*'Combined Stress'!N65+'Wind Loading'!$K$17*'Combined Stress'!N66+'Wind Loading'!$K$16*'Combined Stress'!N67+'Wind Loading'!$K$15*'Combined Stress'!N68+'Wind Loading'!$K$14*'Combined Stress'!N69</f>
        <v>500182.99320779205</v>
      </c>
      <c r="P14" s="14">
        <f>((O14*'Alternative 2'!K15)/'Alternative 2'!L15)/1000000</f>
        <v>9.0349681954316132</v>
      </c>
      <c r="Q14" s="30">
        <f t="shared" si="12"/>
        <v>25</v>
      </c>
      <c r="R14" s="14">
        <f>'Alternative 2'!$B$3+'Alternative 2'!$B$5+('Alternative 2'!$B$39*Q14)</f>
        <v>227371.69668959136</v>
      </c>
      <c r="S14" s="14">
        <f>'Alternative 2'!M15</f>
        <v>2.7680422334008887</v>
      </c>
      <c r="T14" s="14">
        <f t="shared" si="2"/>
        <v>8.2141700710338009E-2</v>
      </c>
      <c r="U14" s="284">
        <f t="shared" si="3"/>
        <v>9.117109896141951</v>
      </c>
      <c r="V14" s="286"/>
      <c r="W14" s="153">
        <f>'Alternative 3'!F15</f>
        <v>12</v>
      </c>
      <c r="X14" s="59">
        <f t="shared" si="13"/>
        <v>25.5</v>
      </c>
      <c r="Y14" s="30">
        <f t="shared" si="14"/>
        <v>24.5</v>
      </c>
      <c r="Z14" s="60">
        <f>'Dynamic Loading'!$Y$3*'Combined Stress'!X14+'Wind Loading'!$P$69*Y14+'Wind Loading'!$P$68*'Combined Stress'!Y15+'Wind Loading'!$P$67*'Combined Stress'!Y16+'Wind Loading'!$P$66*'Combined Stress'!Y17+'Wind Loading'!$P$65*'Combined Stress'!Y18+'Wind Loading'!$P$64*'Combined Stress'!Y19+'Wind Loading'!$P$63*'Combined Stress'!Y20+'Wind Loading'!$P$62*'Combined Stress'!Y21+'Wind Loading'!$P$61*'Combined Stress'!Y22+'Wind Loading'!$P$60*'Combined Stress'!Y23+'Wind Loading'!$P$59*'Combined Stress'!Y24+'Wind Loading'!$P$58*'Combined Stress'!Y25+'Wind Loading'!$P$57*'Combined Stress'!Y26+'Wind Loading'!$P$56*'Combined Stress'!Y27+'Wind Loading'!$P$55*'Combined Stress'!Y28+'Wind Loading'!$P$54*'Combined Stress'!Y29+'Wind Loading'!$P$53*'Combined Stress'!Y30+'Wind Loading'!$P$52*'Combined Stress'!Y31+'Wind Loading'!$P$51*'Combined Stress'!Y32+'Wind Loading'!$P$50*'Combined Stress'!Y33+'Wind Loading'!$P$49*'Combined Stress'!Y34+'Wind Loading'!$P$48*'Combined Stress'!Y35+'Wind Loading'!$P$47*'Combined Stress'!Y36+'Wind Loading'!$P$46*'Combined Stress'!Y37+'Wind Loading'!$P$45*'Combined Stress'!Y38+'Wind Loading'!$P$44*'Combined Stress'!Y39+'Wind Loading'!$P$43*'Combined Stress'!Y40+'Wind Loading'!$P$42*'Combined Stress'!Y41+'Wind Loading'!$P$41*'Combined Stress'!Y42+'Wind Loading'!$P$40*'Combined Stress'!Y43+'Wind Loading'!$P$39*'Combined Stress'!Y44+'Wind Loading'!$P$38*'Combined Stress'!Y45+'Wind Loading'!$P$37*'Combined Stress'!Y46+'Wind Loading'!$P$36*'Combined Stress'!Y47+'Wind Loading'!$P$35*'Combined Stress'!Y48+'Wind Loading'!$P$34*'Combined Stress'!Y49+'Wind Loading'!$P$33*'Combined Stress'!Y50+'Wind Loading'!$P$32*'Combined Stress'!Y51+'Wind Loading'!$P$31*'Combined Stress'!Y52+'Wind Loading'!$P$30*'Combined Stress'!Y53+'Wind Loading'!$P$29*'Combined Stress'!Y54+'Wind Loading'!$P$28*'Combined Stress'!Y55+'Wind Loading'!$P$27*'Combined Stress'!Y56+'Wind Loading'!$P$26*'Combined Stress'!Y57+'Wind Loading'!$P$25*'Combined Stress'!Y58+'Wind Loading'!$P$24*'Combined Stress'!Y59+'Wind Loading'!$P$23*'Combined Stress'!Y60+'Wind Loading'!$P$22*'Combined Stress'!Y61+'Wind Loading'!$P$21*'Combined Stress'!Y62+'Wind Loading'!$P$20*'Combined Stress'!Y63+'Wind Loading'!$P$19*'Combined Stress'!Y64+'Wind Loading'!$P$18*'Combined Stress'!Y65+'Wind Loading'!$P$17*'Combined Stress'!Y66+'Wind Loading'!$P$16*'Combined Stress'!Y67+'Wind Loading'!$P$15*'Combined Stress'!Y68+'Wind Loading'!$P$14*'Combined Stress'!Y69</f>
        <v>500182.99320779205</v>
      </c>
      <c r="AA14" s="60">
        <f>((Z14*'Alternative 3'!K15)/'Alternative 3'!L15)/1000000</f>
        <v>9.0349681954316132</v>
      </c>
      <c r="AB14" s="60">
        <f t="shared" si="4"/>
        <v>56</v>
      </c>
      <c r="AC14" s="14">
        <f>'Alternative 3'!$B$3+'Alternative 3'!$B$5+('Alternative 2'!$B$39*AB14)</f>
        <v>490974.94961668469</v>
      </c>
      <c r="AD14" s="60">
        <f>'Alternative 3'!M15</f>
        <v>2.7680422334008887</v>
      </c>
      <c r="AE14" s="60">
        <f t="shared" si="5"/>
        <v>0.17737263676553811</v>
      </c>
      <c r="AF14" s="60">
        <f t="shared" si="6"/>
        <v>9.2123408321971514</v>
      </c>
    </row>
    <row r="15" spans="1:32" ht="14.45" customHeight="1" x14ac:dyDescent="0.25">
      <c r="A15" s="13">
        <f>IF('Alternative 1'!F16&gt;0,'Alternative 1'!F16,"x")</f>
        <v>13</v>
      </c>
      <c r="B15" s="30">
        <f t="shared" si="7"/>
        <v>24.5</v>
      </c>
      <c r="C15" s="30">
        <f t="shared" si="8"/>
        <v>23.5</v>
      </c>
      <c r="D15" s="14">
        <f>'Dynamic Loading'!$I$3*'Combined Stress'!B15+'Wind Loading'!$F$69*C15+'Wind Loading'!$F$68*'Combined Stress'!C16+'Wind Loading'!$F$67*'Combined Stress'!C17+'Wind Loading'!$F$66*'Combined Stress'!C18+'Wind Loading'!$F$65*'Combined Stress'!C19+'Wind Loading'!$F$64*'Combined Stress'!C20+'Wind Loading'!$F$63*'Combined Stress'!C21+'Wind Loading'!$F$62*'Combined Stress'!C22+'Wind Loading'!$F$61*'Combined Stress'!C23+'Wind Loading'!$F$60*'Combined Stress'!C24+'Wind Loading'!$F$59*'Combined Stress'!C25+'Wind Loading'!$F$58*'Combined Stress'!C26+'Wind Loading'!$F$57*'Combined Stress'!C27+'Wind Loading'!$F$56*'Combined Stress'!C28+'Wind Loading'!$F$55*'Combined Stress'!C29+'Wind Loading'!$F$54*'Combined Stress'!C30+'Wind Loading'!$F$53*'Combined Stress'!C31+'Wind Loading'!$F$52*'Combined Stress'!C32+'Wind Loading'!$F$51*'Combined Stress'!C33+'Wind Loading'!$F$50*'Combined Stress'!C34+'Wind Loading'!$F$49*'Combined Stress'!C35+'Wind Loading'!$F$48*'Combined Stress'!C36+'Wind Loading'!$F$47*'Combined Stress'!C37+'Wind Loading'!$F$46*'Combined Stress'!C38+'Wind Loading'!$F$45*'Combined Stress'!C39+'Wind Loading'!$F$44*'Combined Stress'!C40+'Wind Loading'!$F$43*'Combined Stress'!C41+'Wind Loading'!$F$42*'Combined Stress'!C42+'Wind Loading'!$F$41*'Combined Stress'!C43+'Wind Loading'!$F$40*'Combined Stress'!C44+'Wind Loading'!$F$39*'Combined Stress'!C45+'Wind Loading'!$F$38*'Combined Stress'!C46+'Wind Loading'!$F$37*'Combined Stress'!C47+'Wind Loading'!$F$36*'Combined Stress'!C48+'Wind Loading'!$F$35*'Combined Stress'!C49+'Wind Loading'!$F$34*'Combined Stress'!C50+'Wind Loading'!$F$33*'Combined Stress'!C51+'Wind Loading'!$F$32*'Combined Stress'!C52+'Wind Loading'!$F$31*'Combined Stress'!C53+'Wind Loading'!$F$30*'Combined Stress'!C54+'Wind Loading'!$F$29*'Combined Stress'!C55+'Wind Loading'!$F$28*'Combined Stress'!C56+'Wind Loading'!$F$27*'Combined Stress'!C57+'Wind Loading'!$F$26*'Combined Stress'!C58+'Wind Loading'!$F$25*'Combined Stress'!C59+'Wind Loading'!$F$24*'Combined Stress'!C60+'Wind Loading'!$F$23*'Combined Stress'!C61+'Wind Loading'!$F$22*'Combined Stress'!C62+'Wind Loading'!$F$21*'Combined Stress'!C63+'Wind Loading'!$F$20*'Combined Stress'!C64+'Wind Loading'!$F$19*'Combined Stress'!C65+'Wind Loading'!$F$18*'Combined Stress'!C66+'Wind Loading'!$F$17*'Combined Stress'!C67+'Wind Loading'!$F$16*'Combined Stress'!C68+'Wind Loading'!$F$15*'Combined Stress'!C69</f>
        <v>480567.97386631003</v>
      </c>
      <c r="E15" s="14">
        <f>((D15*'Alternative 1'!K16)/'Alternative 1'!L16)/1000000</f>
        <v>8.8675500590757093</v>
      </c>
      <c r="F15" s="30">
        <f t="shared" si="9"/>
        <v>24</v>
      </c>
      <c r="G15" s="14">
        <f>IF(F15&gt;0,'Alternative 1'!$B$3+'Alternative 1'!$B$5+('Alternative 1'!$B$39*F15),0)</f>
        <v>218868.36595000772</v>
      </c>
      <c r="H15" s="14">
        <f>'Alternative 1'!M16</f>
        <v>2.7097023956659783</v>
      </c>
      <c r="I15" s="14">
        <f t="shared" si="0"/>
        <v>8.0772104826004429E-2</v>
      </c>
      <c r="J15" s="14">
        <f t="shared" si="1"/>
        <v>8.9483221639017145</v>
      </c>
      <c r="K15" s="286"/>
      <c r="L15" s="13">
        <f>IF('Alternative 2'!$F16&gt;0,'Alternative 2'!$F16,"x")</f>
        <v>13</v>
      </c>
      <c r="M15" s="30">
        <f t="shared" si="10"/>
        <v>24.5</v>
      </c>
      <c r="N15" s="30">
        <f t="shared" si="11"/>
        <v>23.5</v>
      </c>
      <c r="O15" s="14">
        <f>'Dynamic Loading'!$Q$3*'Combined Stress'!M15+'Wind Loading'!$K$69*N15+'Wind Loading'!$K$68*'Combined Stress'!N16+'Wind Loading'!$K$67*'Combined Stress'!N17+'Wind Loading'!$K$66*'Combined Stress'!N18+'Wind Loading'!$K$65*'Combined Stress'!N19+'Wind Loading'!$K$64*'Combined Stress'!N20+'Wind Loading'!$K$63*'Combined Stress'!N21+'Wind Loading'!$K$62*'Combined Stress'!N22+'Wind Loading'!$K$61*'Combined Stress'!N23+'Wind Loading'!$K$60*'Combined Stress'!N24+'Wind Loading'!$K$59*'Combined Stress'!N25+'Wind Loading'!$K$58*'Combined Stress'!N26+'Wind Loading'!$K$57*'Combined Stress'!N27+'Wind Loading'!$K$56*'Combined Stress'!N28+'Wind Loading'!$K$55*'Combined Stress'!N29+'Wind Loading'!$K$54*'Combined Stress'!N30+'Wind Loading'!$K$53*'Combined Stress'!N31+'Wind Loading'!$K$52*'Combined Stress'!N32+'Wind Loading'!$K$51*'Combined Stress'!N33+'Wind Loading'!$K$50*'Combined Stress'!N34+'Wind Loading'!$K$49*'Combined Stress'!N35+'Wind Loading'!$K$48*'Combined Stress'!N36+'Wind Loading'!$K$47*'Combined Stress'!N37+'Wind Loading'!$K$46*'Combined Stress'!N38+'Wind Loading'!$K$45*'Combined Stress'!N39+'Wind Loading'!$K$44*'Combined Stress'!N40+'Wind Loading'!$K$43*'Combined Stress'!N41+'Wind Loading'!$K$42*'Combined Stress'!N42+'Wind Loading'!$K$41*'Combined Stress'!N43+'Wind Loading'!$K$40*'Combined Stress'!N44+'Wind Loading'!$K$39*'Combined Stress'!N45+'Wind Loading'!$K$38*'Combined Stress'!N46+'Wind Loading'!$K$37*'Combined Stress'!N47+'Wind Loading'!$K$36*'Combined Stress'!N48+'Wind Loading'!$K$35*'Combined Stress'!N49+'Wind Loading'!$K$34*'Combined Stress'!N50+'Wind Loading'!$K$33*'Combined Stress'!N51+'Wind Loading'!$K$32*'Combined Stress'!N52+'Wind Loading'!$K$31*'Combined Stress'!N53+'Wind Loading'!$K$30*'Combined Stress'!N54+'Wind Loading'!$K$29*'Combined Stress'!N55+'Wind Loading'!$K$28*'Combined Stress'!N56+'Wind Loading'!$K$27*'Combined Stress'!N57+'Wind Loading'!$K$26*'Combined Stress'!N58+'Wind Loading'!$K$25*'Combined Stress'!N59+'Wind Loading'!$K$24*'Combined Stress'!N60+'Wind Loading'!$K$23*'Combined Stress'!N61+'Wind Loading'!$K$22*'Combined Stress'!N62+'Wind Loading'!$K$21*'Combined Stress'!N63+'Wind Loading'!$K$20*'Combined Stress'!N64+'Wind Loading'!$K$19*'Combined Stress'!N65+'Wind Loading'!$K$18*'Combined Stress'!N66+'Wind Loading'!$K$17*'Combined Stress'!N67+'Wind Loading'!$K$16*'Combined Stress'!N68+'Wind Loading'!$K$15*'Combined Stress'!N69</f>
        <v>480567.97386631003</v>
      </c>
      <c r="P15" s="14">
        <f>((O15*'Alternative 2'!K16)/'Alternative 2'!L16)/1000000</f>
        <v>8.8675500590757093</v>
      </c>
      <c r="Q15" s="30">
        <f t="shared" si="12"/>
        <v>24</v>
      </c>
      <c r="R15" s="14">
        <f>'Alternative 2'!$B$3+'Alternative 2'!$B$5+('Alternative 2'!$B$39*Q15)</f>
        <v>218868.36595000772</v>
      </c>
      <c r="S15" s="14">
        <f>'Alternative 2'!M16</f>
        <v>2.7097023956659783</v>
      </c>
      <c r="T15" s="14">
        <f t="shared" si="2"/>
        <v>8.0772104826004429E-2</v>
      </c>
      <c r="U15" s="284">
        <f t="shared" si="3"/>
        <v>8.9483221639017145</v>
      </c>
      <c r="V15" s="286"/>
      <c r="W15" s="153">
        <f>'Alternative 3'!F16</f>
        <v>13</v>
      </c>
      <c r="X15" s="59">
        <f t="shared" si="13"/>
        <v>24.5</v>
      </c>
      <c r="Y15" s="30">
        <f t="shared" si="14"/>
        <v>23.5</v>
      </c>
      <c r="Z15" s="60">
        <f>'Dynamic Loading'!$Y$3*'Combined Stress'!X15+'Wind Loading'!$P$69*Y15+'Wind Loading'!$P$68*'Combined Stress'!Y16+'Wind Loading'!$P$67*'Combined Stress'!Y17+'Wind Loading'!$P$66*'Combined Stress'!Y18+'Wind Loading'!$P$65*'Combined Stress'!Y19+'Wind Loading'!$P$64*'Combined Stress'!Y20+'Wind Loading'!$P$63*'Combined Stress'!Y21+'Wind Loading'!$P$62*'Combined Stress'!Y22+'Wind Loading'!$P$61*'Combined Stress'!Y23+'Wind Loading'!$P$60*'Combined Stress'!Y24+'Wind Loading'!$P$59*'Combined Stress'!Y25+'Wind Loading'!$P$58*'Combined Stress'!Y26+'Wind Loading'!$P$57*'Combined Stress'!Y27+'Wind Loading'!$P$56*'Combined Stress'!Y28+'Wind Loading'!$P$55*'Combined Stress'!Y29+'Wind Loading'!$P$54*'Combined Stress'!Y30+'Wind Loading'!$P$53*'Combined Stress'!Y31+'Wind Loading'!$P$52*'Combined Stress'!Y32+'Wind Loading'!$P$51*'Combined Stress'!Y33+'Wind Loading'!$P$50*'Combined Stress'!Y34+'Wind Loading'!$P$49*'Combined Stress'!Y35+'Wind Loading'!$P$48*'Combined Stress'!Y36+'Wind Loading'!$P$47*'Combined Stress'!Y37+'Wind Loading'!$P$46*'Combined Stress'!Y38+'Wind Loading'!$P$45*'Combined Stress'!Y39+'Wind Loading'!$P$44*'Combined Stress'!Y40+'Wind Loading'!$P$43*'Combined Stress'!Y41+'Wind Loading'!$P$42*'Combined Stress'!Y42+'Wind Loading'!$P$41*'Combined Stress'!Y43+'Wind Loading'!$P$40*'Combined Stress'!Y44+'Wind Loading'!$P$39*'Combined Stress'!Y45+'Wind Loading'!$P$38*'Combined Stress'!Y46+'Wind Loading'!$P$37*'Combined Stress'!Y47+'Wind Loading'!$P$36*'Combined Stress'!Y48+'Wind Loading'!$P$35*'Combined Stress'!Y49+'Wind Loading'!$P$34*'Combined Stress'!Y50+'Wind Loading'!$P$33*'Combined Stress'!Y51+'Wind Loading'!$P$32*'Combined Stress'!Y52+'Wind Loading'!$P$31*'Combined Stress'!Y53+'Wind Loading'!$P$30*'Combined Stress'!Y54+'Wind Loading'!$P$29*'Combined Stress'!Y55+'Wind Loading'!$P$28*'Combined Stress'!Y56+'Wind Loading'!$P$27*'Combined Stress'!Y57+'Wind Loading'!$P$26*'Combined Stress'!Y58+'Wind Loading'!$P$25*'Combined Stress'!Y59+'Wind Loading'!$P$24*'Combined Stress'!Y60+'Wind Loading'!$P$23*'Combined Stress'!Y61+'Wind Loading'!$P$22*'Combined Stress'!Y62+'Wind Loading'!$P$21*'Combined Stress'!Y63+'Wind Loading'!$P$20*'Combined Stress'!Y64+'Wind Loading'!$P$19*'Combined Stress'!Y65+'Wind Loading'!$P$18*'Combined Stress'!Y66+'Wind Loading'!$P$17*'Combined Stress'!Y67+'Wind Loading'!$P$16*'Combined Stress'!Y68+'Wind Loading'!$P$15*'Combined Stress'!Y69</f>
        <v>480567.97386631003</v>
      </c>
      <c r="AA15" s="60">
        <f>((Z15*'Alternative 3'!K16)/'Alternative 3'!L16)/1000000</f>
        <v>8.8675500590757093</v>
      </c>
      <c r="AB15" s="60">
        <f t="shared" si="4"/>
        <v>55</v>
      </c>
      <c r="AC15" s="14">
        <f>'Alternative 3'!$B$3+'Alternative 3'!$B$5+('Alternative 2'!$B$39*AB15)</f>
        <v>482471.61887710105</v>
      </c>
      <c r="AD15" s="60">
        <f>'Alternative 3'!M16</f>
        <v>2.7097023956659783</v>
      </c>
      <c r="AE15" s="60">
        <f t="shared" si="5"/>
        <v>0.17805336100701988</v>
      </c>
      <c r="AF15" s="60">
        <f t="shared" si="6"/>
        <v>9.0456034200827293</v>
      </c>
    </row>
    <row r="16" spans="1:32" ht="14.45" customHeight="1" x14ac:dyDescent="0.25">
      <c r="A16" s="13">
        <f>IF('Alternative 1'!F17&gt;0,'Alternative 1'!F17,"x")</f>
        <v>14</v>
      </c>
      <c r="B16" s="30">
        <f t="shared" si="7"/>
        <v>23.5</v>
      </c>
      <c r="C16" s="30">
        <f t="shared" si="8"/>
        <v>22.5</v>
      </c>
      <c r="D16" s="14">
        <f>'Dynamic Loading'!$I$3*'Combined Stress'!B16+'Wind Loading'!$F$69*C16+'Wind Loading'!$F$68*'Combined Stress'!C17+'Wind Loading'!$F$67*'Combined Stress'!C18+'Wind Loading'!$F$66*'Combined Stress'!C19+'Wind Loading'!$F$65*'Combined Stress'!C20+'Wind Loading'!$F$64*'Combined Stress'!C21+'Wind Loading'!$F$63*'Combined Stress'!C22+'Wind Loading'!$F$62*'Combined Stress'!C23+'Wind Loading'!$F$61*'Combined Stress'!C24+'Wind Loading'!$F$60*'Combined Stress'!C25+'Wind Loading'!$F$59*'Combined Stress'!C26+'Wind Loading'!$F$58*'Combined Stress'!C27+'Wind Loading'!$F$57*'Combined Stress'!C28+'Wind Loading'!$F$56*'Combined Stress'!C29+'Wind Loading'!$F$55*'Combined Stress'!C30+'Wind Loading'!$F$54*'Combined Stress'!C31+'Wind Loading'!$F$53*'Combined Stress'!C32+'Wind Loading'!$F$52*'Combined Stress'!C33+'Wind Loading'!$F$51*'Combined Stress'!C34+'Wind Loading'!$F$50*'Combined Stress'!C35+'Wind Loading'!$F$49*'Combined Stress'!C36+'Wind Loading'!$F$48*'Combined Stress'!C37+'Wind Loading'!$F$47*'Combined Stress'!C38+'Wind Loading'!$F$46*'Combined Stress'!C39+'Wind Loading'!$F$45*'Combined Stress'!C40+'Wind Loading'!$F$44*'Combined Stress'!C41+'Wind Loading'!$F$43*'Combined Stress'!C42+'Wind Loading'!$F$42*'Combined Stress'!C43+'Wind Loading'!$F$41*'Combined Stress'!C44+'Wind Loading'!$F$40*'Combined Stress'!C45+'Wind Loading'!$F$39*'Combined Stress'!C46+'Wind Loading'!$F$38*'Combined Stress'!C47+'Wind Loading'!$F$37*'Combined Stress'!C48+'Wind Loading'!$F$36*'Combined Stress'!C49+'Wind Loading'!$F$35*'Combined Stress'!C50+'Wind Loading'!$F$34*'Combined Stress'!C51+'Wind Loading'!$F$33*'Combined Stress'!C52+'Wind Loading'!$F$32*'Combined Stress'!C53+'Wind Loading'!$F$31*'Combined Stress'!C54+'Wind Loading'!$F$30*'Combined Stress'!C55+'Wind Loading'!$F$29*'Combined Stress'!C56+'Wind Loading'!$F$28*'Combined Stress'!C57+'Wind Loading'!$F$27*'Combined Stress'!C58+'Wind Loading'!$F$26*'Combined Stress'!C59+'Wind Loading'!$F$25*'Combined Stress'!C60+'Wind Loading'!$F$24*'Combined Stress'!C61+'Wind Loading'!$F$23*'Combined Stress'!C62+'Wind Loading'!$F$22*'Combined Stress'!C63+'Wind Loading'!$F$21*'Combined Stress'!C64+'Wind Loading'!$F$20*'Combined Stress'!C65+'Wind Loading'!$F$19*'Combined Stress'!C66+'Wind Loading'!$F$18*'Combined Stress'!C67+'Wind Loading'!$F$17*'Combined Stress'!C68+'Wind Loading'!$F$16*'Combined Stress'!C69</f>
        <v>460952.954524828</v>
      </c>
      <c r="E16" s="14">
        <f>((D16*'Alternative 1'!K17)/'Alternative 1'!L17)/1000000</f>
        <v>8.6907275750078998</v>
      </c>
      <c r="F16" s="30">
        <f t="shared" si="9"/>
        <v>23</v>
      </c>
      <c r="G16" s="14">
        <f>IF(F16&gt;0,'Alternative 1'!$B$3+'Alternative 1'!$B$5+('Alternative 1'!$B$39*F16),0)</f>
        <v>210365.03521042404</v>
      </c>
      <c r="H16" s="14">
        <f>'Alternative 1'!M17</f>
        <v>2.6519839146058395</v>
      </c>
      <c r="I16" s="14">
        <f t="shared" si="0"/>
        <v>7.9323646743042292E-2</v>
      </c>
      <c r="J16" s="14">
        <f t="shared" si="1"/>
        <v>8.7700512217509417</v>
      </c>
      <c r="K16" s="286"/>
      <c r="L16" s="13">
        <f>IF('Alternative 2'!$F17&gt;0,'Alternative 2'!$F17,"x")</f>
        <v>14</v>
      </c>
      <c r="M16" s="30">
        <f t="shared" si="10"/>
        <v>23.5</v>
      </c>
      <c r="N16" s="30">
        <f t="shared" si="11"/>
        <v>22.5</v>
      </c>
      <c r="O16" s="14">
        <f>'Dynamic Loading'!$Q$3*'Combined Stress'!M16+'Wind Loading'!$K$69*N16+'Wind Loading'!$K$68*'Combined Stress'!N17+'Wind Loading'!$K$67*'Combined Stress'!N18+'Wind Loading'!$K$66*'Combined Stress'!N19+'Wind Loading'!$K$65*'Combined Stress'!N20+'Wind Loading'!$K$64*'Combined Stress'!N21+'Wind Loading'!$K$63*'Combined Stress'!N22+'Wind Loading'!$K$62*'Combined Stress'!N23+'Wind Loading'!$K$61*'Combined Stress'!N24+'Wind Loading'!$K$60*'Combined Stress'!N25+'Wind Loading'!$K$59*'Combined Stress'!N26+'Wind Loading'!$K$58*'Combined Stress'!N27+'Wind Loading'!$K$57*'Combined Stress'!N28+'Wind Loading'!$K$56*'Combined Stress'!N29+'Wind Loading'!$K$55*'Combined Stress'!N30+'Wind Loading'!$K$54*'Combined Stress'!N31+'Wind Loading'!$K$53*'Combined Stress'!N32+'Wind Loading'!$K$52*'Combined Stress'!N33+'Wind Loading'!$K$51*'Combined Stress'!N34+'Wind Loading'!$K$50*'Combined Stress'!N35+'Wind Loading'!$K$49*'Combined Stress'!N36+'Wind Loading'!$K$48*'Combined Stress'!N37+'Wind Loading'!$K$47*'Combined Stress'!N38+'Wind Loading'!$K$46*'Combined Stress'!N39+'Wind Loading'!$K$45*'Combined Stress'!N40+'Wind Loading'!$K$44*'Combined Stress'!N41+'Wind Loading'!$K$43*'Combined Stress'!N42+'Wind Loading'!$K$42*'Combined Stress'!N43+'Wind Loading'!$K$41*'Combined Stress'!N44+'Wind Loading'!$K$40*'Combined Stress'!N45+'Wind Loading'!$K$39*'Combined Stress'!N46+'Wind Loading'!$K$38*'Combined Stress'!N47+'Wind Loading'!$K$37*'Combined Stress'!N48+'Wind Loading'!$K$36*'Combined Stress'!N49+'Wind Loading'!$K$35*'Combined Stress'!N50+'Wind Loading'!$K$34*'Combined Stress'!N51+'Wind Loading'!$K$33*'Combined Stress'!N52+'Wind Loading'!$K$32*'Combined Stress'!N53+'Wind Loading'!$K$31*'Combined Stress'!N54+'Wind Loading'!$K$30*'Combined Stress'!N55+'Wind Loading'!$K$29*'Combined Stress'!N56+'Wind Loading'!$K$28*'Combined Stress'!N57+'Wind Loading'!$K$27*'Combined Stress'!N58+'Wind Loading'!$K$26*'Combined Stress'!N59+'Wind Loading'!$K$25*'Combined Stress'!N60+'Wind Loading'!$K$24*'Combined Stress'!N61+'Wind Loading'!$K$23*'Combined Stress'!N62+'Wind Loading'!$K$22*'Combined Stress'!N63+'Wind Loading'!$K$21*'Combined Stress'!N64+'Wind Loading'!$K$20*'Combined Stress'!N65+'Wind Loading'!$K$19*'Combined Stress'!N66+'Wind Loading'!$K$18*'Combined Stress'!N67+'Wind Loading'!$K$17*'Combined Stress'!N68+'Wind Loading'!$K$16*'Combined Stress'!N69</f>
        <v>460952.954524828</v>
      </c>
      <c r="P16" s="14">
        <f>((O16*'Alternative 2'!K17)/'Alternative 2'!L17)/1000000</f>
        <v>8.6907275750078998</v>
      </c>
      <c r="Q16" s="30">
        <f t="shared" si="12"/>
        <v>23</v>
      </c>
      <c r="R16" s="14">
        <f>'Alternative 2'!$B$3+'Alternative 2'!$B$5+('Alternative 2'!$B$39*Q16)</f>
        <v>210365.03521042404</v>
      </c>
      <c r="S16" s="14">
        <f>'Alternative 2'!M17</f>
        <v>2.6519839146058395</v>
      </c>
      <c r="T16" s="14">
        <f t="shared" si="2"/>
        <v>7.9323646743042292E-2</v>
      </c>
      <c r="U16" s="284">
        <f t="shared" si="3"/>
        <v>8.7700512217509417</v>
      </c>
      <c r="V16" s="286"/>
      <c r="W16" s="153">
        <f>'Alternative 3'!F17</f>
        <v>14</v>
      </c>
      <c r="X16" s="59">
        <f t="shared" si="13"/>
        <v>23.5</v>
      </c>
      <c r="Y16" s="30">
        <f t="shared" si="14"/>
        <v>22.5</v>
      </c>
      <c r="Z16" s="60">
        <f>'Dynamic Loading'!$Y$3*'Combined Stress'!X16+'Wind Loading'!$P$69*Y16+'Wind Loading'!$P$68*'Combined Stress'!Y17+'Wind Loading'!$P$67*'Combined Stress'!Y18+'Wind Loading'!$P$66*'Combined Stress'!Y19+'Wind Loading'!$P$65*'Combined Stress'!Y20+'Wind Loading'!$P$64*'Combined Stress'!Y21+'Wind Loading'!$P$63*'Combined Stress'!Y22+'Wind Loading'!$P$62*'Combined Stress'!Y23+'Wind Loading'!$P$61*'Combined Stress'!Y24+'Wind Loading'!$P$60*'Combined Stress'!Y25+'Wind Loading'!$P$59*'Combined Stress'!Y26+'Wind Loading'!$P$58*'Combined Stress'!Y27+'Wind Loading'!$P$57*'Combined Stress'!Y28+'Wind Loading'!$P$56*'Combined Stress'!Y29+'Wind Loading'!$P$55*'Combined Stress'!Y30+'Wind Loading'!$P$54*'Combined Stress'!Y31+'Wind Loading'!$P$53*'Combined Stress'!Y32+'Wind Loading'!$P$52*'Combined Stress'!Y33+'Wind Loading'!$P$51*'Combined Stress'!Y34+'Wind Loading'!$P$50*'Combined Stress'!Y35+'Wind Loading'!$P$49*'Combined Stress'!Y36+'Wind Loading'!$P$48*'Combined Stress'!Y37+'Wind Loading'!$P$47*'Combined Stress'!Y38+'Wind Loading'!$P$46*'Combined Stress'!Y39+'Wind Loading'!$P$45*'Combined Stress'!Y40+'Wind Loading'!$P$44*'Combined Stress'!Y41+'Wind Loading'!$P$43*'Combined Stress'!Y42+'Wind Loading'!$P$42*'Combined Stress'!Y43+'Wind Loading'!$P$41*'Combined Stress'!Y44+'Wind Loading'!$P$40*'Combined Stress'!Y45+'Wind Loading'!$P$39*'Combined Stress'!Y46+'Wind Loading'!$P$38*'Combined Stress'!Y47+'Wind Loading'!$P$37*'Combined Stress'!Y48+'Wind Loading'!$P$36*'Combined Stress'!Y49+'Wind Loading'!$P$35*'Combined Stress'!Y50+'Wind Loading'!$P$34*'Combined Stress'!Y51+'Wind Loading'!$P$33*'Combined Stress'!Y52+'Wind Loading'!$P$32*'Combined Stress'!Y53+'Wind Loading'!$P$31*'Combined Stress'!Y54+'Wind Loading'!$P$30*'Combined Stress'!Y55+'Wind Loading'!$P$29*'Combined Stress'!Y56+'Wind Loading'!$P$28*'Combined Stress'!Y57+'Wind Loading'!$P$27*'Combined Stress'!Y58+'Wind Loading'!$P$26*'Combined Stress'!Y59+'Wind Loading'!$P$25*'Combined Stress'!Y60+'Wind Loading'!$P$24*'Combined Stress'!Y61+'Wind Loading'!$P$23*'Combined Stress'!Y62+'Wind Loading'!$P$22*'Combined Stress'!Y63+'Wind Loading'!$P$21*'Combined Stress'!Y64+'Wind Loading'!$P$20*'Combined Stress'!Y65+'Wind Loading'!$P$19*'Combined Stress'!Y66+'Wind Loading'!$P$18*'Combined Stress'!Y67+'Wind Loading'!$P$17*'Combined Stress'!Y68+'Wind Loading'!$P$16*'Combined Stress'!Y69</f>
        <v>460952.954524828</v>
      </c>
      <c r="AA16" s="60">
        <f>((Z16*'Alternative 3'!K17)/'Alternative 3'!L17)/1000000</f>
        <v>8.6907275750078998</v>
      </c>
      <c r="AB16" s="60">
        <f t="shared" si="4"/>
        <v>54</v>
      </c>
      <c r="AC16" s="14">
        <f>'Alternative 3'!$B$3+'Alternative 3'!$B$5+('Alternative 2'!$B$39*AB16)</f>
        <v>473968.28813751735</v>
      </c>
      <c r="AD16" s="60">
        <f>'Alternative 3'!M17</f>
        <v>2.6519839146058395</v>
      </c>
      <c r="AE16" s="60">
        <f t="shared" si="5"/>
        <v>0.17872215797657376</v>
      </c>
      <c r="AF16" s="60">
        <f t="shared" si="6"/>
        <v>8.8694497329844744</v>
      </c>
    </row>
    <row r="17" spans="1:32" ht="14.45" customHeight="1" x14ac:dyDescent="0.25">
      <c r="A17" s="13">
        <f>IF('Alternative 1'!F18&gt;0,'Alternative 1'!F18,"x")</f>
        <v>15</v>
      </c>
      <c r="B17" s="30">
        <f t="shared" si="7"/>
        <v>22.5</v>
      </c>
      <c r="C17" s="30">
        <f t="shared" si="8"/>
        <v>21.5</v>
      </c>
      <c r="D17" s="14">
        <f>'Dynamic Loading'!$I$3*'Combined Stress'!B17+'Wind Loading'!$F$69*C17+'Wind Loading'!$F$68*'Combined Stress'!C18+'Wind Loading'!$F$67*'Combined Stress'!C19+'Wind Loading'!$F$66*'Combined Stress'!C20+'Wind Loading'!$F$65*'Combined Stress'!C21+'Wind Loading'!$F$64*'Combined Stress'!C22+'Wind Loading'!$F$63*'Combined Stress'!C23+'Wind Loading'!$F$62*'Combined Stress'!C24+'Wind Loading'!$F$61*'Combined Stress'!C25+'Wind Loading'!$F$60*'Combined Stress'!C26+'Wind Loading'!$F$59*'Combined Stress'!C27+'Wind Loading'!$F$58*'Combined Stress'!C28+'Wind Loading'!$F$57*'Combined Stress'!C29+'Wind Loading'!$F$56*'Combined Stress'!C30+'Wind Loading'!$F$55*'Combined Stress'!C31+'Wind Loading'!$F$54*'Combined Stress'!C32+'Wind Loading'!$F$53*'Combined Stress'!C33+'Wind Loading'!$F$52*'Combined Stress'!C34+'Wind Loading'!$F$51*'Combined Stress'!C35+'Wind Loading'!$F$50*'Combined Stress'!C36+'Wind Loading'!$F$49*'Combined Stress'!C37+'Wind Loading'!$F$48*'Combined Stress'!C38+'Wind Loading'!$F$47*'Combined Stress'!C39+'Wind Loading'!$F$46*'Combined Stress'!C40+'Wind Loading'!$F$45*'Combined Stress'!C41+'Wind Loading'!$F$44*'Combined Stress'!C42+'Wind Loading'!$F$43*'Combined Stress'!C43+'Wind Loading'!$F$42*'Combined Stress'!C44+'Wind Loading'!$F$41*'Combined Stress'!C45+'Wind Loading'!$F$40*'Combined Stress'!C46+'Wind Loading'!$F$39*'Combined Stress'!C47+'Wind Loading'!$F$38*'Combined Stress'!C48+'Wind Loading'!$F$37*'Combined Stress'!C49+'Wind Loading'!$F$36*'Combined Stress'!C50+'Wind Loading'!$F$35*'Combined Stress'!C51+'Wind Loading'!$F$34*'Combined Stress'!C52+'Wind Loading'!$F$33*'Combined Stress'!C53+'Wind Loading'!$F$32*'Combined Stress'!C54+'Wind Loading'!$F$31*'Combined Stress'!C55+'Wind Loading'!$F$30*'Combined Stress'!C56+'Wind Loading'!$F$29*'Combined Stress'!C57+'Wind Loading'!$F$28*'Combined Stress'!C58+'Wind Loading'!$F$27*'Combined Stress'!C59+'Wind Loading'!$F$26*'Combined Stress'!C60+'Wind Loading'!$F$25*'Combined Stress'!C61+'Wind Loading'!$F$24*'Combined Stress'!C62+'Wind Loading'!$F$23*'Combined Stress'!C63+'Wind Loading'!$F$22*'Combined Stress'!C64+'Wind Loading'!$F$21*'Combined Stress'!C65+'Wind Loading'!$F$20*'Combined Stress'!C66+'Wind Loading'!$F$19*'Combined Stress'!C67+'Wind Loading'!$F$18*'Combined Stress'!C68+'Wind Loading'!$F$17*'Combined Stress'!C69</f>
        <v>441337.93518334598</v>
      </c>
      <c r="E17" s="14">
        <f>((D17*'Alternative 1'!K18)/'Alternative 1'!L18)/1000000</f>
        <v>8.5040002186933137</v>
      </c>
      <c r="F17" s="30">
        <f t="shared" si="9"/>
        <v>22</v>
      </c>
      <c r="G17" s="14">
        <f>IF(F17&gt;0,'Alternative 1'!$B$3+'Alternative 1'!$B$5+('Alternative 1'!$B$39*F17),0)</f>
        <v>201861.7044708404</v>
      </c>
      <c r="H17" s="14">
        <f>'Alternative 1'!M18</f>
        <v>2.5948867902204724</v>
      </c>
      <c r="I17" s="14">
        <f t="shared" si="0"/>
        <v>7.7792104546375751E-2</v>
      </c>
      <c r="J17" s="14">
        <f t="shared" si="1"/>
        <v>8.5817923232396893</v>
      </c>
      <c r="K17" s="286"/>
      <c r="L17" s="13">
        <f>IF('Alternative 2'!$F18&gt;0,'Alternative 2'!$F18,"x")</f>
        <v>15</v>
      </c>
      <c r="M17" s="30">
        <f t="shared" si="10"/>
        <v>22.5</v>
      </c>
      <c r="N17" s="30">
        <f t="shared" si="11"/>
        <v>21.5</v>
      </c>
      <c r="O17" s="14">
        <f>'Dynamic Loading'!$Q$3*'Combined Stress'!M17+'Wind Loading'!$K$69*N17+'Wind Loading'!$K$68*'Combined Stress'!N18+'Wind Loading'!$K$67*'Combined Stress'!N19+'Wind Loading'!$K$66*'Combined Stress'!N20+'Wind Loading'!$K$65*'Combined Stress'!N21+'Wind Loading'!$K$64*'Combined Stress'!N22+'Wind Loading'!$K$63*'Combined Stress'!N23+'Wind Loading'!$K$62*'Combined Stress'!N24+'Wind Loading'!$K$61*'Combined Stress'!N25+'Wind Loading'!$K$60*'Combined Stress'!N26+'Wind Loading'!$K$59*'Combined Stress'!N27+'Wind Loading'!$K$58*'Combined Stress'!N28+'Wind Loading'!$K$57*'Combined Stress'!N29+'Wind Loading'!$K$56*'Combined Stress'!N30+'Wind Loading'!$K$55*'Combined Stress'!N31+'Wind Loading'!$K$54*'Combined Stress'!N32+'Wind Loading'!$K$53*'Combined Stress'!N33+'Wind Loading'!$K$52*'Combined Stress'!N34+'Wind Loading'!$K$51*'Combined Stress'!N35+'Wind Loading'!$K$50*'Combined Stress'!N36+'Wind Loading'!$K$49*'Combined Stress'!N37+'Wind Loading'!$K$48*'Combined Stress'!N38+'Wind Loading'!$K$47*'Combined Stress'!N39+'Wind Loading'!$K$46*'Combined Stress'!N40+'Wind Loading'!$K$45*'Combined Stress'!N41+'Wind Loading'!$K$44*'Combined Stress'!N42+'Wind Loading'!$K$43*'Combined Stress'!N43+'Wind Loading'!$K$42*'Combined Stress'!N44+'Wind Loading'!$K$41*'Combined Stress'!N45+'Wind Loading'!$K$40*'Combined Stress'!N46+'Wind Loading'!$K$39*'Combined Stress'!N47+'Wind Loading'!$K$38*'Combined Stress'!N48+'Wind Loading'!$K$37*'Combined Stress'!N49+'Wind Loading'!$K$36*'Combined Stress'!N50+'Wind Loading'!$K$35*'Combined Stress'!N51+'Wind Loading'!$K$34*'Combined Stress'!N52+'Wind Loading'!$K$33*'Combined Stress'!N53+'Wind Loading'!$K$32*'Combined Stress'!N54+'Wind Loading'!$K$31*'Combined Stress'!N55+'Wind Loading'!$K$30*'Combined Stress'!N56+'Wind Loading'!$K$29*'Combined Stress'!N57+'Wind Loading'!$K$28*'Combined Stress'!N58+'Wind Loading'!$K$27*'Combined Stress'!N59+'Wind Loading'!$K$26*'Combined Stress'!N60+'Wind Loading'!$K$25*'Combined Stress'!N61+'Wind Loading'!$K$24*'Combined Stress'!N62+'Wind Loading'!$K$23*'Combined Stress'!N63+'Wind Loading'!$K$22*'Combined Stress'!N64+'Wind Loading'!$K$21*'Combined Stress'!N65+'Wind Loading'!$K$20*'Combined Stress'!N66+'Wind Loading'!$K$19*'Combined Stress'!N67+'Wind Loading'!$K$18*'Combined Stress'!N68+'Wind Loading'!$K$17*'Combined Stress'!N69</f>
        <v>441337.93518334598</v>
      </c>
      <c r="P17" s="14">
        <f>((O17*'Alternative 2'!K18)/'Alternative 2'!L18)/1000000</f>
        <v>8.5040002186933137</v>
      </c>
      <c r="Q17" s="30">
        <f t="shared" si="12"/>
        <v>22</v>
      </c>
      <c r="R17" s="14">
        <f>'Alternative 2'!$B$3+'Alternative 2'!$B$5+('Alternative 2'!$B$39*Q17)</f>
        <v>201861.7044708404</v>
      </c>
      <c r="S17" s="14">
        <f>'Alternative 2'!M18</f>
        <v>2.5948867902204724</v>
      </c>
      <c r="T17" s="14">
        <f t="shared" si="2"/>
        <v>7.7792104546375751E-2</v>
      </c>
      <c r="U17" s="284">
        <f t="shared" si="3"/>
        <v>8.5817923232396893</v>
      </c>
      <c r="V17" s="286"/>
      <c r="W17" s="153">
        <f>'Alternative 3'!F18</f>
        <v>15</v>
      </c>
      <c r="X17" s="59">
        <f t="shared" si="13"/>
        <v>22.5</v>
      </c>
      <c r="Y17" s="30">
        <f t="shared" si="14"/>
        <v>21.5</v>
      </c>
      <c r="Z17" s="60">
        <f>'Dynamic Loading'!$Y$3*'Combined Stress'!X17+'Wind Loading'!$P$69*Y17+'Wind Loading'!$P$68*'Combined Stress'!Y18+'Wind Loading'!$P$67*'Combined Stress'!Y19+'Wind Loading'!$P$66*'Combined Stress'!Y20+'Wind Loading'!$P$65*'Combined Stress'!Y21+'Wind Loading'!$P$64*'Combined Stress'!Y22+'Wind Loading'!$P$63*'Combined Stress'!Y23+'Wind Loading'!$P$62*'Combined Stress'!Y24+'Wind Loading'!$P$61*'Combined Stress'!Y25+'Wind Loading'!$P$60*'Combined Stress'!Y26+'Wind Loading'!$P$59*'Combined Stress'!Y27+'Wind Loading'!$P$58*'Combined Stress'!Y28+'Wind Loading'!$P$57*'Combined Stress'!Y29+'Wind Loading'!$P$56*'Combined Stress'!Y30+'Wind Loading'!$P$55*'Combined Stress'!Y31+'Wind Loading'!$P$54*'Combined Stress'!Y32+'Wind Loading'!$P$53*'Combined Stress'!Y33+'Wind Loading'!$P$52*'Combined Stress'!Y34+'Wind Loading'!$P$51*'Combined Stress'!Y35+'Wind Loading'!$P$50*'Combined Stress'!Y36+'Wind Loading'!$P$49*'Combined Stress'!Y37+'Wind Loading'!$P$48*'Combined Stress'!Y38+'Wind Loading'!$P$47*'Combined Stress'!Y39+'Wind Loading'!$P$46*'Combined Stress'!Y40+'Wind Loading'!$P$45*'Combined Stress'!Y41+'Wind Loading'!$P$44*'Combined Stress'!Y42+'Wind Loading'!$P$43*'Combined Stress'!Y43+'Wind Loading'!$P$42*'Combined Stress'!Y44+'Wind Loading'!$P$41*'Combined Stress'!Y45+'Wind Loading'!$P$40*'Combined Stress'!Y46+'Wind Loading'!$P$39*'Combined Stress'!Y47+'Wind Loading'!$P$38*'Combined Stress'!Y48+'Wind Loading'!$P$37*'Combined Stress'!Y49+'Wind Loading'!$P$36*'Combined Stress'!Y50+'Wind Loading'!$P$35*'Combined Stress'!Y51+'Wind Loading'!$P$34*'Combined Stress'!Y52+'Wind Loading'!$P$33*'Combined Stress'!Y53+'Wind Loading'!$P$32*'Combined Stress'!Y54+'Wind Loading'!$P$31*'Combined Stress'!Y55+'Wind Loading'!$P$30*'Combined Stress'!Y56+'Wind Loading'!$P$29*'Combined Stress'!Y57+'Wind Loading'!$P$28*'Combined Stress'!Y58+'Wind Loading'!$P$27*'Combined Stress'!Y59+'Wind Loading'!$P$26*'Combined Stress'!Y60+'Wind Loading'!$P$25*'Combined Stress'!Y61+'Wind Loading'!$P$24*'Combined Stress'!Y62+'Wind Loading'!$P$23*'Combined Stress'!Y63+'Wind Loading'!$P$22*'Combined Stress'!Y64+'Wind Loading'!$P$21*'Combined Stress'!Y65+'Wind Loading'!$P$20*'Combined Stress'!Y66+'Wind Loading'!$P$19*'Combined Stress'!Y67+'Wind Loading'!$P$18*'Combined Stress'!Y68+'Wind Loading'!$P$17*'Combined Stress'!Y69</f>
        <v>441337.93518334598</v>
      </c>
      <c r="AA17" s="60">
        <f>((Z17*'Alternative 3'!K18)/'Alternative 3'!L18)/1000000</f>
        <v>8.5040002186933137</v>
      </c>
      <c r="AB17" s="60">
        <f t="shared" si="4"/>
        <v>53</v>
      </c>
      <c r="AC17" s="14">
        <f>'Alternative 3'!$B$3+'Alternative 3'!$B$5+('Alternative 2'!$B$39*AB17)</f>
        <v>465464.9573979337</v>
      </c>
      <c r="AD17" s="60">
        <f>'Alternative 3'!M18</f>
        <v>2.5948867902204724</v>
      </c>
      <c r="AE17" s="60">
        <f t="shared" si="5"/>
        <v>0.17937775133472619</v>
      </c>
      <c r="AF17" s="60">
        <f t="shared" si="6"/>
        <v>8.6833779700280402</v>
      </c>
    </row>
    <row r="18" spans="1:32" ht="14.45" customHeight="1" x14ac:dyDescent="0.25">
      <c r="A18" s="13">
        <f>IF('Alternative 1'!F19&gt;0,'Alternative 1'!F19,"x")</f>
        <v>16</v>
      </c>
      <c r="B18" s="30">
        <f t="shared" si="7"/>
        <v>21.5</v>
      </c>
      <c r="C18" s="30">
        <f t="shared" si="8"/>
        <v>20.5</v>
      </c>
      <c r="D18" s="14">
        <f>'Dynamic Loading'!$I$3*'Combined Stress'!B18+'Wind Loading'!$F$69*C18+'Wind Loading'!$F$68*'Combined Stress'!C19+'Wind Loading'!$F$67*'Combined Stress'!C20+'Wind Loading'!$F$66*'Combined Stress'!C21+'Wind Loading'!$F$65*'Combined Stress'!C22+'Wind Loading'!$F$64*'Combined Stress'!C23+'Wind Loading'!$F$63*'Combined Stress'!C24+'Wind Loading'!$F$62*'Combined Stress'!C25+'Wind Loading'!$F$61*'Combined Stress'!C26+'Wind Loading'!$F$60*'Combined Stress'!C27+'Wind Loading'!$F$59*'Combined Stress'!C28+'Wind Loading'!$F$58*'Combined Stress'!C29+'Wind Loading'!$F$57*'Combined Stress'!C30+'Wind Loading'!$F$56*'Combined Stress'!C31+'Wind Loading'!$F$55*'Combined Stress'!C32+'Wind Loading'!$F$54*'Combined Stress'!C33+'Wind Loading'!$F$53*'Combined Stress'!C34+'Wind Loading'!$F$52*'Combined Stress'!C35+'Wind Loading'!$F$51*'Combined Stress'!C36+'Wind Loading'!$F$50*'Combined Stress'!C37+'Wind Loading'!$F$49*'Combined Stress'!C38+'Wind Loading'!$F$48*'Combined Stress'!C39+'Wind Loading'!$F$47*'Combined Stress'!C40+'Wind Loading'!$F$46*'Combined Stress'!C41+'Wind Loading'!$F$45*'Combined Stress'!C42+'Wind Loading'!$F$44*'Combined Stress'!C43+'Wind Loading'!$F$43*'Combined Stress'!C44+'Wind Loading'!$F$42*'Combined Stress'!C45+'Wind Loading'!$F$41*'Combined Stress'!C46+'Wind Loading'!$F$40*'Combined Stress'!C47+'Wind Loading'!$F$39*'Combined Stress'!C48+'Wind Loading'!$F$38*'Combined Stress'!C49+'Wind Loading'!$F$37*'Combined Stress'!C50+'Wind Loading'!$F$36*'Combined Stress'!C51+'Wind Loading'!$F$35*'Combined Stress'!C52+'Wind Loading'!$F$34*'Combined Stress'!C53+'Wind Loading'!$F$33*'Combined Stress'!C54+'Wind Loading'!$F$32*'Combined Stress'!C55+'Wind Loading'!$F$31*'Combined Stress'!C56+'Wind Loading'!$F$30*'Combined Stress'!C57+'Wind Loading'!$F$29*'Combined Stress'!C58+'Wind Loading'!$F$28*'Combined Stress'!C59+'Wind Loading'!$F$27*'Combined Stress'!C60+'Wind Loading'!$F$26*'Combined Stress'!C61+'Wind Loading'!$F$25*'Combined Stress'!C62+'Wind Loading'!$F$24*'Combined Stress'!C63+'Wind Loading'!$F$23*'Combined Stress'!C64+'Wind Loading'!$F$22*'Combined Stress'!C65+'Wind Loading'!$F$21*'Combined Stress'!C66+'Wind Loading'!$F$20*'Combined Stress'!C67+'Wind Loading'!$F$19*'Combined Stress'!C68+'Wind Loading'!$F$18*'Combined Stress'!C69</f>
        <v>421722.9158418639</v>
      </c>
      <c r="E18" s="14">
        <f>((D18*'Alternative 1'!K19)/'Alternative 1'!L19)/1000000</f>
        <v>8.3068367340475362</v>
      </c>
      <c r="F18" s="30">
        <f t="shared" si="9"/>
        <v>21</v>
      </c>
      <c r="G18" s="14">
        <f>IF(F18&gt;0,'Alternative 1'!$B$3+'Alternative 1'!$B$5+('Alternative 1'!$B$39*F18),0)</f>
        <v>193358.37373125675</v>
      </c>
      <c r="H18" s="14">
        <f>'Alternative 1'!M19</f>
        <v>2.5384110225098762</v>
      </c>
      <c r="I18" s="14">
        <f t="shared" si="0"/>
        <v>7.6172996420442562E-2</v>
      </c>
      <c r="J18" s="14">
        <f t="shared" si="1"/>
        <v>8.3830097304679789</v>
      </c>
      <c r="K18" s="286"/>
      <c r="L18" s="13">
        <f>IF('Alternative 2'!$F19&gt;0,'Alternative 2'!$F19,"x")</f>
        <v>16</v>
      </c>
      <c r="M18" s="30">
        <f t="shared" si="10"/>
        <v>21.5</v>
      </c>
      <c r="N18" s="30">
        <f t="shared" si="11"/>
        <v>20.5</v>
      </c>
      <c r="O18" s="14">
        <f>'Dynamic Loading'!$Q$3*'Combined Stress'!M18+'Wind Loading'!$K$69*N18+'Wind Loading'!$K$68*'Combined Stress'!N19+'Wind Loading'!$K$67*'Combined Stress'!N20+'Wind Loading'!$K$66*'Combined Stress'!N21+'Wind Loading'!$K$65*'Combined Stress'!N22+'Wind Loading'!$K$64*'Combined Stress'!N23+'Wind Loading'!$K$63*'Combined Stress'!N24+'Wind Loading'!$K$62*'Combined Stress'!N25+'Wind Loading'!$K$61*'Combined Stress'!N26+'Wind Loading'!$K$60*'Combined Stress'!N27+'Wind Loading'!$K$59*'Combined Stress'!N28+'Wind Loading'!$K$58*'Combined Stress'!N29+'Wind Loading'!$K$57*'Combined Stress'!N30+'Wind Loading'!$K$56*'Combined Stress'!N31+'Wind Loading'!$K$55*'Combined Stress'!N32+'Wind Loading'!$K$54*'Combined Stress'!N33+'Wind Loading'!$K$53*'Combined Stress'!N34+'Wind Loading'!$K$52*'Combined Stress'!N35+'Wind Loading'!$K$51*'Combined Stress'!N36+'Wind Loading'!$K$50*'Combined Stress'!N37+'Wind Loading'!$K$49*'Combined Stress'!N38+'Wind Loading'!$K$48*'Combined Stress'!N39+'Wind Loading'!$K$47*'Combined Stress'!N40+'Wind Loading'!$K$46*'Combined Stress'!N41+'Wind Loading'!$K$45*'Combined Stress'!N42+'Wind Loading'!$K$44*'Combined Stress'!N43+'Wind Loading'!$K$43*'Combined Stress'!N44+'Wind Loading'!$K$42*'Combined Stress'!N45+'Wind Loading'!$K$41*'Combined Stress'!N46+'Wind Loading'!$K$40*'Combined Stress'!N47+'Wind Loading'!$K$39*'Combined Stress'!N48+'Wind Loading'!$K$38*'Combined Stress'!N49+'Wind Loading'!$K$37*'Combined Stress'!N50+'Wind Loading'!$K$36*'Combined Stress'!N51+'Wind Loading'!$K$35*'Combined Stress'!N52+'Wind Loading'!$K$34*'Combined Stress'!N53+'Wind Loading'!$K$33*'Combined Stress'!N54+'Wind Loading'!$K$32*'Combined Stress'!N55+'Wind Loading'!$K$31*'Combined Stress'!N56+'Wind Loading'!$K$30*'Combined Stress'!N57+'Wind Loading'!$K$29*'Combined Stress'!N58+'Wind Loading'!$K$28*'Combined Stress'!N59+'Wind Loading'!$K$27*'Combined Stress'!N60+'Wind Loading'!$K$26*'Combined Stress'!N61+'Wind Loading'!$K$25*'Combined Stress'!N62+'Wind Loading'!$K$24*'Combined Stress'!N63+'Wind Loading'!$K$23*'Combined Stress'!N64+'Wind Loading'!$K$22*'Combined Stress'!N65+'Wind Loading'!$K$21*'Combined Stress'!N66+'Wind Loading'!$K$20*'Combined Stress'!N67+'Wind Loading'!$K$19*'Combined Stress'!N68+'Wind Loading'!$K$18*'Combined Stress'!N69</f>
        <v>421722.9158418639</v>
      </c>
      <c r="P18" s="14">
        <f>((O18*'Alternative 2'!K19)/'Alternative 2'!L19)/1000000</f>
        <v>8.3068367340475362</v>
      </c>
      <c r="Q18" s="30">
        <f t="shared" si="12"/>
        <v>21</v>
      </c>
      <c r="R18" s="14">
        <f>'Alternative 2'!$B$3+'Alternative 2'!$B$5+('Alternative 2'!$B$39*Q18)</f>
        <v>193358.37373125675</v>
      </c>
      <c r="S18" s="14">
        <f>'Alternative 2'!M19</f>
        <v>2.5384110225098762</v>
      </c>
      <c r="T18" s="14">
        <f t="shared" si="2"/>
        <v>7.6172996420442562E-2</v>
      </c>
      <c r="U18" s="284">
        <f t="shared" si="3"/>
        <v>8.3830097304679789</v>
      </c>
      <c r="V18" s="286"/>
      <c r="W18" s="153">
        <f>'Alternative 3'!F19</f>
        <v>16</v>
      </c>
      <c r="X18" s="59">
        <f t="shared" si="13"/>
        <v>21.5</v>
      </c>
      <c r="Y18" s="30">
        <f t="shared" si="14"/>
        <v>20.5</v>
      </c>
      <c r="Z18" s="60">
        <f>'Dynamic Loading'!$Y$3*'Combined Stress'!X18+'Wind Loading'!$P$69*Y18+'Wind Loading'!$P$68*'Combined Stress'!Y19+'Wind Loading'!$P$67*'Combined Stress'!Y20+'Wind Loading'!$P$66*'Combined Stress'!Y21+'Wind Loading'!$P$65*'Combined Stress'!Y22+'Wind Loading'!$P$64*'Combined Stress'!Y23+'Wind Loading'!$P$63*'Combined Stress'!Y24+'Wind Loading'!$P$62*'Combined Stress'!Y25+'Wind Loading'!$P$61*'Combined Stress'!Y26+'Wind Loading'!$P$60*'Combined Stress'!Y27+'Wind Loading'!$P$59*'Combined Stress'!Y28+'Wind Loading'!$P$58*'Combined Stress'!Y29+'Wind Loading'!$P$57*'Combined Stress'!Y30+'Wind Loading'!$P$56*'Combined Stress'!Y31+'Wind Loading'!$P$55*'Combined Stress'!Y32+'Wind Loading'!$P$54*'Combined Stress'!Y33+'Wind Loading'!$P$53*'Combined Stress'!Y34+'Wind Loading'!$P$52*'Combined Stress'!Y35+'Wind Loading'!$P$51*'Combined Stress'!Y36+'Wind Loading'!$P$50*'Combined Stress'!Y37+'Wind Loading'!$P$49*'Combined Stress'!Y38+'Wind Loading'!$P$48*'Combined Stress'!Y39+'Wind Loading'!$P$47*'Combined Stress'!Y40+'Wind Loading'!$P$46*'Combined Stress'!Y41+'Wind Loading'!$P$45*'Combined Stress'!Y42+'Wind Loading'!$P$44*'Combined Stress'!Y43+'Wind Loading'!$P$43*'Combined Stress'!Y44+'Wind Loading'!$P$42*'Combined Stress'!Y45+'Wind Loading'!$P$41*'Combined Stress'!Y46+'Wind Loading'!$P$40*'Combined Stress'!Y47+'Wind Loading'!$P$39*'Combined Stress'!Y48+'Wind Loading'!$P$38*'Combined Stress'!Y49+'Wind Loading'!$P$37*'Combined Stress'!Y50+'Wind Loading'!$P$36*'Combined Stress'!Y51+'Wind Loading'!$P$35*'Combined Stress'!Y52+'Wind Loading'!$P$34*'Combined Stress'!Y53+'Wind Loading'!$P$33*'Combined Stress'!Y54+'Wind Loading'!$P$32*'Combined Stress'!Y55+'Wind Loading'!$P$31*'Combined Stress'!Y56+'Wind Loading'!$P$30*'Combined Stress'!Y57+'Wind Loading'!$P$29*'Combined Stress'!Y58+'Wind Loading'!$P$28*'Combined Stress'!Y59+'Wind Loading'!$P$27*'Combined Stress'!Y60+'Wind Loading'!$P$26*'Combined Stress'!Y61+'Wind Loading'!$P$25*'Combined Stress'!Y62+'Wind Loading'!$P$24*'Combined Stress'!Y63+'Wind Loading'!$P$23*'Combined Stress'!Y64+'Wind Loading'!$P$22*'Combined Stress'!Y65+'Wind Loading'!$P$21*'Combined Stress'!Y66+'Wind Loading'!$P$20*'Combined Stress'!Y67+'Wind Loading'!$P$19*'Combined Stress'!Y68+'Wind Loading'!$P$18*'Combined Stress'!Y69</f>
        <v>421722.9158418639</v>
      </c>
      <c r="AA18" s="60">
        <f>((Z18*'Alternative 3'!K19)/'Alternative 3'!L19)/1000000</f>
        <v>8.3068367340475362</v>
      </c>
      <c r="AB18" s="60">
        <f t="shared" si="4"/>
        <v>52</v>
      </c>
      <c r="AC18" s="14">
        <f>'Alternative 3'!$B$3+'Alternative 3'!$B$5+('Alternative 2'!$B$39*AB18)</f>
        <v>456961.62665835005</v>
      </c>
      <c r="AD18" s="60">
        <f>'Alternative 3'!M19</f>
        <v>2.5384110225098762</v>
      </c>
      <c r="AE18" s="60">
        <f t="shared" si="5"/>
        <v>0.18001876867305958</v>
      </c>
      <c r="AF18" s="60">
        <f t="shared" si="6"/>
        <v>8.4868555027205961</v>
      </c>
    </row>
    <row r="19" spans="1:32" ht="14.45" customHeight="1" x14ac:dyDescent="0.25">
      <c r="A19" s="13">
        <f>IF('Alternative 1'!F20&gt;0,'Alternative 1'!F20,"x")</f>
        <v>17</v>
      </c>
      <c r="B19" s="30">
        <f t="shared" si="7"/>
        <v>20.5</v>
      </c>
      <c r="C19" s="30">
        <f t="shared" si="8"/>
        <v>19.5</v>
      </c>
      <c r="D19" s="14">
        <f>'Dynamic Loading'!$I$3*'Combined Stress'!B19+'Wind Loading'!$F$69*C19+'Wind Loading'!$F$68*'Combined Stress'!C20+'Wind Loading'!$F$67*'Combined Stress'!C21+'Wind Loading'!$F$66*'Combined Stress'!C22+'Wind Loading'!$F$65*'Combined Stress'!C23+'Wind Loading'!$F$64*'Combined Stress'!C24+'Wind Loading'!$F$63*'Combined Stress'!C25+'Wind Loading'!$F$62*'Combined Stress'!C26+'Wind Loading'!$F$61*'Combined Stress'!C27+'Wind Loading'!$F$60*'Combined Stress'!C28+'Wind Loading'!$F$59*'Combined Stress'!C29+'Wind Loading'!$F$58*'Combined Stress'!C30+'Wind Loading'!$F$57*'Combined Stress'!C31+'Wind Loading'!$F$56*'Combined Stress'!C32+'Wind Loading'!$F$55*'Combined Stress'!C33+'Wind Loading'!$F$54*'Combined Stress'!C34+'Wind Loading'!$F$53*'Combined Stress'!C35+'Wind Loading'!$F$52*'Combined Stress'!C36+'Wind Loading'!$F$51*'Combined Stress'!C37+'Wind Loading'!$F$50*'Combined Stress'!C38+'Wind Loading'!$F$49*'Combined Stress'!C39+'Wind Loading'!$F$48*'Combined Stress'!C40+'Wind Loading'!$F$47*'Combined Stress'!C41+'Wind Loading'!$F$46*'Combined Stress'!C42+'Wind Loading'!$F$45*'Combined Stress'!C43+'Wind Loading'!$F$44*'Combined Stress'!C44+'Wind Loading'!$F$43*'Combined Stress'!C45+'Wind Loading'!$F$42*'Combined Stress'!C46+'Wind Loading'!$F$41*'Combined Stress'!C47+'Wind Loading'!$F$40*'Combined Stress'!C48+'Wind Loading'!$F$39*'Combined Stress'!C49+'Wind Loading'!$F$38*'Combined Stress'!C50+'Wind Loading'!$F$37*'Combined Stress'!C51+'Wind Loading'!$F$36*'Combined Stress'!C52+'Wind Loading'!$F$35*'Combined Stress'!C53+'Wind Loading'!$F$34*'Combined Stress'!C54+'Wind Loading'!$F$33*'Combined Stress'!C55+'Wind Loading'!$F$32*'Combined Stress'!C56+'Wind Loading'!$F$31*'Combined Stress'!C57+'Wind Loading'!$F$30*'Combined Stress'!C58+'Wind Loading'!$F$29*'Combined Stress'!C59+'Wind Loading'!$F$28*'Combined Stress'!C60+'Wind Loading'!$F$27*'Combined Stress'!C61+'Wind Loading'!$F$26*'Combined Stress'!C62+'Wind Loading'!$F$25*'Combined Stress'!C63+'Wind Loading'!$F$24*'Combined Stress'!C64+'Wind Loading'!$F$23*'Combined Stress'!C65+'Wind Loading'!$F$22*'Combined Stress'!C66+'Wind Loading'!$F$21*'Combined Stress'!C67+'Wind Loading'!$F$20*'Combined Stress'!C68+'Wind Loading'!$F$19*'Combined Stress'!C69</f>
        <v>402107.89650038187</v>
      </c>
      <c r="E19" s="14">
        <f>((D19*'Alternative 1'!K20)/'Alternative 1'!L20)/1000000</f>
        <v>8.0986729290879129</v>
      </c>
      <c r="F19" s="30">
        <f t="shared" si="9"/>
        <v>20</v>
      </c>
      <c r="G19" s="14">
        <f>IF(F19&gt;0,'Alternative 1'!$B$3+'Alternative 1'!$B$5+('Alternative 1'!$B$39*F19),0)</f>
        <v>184855.04299167308</v>
      </c>
      <c r="H19" s="14">
        <f>'Alternative 1'!M20</f>
        <v>2.482556611474052</v>
      </c>
      <c r="I19" s="14">
        <f t="shared" si="0"/>
        <v>7.4461561979008745E-2</v>
      </c>
      <c r="J19" s="14">
        <f t="shared" si="1"/>
        <v>8.1731344910669215</v>
      </c>
      <c r="K19" s="286"/>
      <c r="L19" s="13">
        <f>IF('Alternative 2'!$F20&gt;0,'Alternative 2'!$F20,"x")</f>
        <v>17</v>
      </c>
      <c r="M19" s="30">
        <f t="shared" si="10"/>
        <v>20.5</v>
      </c>
      <c r="N19" s="30">
        <f t="shared" si="11"/>
        <v>19.5</v>
      </c>
      <c r="O19" s="14">
        <f>'Dynamic Loading'!$Q$3*'Combined Stress'!M19+'Wind Loading'!$K$69*N19+'Wind Loading'!$K$68*'Combined Stress'!N20+'Wind Loading'!$K$67*'Combined Stress'!N21+'Wind Loading'!$K$66*'Combined Stress'!N22+'Wind Loading'!$K$65*'Combined Stress'!N23+'Wind Loading'!$K$64*'Combined Stress'!N24+'Wind Loading'!$K$63*'Combined Stress'!N25+'Wind Loading'!$K$62*'Combined Stress'!N26+'Wind Loading'!$K$61*'Combined Stress'!N27+'Wind Loading'!$K$60*'Combined Stress'!N28+'Wind Loading'!$K$59*'Combined Stress'!N29+'Wind Loading'!$K$58*'Combined Stress'!N30+'Wind Loading'!$K$57*'Combined Stress'!N31+'Wind Loading'!$K$56*'Combined Stress'!N32+'Wind Loading'!$K$55*'Combined Stress'!N33+'Wind Loading'!$K$54*'Combined Stress'!N34+'Wind Loading'!$K$53*'Combined Stress'!N35+'Wind Loading'!$K$52*'Combined Stress'!N36+'Wind Loading'!$K$51*'Combined Stress'!N37+'Wind Loading'!$K$50*'Combined Stress'!N38+'Wind Loading'!$K$49*'Combined Stress'!N39+'Wind Loading'!$K$48*'Combined Stress'!N40+'Wind Loading'!$K$47*'Combined Stress'!N41+'Wind Loading'!$K$46*'Combined Stress'!N42+'Wind Loading'!$K$45*'Combined Stress'!N43+'Wind Loading'!$K$44*'Combined Stress'!N44+'Wind Loading'!$K$43*'Combined Stress'!N45+'Wind Loading'!$K$42*'Combined Stress'!N46+'Wind Loading'!$K$41*'Combined Stress'!N47+'Wind Loading'!$K$40*'Combined Stress'!N48+'Wind Loading'!$K$39*'Combined Stress'!N49+'Wind Loading'!$K$38*'Combined Stress'!N50+'Wind Loading'!$K$37*'Combined Stress'!N51+'Wind Loading'!$K$36*'Combined Stress'!N52+'Wind Loading'!$K$35*'Combined Stress'!N53+'Wind Loading'!$K$34*'Combined Stress'!N54+'Wind Loading'!$K$33*'Combined Stress'!N55+'Wind Loading'!$K$32*'Combined Stress'!N56+'Wind Loading'!$K$31*'Combined Stress'!N57+'Wind Loading'!$K$30*'Combined Stress'!N58+'Wind Loading'!$K$29*'Combined Stress'!N59+'Wind Loading'!$K$28*'Combined Stress'!N60+'Wind Loading'!$K$27*'Combined Stress'!N61+'Wind Loading'!$K$26*'Combined Stress'!N62+'Wind Loading'!$K$25*'Combined Stress'!N63+'Wind Loading'!$K$24*'Combined Stress'!N64+'Wind Loading'!$K$23*'Combined Stress'!N65+'Wind Loading'!$K$22*'Combined Stress'!N66+'Wind Loading'!$K$21*'Combined Stress'!N67+'Wind Loading'!$K$20*'Combined Stress'!N68+'Wind Loading'!$K$19*'Combined Stress'!N69</f>
        <v>402107.89650038187</v>
      </c>
      <c r="P19" s="14">
        <f>((O19*'Alternative 2'!K20)/'Alternative 2'!L20)/1000000</f>
        <v>8.0986729290879129</v>
      </c>
      <c r="Q19" s="30">
        <f t="shared" si="12"/>
        <v>20</v>
      </c>
      <c r="R19" s="14">
        <f>'Alternative 2'!$B$3+'Alternative 2'!$B$5+('Alternative 2'!$B$39*Q19)</f>
        <v>184855.04299167308</v>
      </c>
      <c r="S19" s="14">
        <f>'Alternative 2'!M20</f>
        <v>2.482556611474052</v>
      </c>
      <c r="T19" s="14">
        <f t="shared" si="2"/>
        <v>7.4461561979008745E-2</v>
      </c>
      <c r="U19" s="284">
        <f t="shared" si="3"/>
        <v>8.1731344910669215</v>
      </c>
      <c r="V19" s="286"/>
      <c r="W19" s="153">
        <f>'Alternative 3'!F20</f>
        <v>17</v>
      </c>
      <c r="X19" s="59">
        <f t="shared" si="13"/>
        <v>20.5</v>
      </c>
      <c r="Y19" s="30">
        <f t="shared" si="14"/>
        <v>19.5</v>
      </c>
      <c r="Z19" s="60">
        <f>'Dynamic Loading'!$Y$3*'Combined Stress'!X19+'Wind Loading'!$P$69*Y19+'Wind Loading'!$P$68*'Combined Stress'!Y20+'Wind Loading'!$P$67*'Combined Stress'!Y21+'Wind Loading'!$P$66*'Combined Stress'!Y22+'Wind Loading'!$P$65*'Combined Stress'!Y23+'Wind Loading'!$P$64*'Combined Stress'!Y24+'Wind Loading'!$P$63*'Combined Stress'!Y25+'Wind Loading'!$P$62*'Combined Stress'!Y26+'Wind Loading'!$P$61*'Combined Stress'!Y27+'Wind Loading'!$P$60*'Combined Stress'!Y28+'Wind Loading'!$P$59*'Combined Stress'!Y29+'Wind Loading'!$P$58*'Combined Stress'!Y30+'Wind Loading'!$P$57*'Combined Stress'!Y31+'Wind Loading'!$P$56*'Combined Stress'!Y32+'Wind Loading'!$P$55*'Combined Stress'!Y33+'Wind Loading'!$P$54*'Combined Stress'!Y34+'Wind Loading'!$P$53*'Combined Stress'!Y35+'Wind Loading'!$P$52*'Combined Stress'!Y36+'Wind Loading'!$P$51*'Combined Stress'!Y37+'Wind Loading'!$P$50*'Combined Stress'!Y38+'Wind Loading'!$P$49*'Combined Stress'!Y39+'Wind Loading'!$P$48*'Combined Stress'!Y40+'Wind Loading'!$P$47*'Combined Stress'!Y41+'Wind Loading'!$P$46*'Combined Stress'!Y42+'Wind Loading'!$P$45*'Combined Stress'!Y43+'Wind Loading'!$P$44*'Combined Stress'!Y44+'Wind Loading'!$P$43*'Combined Stress'!Y45+'Wind Loading'!$P$42*'Combined Stress'!Y46+'Wind Loading'!$P$41*'Combined Stress'!Y47+'Wind Loading'!$P$40*'Combined Stress'!Y48+'Wind Loading'!$P$39*'Combined Stress'!Y49+'Wind Loading'!$P$38*'Combined Stress'!Y50+'Wind Loading'!$P$37*'Combined Stress'!Y51+'Wind Loading'!$P$36*'Combined Stress'!Y52+'Wind Loading'!$P$35*'Combined Stress'!Y53+'Wind Loading'!$P$34*'Combined Stress'!Y54+'Wind Loading'!$P$33*'Combined Stress'!Y55+'Wind Loading'!$P$32*'Combined Stress'!Y56+'Wind Loading'!$P$31*'Combined Stress'!Y57+'Wind Loading'!$P$30*'Combined Stress'!Y58+'Wind Loading'!$P$29*'Combined Stress'!Y59+'Wind Loading'!$P$28*'Combined Stress'!Y60+'Wind Loading'!$P$27*'Combined Stress'!Y61+'Wind Loading'!$P$26*'Combined Stress'!Y62+'Wind Loading'!$P$25*'Combined Stress'!Y63+'Wind Loading'!$P$24*'Combined Stress'!Y64+'Wind Loading'!$P$23*'Combined Stress'!Y65+'Wind Loading'!$P$22*'Combined Stress'!Y66+'Wind Loading'!$P$21*'Combined Stress'!Y67+'Wind Loading'!$P$20*'Combined Stress'!Y68+'Wind Loading'!$P$19*'Combined Stress'!Y69</f>
        <v>402107.89650038187</v>
      </c>
      <c r="AA19" s="60">
        <f>((Z19*'Alternative 3'!K20)/'Alternative 3'!L20)/1000000</f>
        <v>8.0986729290879129</v>
      </c>
      <c r="AB19" s="60">
        <f t="shared" si="4"/>
        <v>51</v>
      </c>
      <c r="AC19" s="14">
        <f>'Alternative 3'!$B$3+'Alternative 3'!$B$5+('Alternative 2'!$B$39*AB19)</f>
        <v>448458.29591876641</v>
      </c>
      <c r="AD19" s="60">
        <f>'Alternative 3'!M20</f>
        <v>2.482556611474052</v>
      </c>
      <c r="AE19" s="60">
        <f t="shared" si="5"/>
        <v>0.18064373390159597</v>
      </c>
      <c r="AF19" s="60">
        <f t="shared" si="6"/>
        <v>8.2793166629895083</v>
      </c>
    </row>
    <row r="20" spans="1:32" ht="14.45" customHeight="1" x14ac:dyDescent="0.25">
      <c r="A20" s="13">
        <f>IF('Alternative 1'!F21&gt;0,'Alternative 1'!F21,"x")</f>
        <v>18</v>
      </c>
      <c r="B20" s="30">
        <f t="shared" si="7"/>
        <v>19.5</v>
      </c>
      <c r="C20" s="30">
        <f t="shared" si="8"/>
        <v>18.5</v>
      </c>
      <c r="D20" s="14">
        <f>'Dynamic Loading'!$I$3*'Combined Stress'!B20+'Wind Loading'!$F$69*C20+'Wind Loading'!$F$68*'Combined Stress'!C21+'Wind Loading'!$F$67*'Combined Stress'!C22+'Wind Loading'!$F$66*'Combined Stress'!C23+'Wind Loading'!$F$65*'Combined Stress'!C24+'Wind Loading'!$F$64*'Combined Stress'!C25+'Wind Loading'!$F$63*'Combined Stress'!C26+'Wind Loading'!$F$62*'Combined Stress'!C27+'Wind Loading'!$F$61*'Combined Stress'!C28+'Wind Loading'!$F$60*'Combined Stress'!C29+'Wind Loading'!$F$59*'Combined Stress'!C30+'Wind Loading'!$F$58*'Combined Stress'!C31+'Wind Loading'!$F$57*'Combined Stress'!C32+'Wind Loading'!$F$56*'Combined Stress'!C33+'Wind Loading'!$F$55*'Combined Stress'!C34+'Wind Loading'!$F$54*'Combined Stress'!C35+'Wind Loading'!$F$53*'Combined Stress'!C36+'Wind Loading'!$F$52*'Combined Stress'!C37+'Wind Loading'!$F$51*'Combined Stress'!C38+'Wind Loading'!$F$50*'Combined Stress'!C39+'Wind Loading'!$F$49*'Combined Stress'!C40+'Wind Loading'!$F$48*'Combined Stress'!C41+'Wind Loading'!$F$47*'Combined Stress'!C42+'Wind Loading'!$F$46*'Combined Stress'!C43+'Wind Loading'!$F$45*'Combined Stress'!C44+'Wind Loading'!$F$44*'Combined Stress'!C45+'Wind Loading'!$F$43*'Combined Stress'!C46+'Wind Loading'!$F$42*'Combined Stress'!C47+'Wind Loading'!$F$41*'Combined Stress'!C48+'Wind Loading'!$F$40*'Combined Stress'!C49+'Wind Loading'!$F$39*'Combined Stress'!C50+'Wind Loading'!$F$38*'Combined Stress'!C51+'Wind Loading'!$F$37*'Combined Stress'!C52+'Wind Loading'!$F$36*'Combined Stress'!C53+'Wind Loading'!$F$35*'Combined Stress'!C54+'Wind Loading'!$F$34*'Combined Stress'!C55+'Wind Loading'!$F$33*'Combined Stress'!C56+'Wind Loading'!$F$32*'Combined Stress'!C57+'Wind Loading'!$F$31*'Combined Stress'!C58+'Wind Loading'!$F$30*'Combined Stress'!C59+'Wind Loading'!$F$29*'Combined Stress'!C60+'Wind Loading'!$F$28*'Combined Stress'!C61+'Wind Loading'!$F$27*'Combined Stress'!C62+'Wind Loading'!$F$26*'Combined Stress'!C63+'Wind Loading'!$F$25*'Combined Stress'!C64+'Wind Loading'!$F$24*'Combined Stress'!C65+'Wind Loading'!$F$23*'Combined Stress'!C66+'Wind Loading'!$F$22*'Combined Stress'!C67+'Wind Loading'!$F$21*'Combined Stress'!C68+'Wind Loading'!$F$20*'Combined Stress'!C69</f>
        <v>382492.87715889985</v>
      </c>
      <c r="E20" s="14">
        <f>((D20*'Alternative 1'!K21)/'Alternative 1'!L21)/1000000</f>
        <v>7.8789092886308341</v>
      </c>
      <c r="F20" s="30">
        <f t="shared" si="9"/>
        <v>19</v>
      </c>
      <c r="G20" s="14">
        <f>IF(F20&gt;0,'Alternative 1'!$B$3+'Alternative 1'!$B$5+('Alternative 1'!$B$39*F20),0)</f>
        <v>176351.71225208943</v>
      </c>
      <c r="H20" s="14">
        <f>'Alternative 1'!M21</f>
        <v>2.4273235571130001</v>
      </c>
      <c r="I20" s="14">
        <f t="shared" si="0"/>
        <v>7.2652742043931656E-2</v>
      </c>
      <c r="J20" s="14">
        <f t="shared" si="1"/>
        <v>7.9515620306747659</v>
      </c>
      <c r="K20" s="286"/>
      <c r="L20" s="13">
        <f>IF('Alternative 2'!$F21&gt;0,'Alternative 2'!$F21,"x")</f>
        <v>18</v>
      </c>
      <c r="M20" s="30">
        <f t="shared" si="10"/>
        <v>19.5</v>
      </c>
      <c r="N20" s="30">
        <f t="shared" si="11"/>
        <v>18.5</v>
      </c>
      <c r="O20" s="14">
        <f>'Dynamic Loading'!$Q$3*'Combined Stress'!M20+'Wind Loading'!$K$69*N20+'Wind Loading'!$K$68*'Combined Stress'!N21+'Wind Loading'!$K$67*'Combined Stress'!N22+'Wind Loading'!$K$66*'Combined Stress'!N23+'Wind Loading'!$K$65*'Combined Stress'!N24+'Wind Loading'!$K$64*'Combined Stress'!N25+'Wind Loading'!$K$63*'Combined Stress'!N26+'Wind Loading'!$K$62*'Combined Stress'!N27+'Wind Loading'!$K$61*'Combined Stress'!N28+'Wind Loading'!$K$60*'Combined Stress'!N29+'Wind Loading'!$K$59*'Combined Stress'!N30+'Wind Loading'!$K$58*'Combined Stress'!N31+'Wind Loading'!$K$57*'Combined Stress'!N32+'Wind Loading'!$K$56*'Combined Stress'!N33+'Wind Loading'!$K$55*'Combined Stress'!N34+'Wind Loading'!$K$54*'Combined Stress'!N35+'Wind Loading'!$K$53*'Combined Stress'!N36+'Wind Loading'!$K$52*'Combined Stress'!N37+'Wind Loading'!$K$51*'Combined Stress'!N38+'Wind Loading'!$K$50*'Combined Stress'!N39+'Wind Loading'!$K$49*'Combined Stress'!N40+'Wind Loading'!$K$48*'Combined Stress'!N41+'Wind Loading'!$K$47*'Combined Stress'!N42+'Wind Loading'!$K$46*'Combined Stress'!N43+'Wind Loading'!$K$45*'Combined Stress'!N44+'Wind Loading'!$K$44*'Combined Stress'!N45+'Wind Loading'!$K$43*'Combined Stress'!N46+'Wind Loading'!$K$42*'Combined Stress'!N47+'Wind Loading'!$K$41*'Combined Stress'!N48+'Wind Loading'!$K$40*'Combined Stress'!N49+'Wind Loading'!$K$39*'Combined Stress'!N50+'Wind Loading'!$K$38*'Combined Stress'!N51+'Wind Loading'!$K$37*'Combined Stress'!N52+'Wind Loading'!$K$36*'Combined Stress'!N53+'Wind Loading'!$K$35*'Combined Stress'!N54+'Wind Loading'!$K$34*'Combined Stress'!N55+'Wind Loading'!$K$33*'Combined Stress'!N56+'Wind Loading'!$K$32*'Combined Stress'!N57+'Wind Loading'!$K$31*'Combined Stress'!N58+'Wind Loading'!$K$30*'Combined Stress'!N59+'Wind Loading'!$K$29*'Combined Stress'!N60+'Wind Loading'!$K$28*'Combined Stress'!N61+'Wind Loading'!$K$27*'Combined Stress'!N62+'Wind Loading'!$K$26*'Combined Stress'!N63+'Wind Loading'!$K$25*'Combined Stress'!N64+'Wind Loading'!$K$24*'Combined Stress'!N65+'Wind Loading'!$K$23*'Combined Stress'!N66+'Wind Loading'!$K$22*'Combined Stress'!N67+'Wind Loading'!$K$21*'Combined Stress'!N68+'Wind Loading'!$K$20*'Combined Stress'!N69</f>
        <v>382492.87715889985</v>
      </c>
      <c r="P20" s="14">
        <f>((O20*'Alternative 2'!K21)/'Alternative 2'!L21)/1000000</f>
        <v>7.8789092886308341</v>
      </c>
      <c r="Q20" s="30">
        <f t="shared" si="12"/>
        <v>19</v>
      </c>
      <c r="R20" s="14">
        <f>'Alternative 2'!$B$3+'Alternative 2'!$B$5+('Alternative 2'!$B$39*Q20)</f>
        <v>176351.71225208943</v>
      </c>
      <c r="S20" s="14">
        <f>'Alternative 2'!M21</f>
        <v>2.4273235571130001</v>
      </c>
      <c r="T20" s="14">
        <f t="shared" si="2"/>
        <v>7.2652742043931656E-2</v>
      </c>
      <c r="U20" s="284">
        <f t="shared" si="3"/>
        <v>7.9515620306747659</v>
      </c>
      <c r="V20" s="286"/>
      <c r="W20" s="153">
        <f>'Alternative 3'!F21</f>
        <v>18</v>
      </c>
      <c r="X20" s="59">
        <f t="shared" si="13"/>
        <v>19.5</v>
      </c>
      <c r="Y20" s="30">
        <f t="shared" si="14"/>
        <v>18.5</v>
      </c>
      <c r="Z20" s="60">
        <f>'Dynamic Loading'!$Y$3*'Combined Stress'!X20+'Wind Loading'!$P$69*Y20+'Wind Loading'!$P$68*'Combined Stress'!Y21+'Wind Loading'!$P$67*'Combined Stress'!Y22+'Wind Loading'!$P$66*'Combined Stress'!Y23+'Wind Loading'!$P$65*'Combined Stress'!Y24+'Wind Loading'!$P$64*'Combined Stress'!Y25+'Wind Loading'!$P$63*'Combined Stress'!Y26+'Wind Loading'!$P$62*'Combined Stress'!Y27+'Wind Loading'!$P$61*'Combined Stress'!Y28+'Wind Loading'!$P$60*'Combined Stress'!Y29+'Wind Loading'!$P$59*'Combined Stress'!Y30+'Wind Loading'!$P$58*'Combined Stress'!Y31+'Wind Loading'!$P$57*'Combined Stress'!Y32+'Wind Loading'!$P$56*'Combined Stress'!Y33+'Wind Loading'!$P$55*'Combined Stress'!Y34+'Wind Loading'!$P$54*'Combined Stress'!Y35+'Wind Loading'!$P$53*'Combined Stress'!Y36+'Wind Loading'!$P$52*'Combined Stress'!Y37+'Wind Loading'!$P$51*'Combined Stress'!Y38+'Wind Loading'!$P$50*'Combined Stress'!Y39+'Wind Loading'!$P$49*'Combined Stress'!Y40+'Wind Loading'!$P$48*'Combined Stress'!Y41+'Wind Loading'!$P$47*'Combined Stress'!Y42+'Wind Loading'!$P$46*'Combined Stress'!Y43+'Wind Loading'!$P$45*'Combined Stress'!Y44+'Wind Loading'!$P$44*'Combined Stress'!Y45+'Wind Loading'!$P$43*'Combined Stress'!Y46+'Wind Loading'!$P$42*'Combined Stress'!Y47+'Wind Loading'!$P$41*'Combined Stress'!Y48+'Wind Loading'!$P$40*'Combined Stress'!Y49+'Wind Loading'!$P$39*'Combined Stress'!Y50+'Wind Loading'!$P$38*'Combined Stress'!Y51+'Wind Loading'!$P$37*'Combined Stress'!Y52+'Wind Loading'!$P$36*'Combined Stress'!Y53+'Wind Loading'!$P$35*'Combined Stress'!Y54+'Wind Loading'!$P$34*'Combined Stress'!Y55+'Wind Loading'!$P$33*'Combined Stress'!Y56+'Wind Loading'!$P$32*'Combined Stress'!Y57+'Wind Loading'!$P$31*'Combined Stress'!Y58+'Wind Loading'!$P$30*'Combined Stress'!Y59+'Wind Loading'!$P$29*'Combined Stress'!Y60+'Wind Loading'!$P$28*'Combined Stress'!Y61+'Wind Loading'!$P$27*'Combined Stress'!Y62+'Wind Loading'!$P$26*'Combined Stress'!Y63+'Wind Loading'!$P$25*'Combined Stress'!Y64+'Wind Loading'!$P$24*'Combined Stress'!Y65+'Wind Loading'!$P$23*'Combined Stress'!Y66+'Wind Loading'!$P$22*'Combined Stress'!Y67+'Wind Loading'!$P$21*'Combined Stress'!Y68+'Wind Loading'!$P$20*'Combined Stress'!Y69</f>
        <v>382492.87715889985</v>
      </c>
      <c r="AA20" s="60">
        <f>((Z20*'Alternative 3'!K21)/'Alternative 3'!L21)/1000000</f>
        <v>7.8789092886308341</v>
      </c>
      <c r="AB20" s="60">
        <f t="shared" si="4"/>
        <v>50</v>
      </c>
      <c r="AC20" s="14">
        <f>'Alternative 3'!$B$3+'Alternative 3'!$B$5+('Alternative 2'!$B$39*AB20)</f>
        <v>439954.96517918276</v>
      </c>
      <c r="AD20" s="60">
        <f>'Alternative 3'!M21</f>
        <v>2.4273235571130001</v>
      </c>
      <c r="AE20" s="60">
        <f t="shared" si="5"/>
        <v>0.18125105896572541</v>
      </c>
      <c r="AF20" s="60">
        <f t="shared" si="6"/>
        <v>8.0601603475965593</v>
      </c>
    </row>
    <row r="21" spans="1:32" ht="14.45" customHeight="1" x14ac:dyDescent="0.25">
      <c r="A21" s="13">
        <f>IF('Alternative 1'!F22&gt;0,'Alternative 1'!F22,"x")</f>
        <v>19</v>
      </c>
      <c r="B21" s="30">
        <f t="shared" si="7"/>
        <v>18.5</v>
      </c>
      <c r="C21" s="30">
        <f t="shared" si="8"/>
        <v>17.5</v>
      </c>
      <c r="D21" s="14">
        <f>'Dynamic Loading'!$I$3*'Combined Stress'!B21+'Wind Loading'!$F$69*C21+'Wind Loading'!$F$68*'Combined Stress'!C22+'Wind Loading'!$F$67*'Combined Stress'!C23+'Wind Loading'!$F$66*'Combined Stress'!C24+'Wind Loading'!$F$65*'Combined Stress'!C25+'Wind Loading'!$F$64*'Combined Stress'!C26+'Wind Loading'!$F$63*'Combined Stress'!C27+'Wind Loading'!$F$62*'Combined Stress'!C28+'Wind Loading'!$F$61*'Combined Stress'!C29+'Wind Loading'!$F$60*'Combined Stress'!C30+'Wind Loading'!$F$59*'Combined Stress'!C31+'Wind Loading'!$F$58*'Combined Stress'!C32+'Wind Loading'!$F$57*'Combined Stress'!C33+'Wind Loading'!$F$56*'Combined Stress'!C34+'Wind Loading'!$F$55*'Combined Stress'!C35+'Wind Loading'!$F$54*'Combined Stress'!C36+'Wind Loading'!$F$53*'Combined Stress'!C37+'Wind Loading'!$F$52*'Combined Stress'!C38+'Wind Loading'!$F$51*'Combined Stress'!C39+'Wind Loading'!$F$50*'Combined Stress'!C40+'Wind Loading'!$F$49*'Combined Stress'!C41+'Wind Loading'!$F$48*'Combined Stress'!C42+'Wind Loading'!$F$47*'Combined Stress'!C43+'Wind Loading'!$F$46*'Combined Stress'!C44+'Wind Loading'!$F$45*'Combined Stress'!C45+'Wind Loading'!$F$44*'Combined Stress'!C46+'Wind Loading'!$F$43*'Combined Stress'!C47+'Wind Loading'!$F$42*'Combined Stress'!C48+'Wind Loading'!$F$41*'Combined Stress'!C49+'Wind Loading'!$F$40*'Combined Stress'!C50+'Wind Loading'!$F$39*'Combined Stress'!C51+'Wind Loading'!$F$38*'Combined Stress'!C52+'Wind Loading'!$F$37*'Combined Stress'!C53+'Wind Loading'!$F$36*'Combined Stress'!C54+'Wind Loading'!$F$35*'Combined Stress'!C55+'Wind Loading'!$F$34*'Combined Stress'!C56+'Wind Loading'!$F$33*'Combined Stress'!C57+'Wind Loading'!$F$32*'Combined Stress'!C58+'Wind Loading'!$F$31*'Combined Stress'!C59+'Wind Loading'!$F$30*'Combined Stress'!C60+'Wind Loading'!$F$29*'Combined Stress'!C61+'Wind Loading'!$F$28*'Combined Stress'!C62+'Wind Loading'!$F$27*'Combined Stress'!C63+'Wind Loading'!$F$26*'Combined Stress'!C64+'Wind Loading'!$F$25*'Combined Stress'!C65+'Wind Loading'!$F$24*'Combined Stress'!C66+'Wind Loading'!$F$23*'Combined Stress'!C67+'Wind Loading'!$F$22*'Combined Stress'!C68+'Wind Loading'!$F$21*'Combined Stress'!C69</f>
        <v>362877.85781741777</v>
      </c>
      <c r="E21" s="14">
        <f>((D21*'Alternative 1'!K22)/'Alternative 1'!L22)/1000000</f>
        <v>7.6469083866807122</v>
      </c>
      <c r="F21" s="30">
        <f t="shared" si="9"/>
        <v>18</v>
      </c>
      <c r="G21" s="14">
        <f>IF(F21&gt;0,'Alternative 1'!$B$3+'Alternative 1'!$B$5+('Alternative 1'!$B$39*F21),0)</f>
        <v>167848.38151250579</v>
      </c>
      <c r="H21" s="14">
        <f>'Alternative 1'!M22</f>
        <v>2.3727118594267189</v>
      </c>
      <c r="I21" s="14">
        <f t="shared" si="0"/>
        <v>7.074115672564657E-2</v>
      </c>
      <c r="J21" s="14">
        <f t="shared" si="1"/>
        <v>7.7176495434063588</v>
      </c>
      <c r="K21" s="286"/>
      <c r="L21" s="13">
        <f>IF('Alternative 2'!$F22&gt;0,'Alternative 2'!$F22,"x")</f>
        <v>19</v>
      </c>
      <c r="M21" s="30">
        <f t="shared" si="10"/>
        <v>18.5</v>
      </c>
      <c r="N21" s="30">
        <f t="shared" si="11"/>
        <v>17.5</v>
      </c>
      <c r="O21" s="14">
        <f>'Dynamic Loading'!$Q$3*'Combined Stress'!M21+'Wind Loading'!$K$69*N21+'Wind Loading'!$K$68*'Combined Stress'!N22+'Wind Loading'!$K$67*'Combined Stress'!N23+'Wind Loading'!$K$66*'Combined Stress'!N24+'Wind Loading'!$K$65*'Combined Stress'!N25+'Wind Loading'!$K$64*'Combined Stress'!N26+'Wind Loading'!$K$63*'Combined Stress'!N27+'Wind Loading'!$K$62*'Combined Stress'!N28+'Wind Loading'!$K$61*'Combined Stress'!N29+'Wind Loading'!$K$60*'Combined Stress'!N30+'Wind Loading'!$K$59*'Combined Stress'!N31+'Wind Loading'!$K$58*'Combined Stress'!N32+'Wind Loading'!$K$57*'Combined Stress'!N33+'Wind Loading'!$K$56*'Combined Stress'!N34+'Wind Loading'!$K$55*'Combined Stress'!N35+'Wind Loading'!$K$54*'Combined Stress'!N36+'Wind Loading'!$K$53*'Combined Stress'!N37+'Wind Loading'!$K$52*'Combined Stress'!N38+'Wind Loading'!$K$51*'Combined Stress'!N39+'Wind Loading'!$K$50*'Combined Stress'!N40+'Wind Loading'!$K$49*'Combined Stress'!N41+'Wind Loading'!$K$48*'Combined Stress'!N42+'Wind Loading'!$K$47*'Combined Stress'!N43+'Wind Loading'!$K$46*'Combined Stress'!N44+'Wind Loading'!$K$45*'Combined Stress'!N45+'Wind Loading'!$K$44*'Combined Stress'!N46+'Wind Loading'!$K$43*'Combined Stress'!N47+'Wind Loading'!$K$42*'Combined Stress'!N48+'Wind Loading'!$K$41*'Combined Stress'!N49+'Wind Loading'!$K$40*'Combined Stress'!N50+'Wind Loading'!$K$39*'Combined Stress'!N51+'Wind Loading'!$K$38*'Combined Stress'!N52+'Wind Loading'!$K$37*'Combined Stress'!N53+'Wind Loading'!$K$36*'Combined Stress'!N54+'Wind Loading'!$K$35*'Combined Stress'!N55+'Wind Loading'!$K$34*'Combined Stress'!N56+'Wind Loading'!$K$33*'Combined Stress'!N57+'Wind Loading'!$K$32*'Combined Stress'!N58+'Wind Loading'!$K$31*'Combined Stress'!N59+'Wind Loading'!$K$30*'Combined Stress'!N60+'Wind Loading'!$K$29*'Combined Stress'!N61+'Wind Loading'!$K$28*'Combined Stress'!N62+'Wind Loading'!$K$27*'Combined Stress'!N63+'Wind Loading'!$K$26*'Combined Stress'!N64+'Wind Loading'!$K$25*'Combined Stress'!N65+'Wind Loading'!$K$24*'Combined Stress'!N66+'Wind Loading'!$K$23*'Combined Stress'!N67+'Wind Loading'!$K$22*'Combined Stress'!N68+'Wind Loading'!$K$21*'Combined Stress'!N69</f>
        <v>362877.85781741777</v>
      </c>
      <c r="P21" s="14">
        <f>((O21*'Alternative 2'!K22)/'Alternative 2'!L22)/1000000</f>
        <v>7.6469083866807122</v>
      </c>
      <c r="Q21" s="30">
        <f t="shared" si="12"/>
        <v>18</v>
      </c>
      <c r="R21" s="14">
        <f>'Alternative 2'!$B$3+'Alternative 2'!$B$5+('Alternative 2'!$B$39*Q21)</f>
        <v>167848.38151250579</v>
      </c>
      <c r="S21" s="14">
        <f>'Alternative 2'!M22</f>
        <v>2.3727118594267189</v>
      </c>
      <c r="T21" s="14">
        <f t="shared" si="2"/>
        <v>7.074115672564657E-2</v>
      </c>
      <c r="U21" s="284">
        <f t="shared" si="3"/>
        <v>7.7176495434063588</v>
      </c>
      <c r="V21" s="286"/>
      <c r="W21" s="153">
        <f>'Alternative 3'!F22</f>
        <v>19</v>
      </c>
      <c r="X21" s="59">
        <f t="shared" si="13"/>
        <v>18.5</v>
      </c>
      <c r="Y21" s="30">
        <f t="shared" si="14"/>
        <v>17.5</v>
      </c>
      <c r="Z21" s="60">
        <f>'Dynamic Loading'!$Y$3*'Combined Stress'!X21+'Wind Loading'!$P$69*Y21+'Wind Loading'!$P$68*'Combined Stress'!Y22+'Wind Loading'!$P$67*'Combined Stress'!Y23+'Wind Loading'!$P$66*'Combined Stress'!Y24+'Wind Loading'!$P$65*'Combined Stress'!Y25+'Wind Loading'!$P$64*'Combined Stress'!Y26+'Wind Loading'!$P$63*'Combined Stress'!Y27+'Wind Loading'!$P$62*'Combined Stress'!Y28+'Wind Loading'!$P$61*'Combined Stress'!Y29+'Wind Loading'!$P$60*'Combined Stress'!Y30+'Wind Loading'!$P$59*'Combined Stress'!Y31+'Wind Loading'!$P$58*'Combined Stress'!Y32+'Wind Loading'!$P$57*'Combined Stress'!Y33+'Wind Loading'!$P$56*'Combined Stress'!Y34+'Wind Loading'!$P$55*'Combined Stress'!Y35+'Wind Loading'!$P$54*'Combined Stress'!Y36+'Wind Loading'!$P$53*'Combined Stress'!Y37+'Wind Loading'!$P$52*'Combined Stress'!Y38+'Wind Loading'!$P$51*'Combined Stress'!Y39+'Wind Loading'!$P$50*'Combined Stress'!Y40+'Wind Loading'!$P$49*'Combined Stress'!Y41+'Wind Loading'!$P$48*'Combined Stress'!Y42+'Wind Loading'!$P$47*'Combined Stress'!Y43+'Wind Loading'!$P$46*'Combined Stress'!Y44+'Wind Loading'!$P$45*'Combined Stress'!Y45+'Wind Loading'!$P$44*'Combined Stress'!Y46+'Wind Loading'!$P$43*'Combined Stress'!Y47+'Wind Loading'!$P$42*'Combined Stress'!Y48+'Wind Loading'!$P$41*'Combined Stress'!Y49+'Wind Loading'!$P$40*'Combined Stress'!Y50+'Wind Loading'!$P$39*'Combined Stress'!Y51+'Wind Loading'!$P$38*'Combined Stress'!Y52+'Wind Loading'!$P$37*'Combined Stress'!Y53+'Wind Loading'!$P$36*'Combined Stress'!Y54+'Wind Loading'!$P$35*'Combined Stress'!Y55+'Wind Loading'!$P$34*'Combined Stress'!Y56+'Wind Loading'!$P$33*'Combined Stress'!Y57+'Wind Loading'!$P$32*'Combined Stress'!Y58+'Wind Loading'!$P$31*'Combined Stress'!Y59+'Wind Loading'!$P$30*'Combined Stress'!Y60+'Wind Loading'!$P$29*'Combined Stress'!Y61+'Wind Loading'!$P$28*'Combined Stress'!Y62+'Wind Loading'!$P$27*'Combined Stress'!Y63+'Wind Loading'!$P$26*'Combined Stress'!Y64+'Wind Loading'!$P$25*'Combined Stress'!Y65+'Wind Loading'!$P$24*'Combined Stress'!Y66+'Wind Loading'!$P$23*'Combined Stress'!Y67+'Wind Loading'!$P$22*'Combined Stress'!Y68+'Wind Loading'!$P$21*'Combined Stress'!Y69</f>
        <v>362877.85781741777</v>
      </c>
      <c r="AA21" s="60">
        <f>((Z21*'Alternative 3'!K22)/'Alternative 3'!L22)/1000000</f>
        <v>7.6469083866807122</v>
      </c>
      <c r="AB21" s="60">
        <f t="shared" si="4"/>
        <v>49</v>
      </c>
      <c r="AC21" s="14">
        <f>'Alternative 3'!$B$3+'Alternative 3'!$B$5+('Alternative 2'!$B$39*AB21)</f>
        <v>431451.63443959912</v>
      </c>
      <c r="AD21" s="60">
        <f>'Alternative 3'!M22</f>
        <v>2.3727118594267189</v>
      </c>
      <c r="AE21" s="60">
        <f t="shared" si="5"/>
        <v>0.18183903482652292</v>
      </c>
      <c r="AF21" s="60">
        <f t="shared" si="6"/>
        <v>7.8287474215072352</v>
      </c>
    </row>
    <row r="22" spans="1:32" ht="14.45" customHeight="1" x14ac:dyDescent="0.25">
      <c r="A22" s="13">
        <f>IF('Alternative 1'!F23&gt;0,'Alternative 1'!F23,"x")</f>
        <v>20</v>
      </c>
      <c r="B22" s="30">
        <f t="shared" si="7"/>
        <v>17.5</v>
      </c>
      <c r="C22" s="30">
        <f t="shared" si="8"/>
        <v>16.5</v>
      </c>
      <c r="D22" s="14">
        <f>'Dynamic Loading'!$I$3*'Combined Stress'!B22+'Wind Loading'!$F$69*C22+'Wind Loading'!$F$68*'Combined Stress'!C23+'Wind Loading'!$F$67*'Combined Stress'!C24+'Wind Loading'!$F$66*'Combined Stress'!C25+'Wind Loading'!$F$65*'Combined Stress'!C26+'Wind Loading'!$F$64*'Combined Stress'!C27+'Wind Loading'!$F$63*'Combined Stress'!C28+'Wind Loading'!$F$62*'Combined Stress'!C29+'Wind Loading'!$F$61*'Combined Stress'!C30+'Wind Loading'!$F$60*'Combined Stress'!C31+'Wind Loading'!$F$59*'Combined Stress'!C32+'Wind Loading'!$F$58*'Combined Stress'!C33+'Wind Loading'!$F$57*'Combined Stress'!C34+'Wind Loading'!$F$56*'Combined Stress'!C35+'Wind Loading'!$F$55*'Combined Stress'!C36+'Wind Loading'!$F$54*'Combined Stress'!C37+'Wind Loading'!$F$53*'Combined Stress'!C38+'Wind Loading'!$F$52*'Combined Stress'!C39+'Wind Loading'!$F$51*'Combined Stress'!C40+'Wind Loading'!$F$50*'Combined Stress'!C41+'Wind Loading'!$F$49*'Combined Stress'!C42+'Wind Loading'!$F$48*'Combined Stress'!C43+'Wind Loading'!$F$47*'Combined Stress'!C44+'Wind Loading'!$F$46*'Combined Stress'!C45+'Wind Loading'!$F$45*'Combined Stress'!C46+'Wind Loading'!$F$44*'Combined Stress'!C47+'Wind Loading'!$F$43*'Combined Stress'!C48+'Wind Loading'!$F$42*'Combined Stress'!C49+'Wind Loading'!$F$41*'Combined Stress'!C50+'Wind Loading'!$F$40*'Combined Stress'!C51+'Wind Loading'!$F$39*'Combined Stress'!C52+'Wind Loading'!$F$38*'Combined Stress'!C53+'Wind Loading'!$F$37*'Combined Stress'!C54+'Wind Loading'!$F$36*'Combined Stress'!C55+'Wind Loading'!$F$35*'Combined Stress'!C56+'Wind Loading'!$F$34*'Combined Stress'!C57+'Wind Loading'!$F$33*'Combined Stress'!C58+'Wind Loading'!$F$32*'Combined Stress'!C59+'Wind Loading'!$F$31*'Combined Stress'!C60+'Wind Loading'!$F$30*'Combined Stress'!C61+'Wind Loading'!$F$29*'Combined Stress'!C62+'Wind Loading'!$F$28*'Combined Stress'!C63+'Wind Loading'!$F$27*'Combined Stress'!C64+'Wind Loading'!$F$26*'Combined Stress'!C65+'Wind Loading'!$F$25*'Combined Stress'!C66+'Wind Loading'!$F$24*'Combined Stress'!C67+'Wind Loading'!$F$23*'Combined Stress'!C68+'Wind Loading'!$F$22*'Combined Stress'!C69</f>
        <v>343262.83847593574</v>
      </c>
      <c r="E22" s="14">
        <f>((D22*'Alternative 1'!K23)/'Alternative 1'!L23)/1000000</f>
        <v>7.4019920792965639</v>
      </c>
      <c r="F22" s="30">
        <f t="shared" si="9"/>
        <v>17</v>
      </c>
      <c r="G22" s="14">
        <f>IF(F22&gt;0,'Alternative 1'!$B$3+'Alternative 1'!$B$5+('Alternative 1'!$B$39*F22),0)</f>
        <v>159345.05077292211</v>
      </c>
      <c r="H22" s="14">
        <f>'Alternative 1'!M23</f>
        <v>2.3187215184152099</v>
      </c>
      <c r="I22" s="14">
        <f t="shared" si="0"/>
        <v>6.8721081642365844E-2</v>
      </c>
      <c r="J22" s="14">
        <f t="shared" si="1"/>
        <v>7.4707131609389297</v>
      </c>
      <c r="K22" s="286"/>
      <c r="L22" s="13">
        <f>IF('Alternative 2'!$F23&gt;0,'Alternative 2'!$F23,"x")</f>
        <v>20</v>
      </c>
      <c r="M22" s="30">
        <f t="shared" si="10"/>
        <v>17.5</v>
      </c>
      <c r="N22" s="30">
        <f t="shared" si="11"/>
        <v>16.5</v>
      </c>
      <c r="O22" s="14">
        <f>'Dynamic Loading'!$Q$3*'Combined Stress'!M22+'Wind Loading'!$K$69*N22+'Wind Loading'!$K$68*'Combined Stress'!N23+'Wind Loading'!$K$67*'Combined Stress'!N24+'Wind Loading'!$K$66*'Combined Stress'!N25+'Wind Loading'!$K$65*'Combined Stress'!N26+'Wind Loading'!$K$64*'Combined Stress'!N27+'Wind Loading'!$K$63*'Combined Stress'!N28+'Wind Loading'!$K$62*'Combined Stress'!N29+'Wind Loading'!$K$61*'Combined Stress'!N30+'Wind Loading'!$K$60*'Combined Stress'!N31+'Wind Loading'!$K$59*'Combined Stress'!N32+'Wind Loading'!$K$58*'Combined Stress'!N33+'Wind Loading'!$K$57*'Combined Stress'!N34+'Wind Loading'!$K$56*'Combined Stress'!N35+'Wind Loading'!$K$55*'Combined Stress'!N36+'Wind Loading'!$K$54*'Combined Stress'!N37+'Wind Loading'!$K$53*'Combined Stress'!N38+'Wind Loading'!$K$52*'Combined Stress'!N39+'Wind Loading'!$K$51*'Combined Stress'!N40+'Wind Loading'!$K$50*'Combined Stress'!N41+'Wind Loading'!$K$49*'Combined Stress'!N42+'Wind Loading'!$K$48*'Combined Stress'!N43+'Wind Loading'!$K$47*'Combined Stress'!N44+'Wind Loading'!$K$46*'Combined Stress'!N45+'Wind Loading'!$K$45*'Combined Stress'!N46+'Wind Loading'!$K$44*'Combined Stress'!N47+'Wind Loading'!$K$43*'Combined Stress'!N48+'Wind Loading'!$K$42*'Combined Stress'!N49+'Wind Loading'!$K$41*'Combined Stress'!N50+'Wind Loading'!$K$40*'Combined Stress'!N51+'Wind Loading'!$K$39*'Combined Stress'!N52+'Wind Loading'!$K$38*'Combined Stress'!N53+'Wind Loading'!$K$37*'Combined Stress'!N54+'Wind Loading'!$K$36*'Combined Stress'!N55+'Wind Loading'!$K$35*'Combined Stress'!N56+'Wind Loading'!$K$34*'Combined Stress'!N57+'Wind Loading'!$K$33*'Combined Stress'!N58+'Wind Loading'!$K$32*'Combined Stress'!N59+'Wind Loading'!$K$31*'Combined Stress'!N60+'Wind Loading'!$K$30*'Combined Stress'!N61+'Wind Loading'!$K$29*'Combined Stress'!N62+'Wind Loading'!$K$28*'Combined Stress'!N63+'Wind Loading'!$K$27*'Combined Stress'!N64+'Wind Loading'!$K$26*'Combined Stress'!N65+'Wind Loading'!$K$25*'Combined Stress'!N66+'Wind Loading'!$K$24*'Combined Stress'!N67+'Wind Loading'!$K$23*'Combined Stress'!N68+'Wind Loading'!$K$22*'Combined Stress'!N69</f>
        <v>343262.83847593574</v>
      </c>
      <c r="P22" s="14">
        <f>((O22*'Alternative 2'!K23)/'Alternative 2'!L23)/1000000</f>
        <v>7.4019920792965639</v>
      </c>
      <c r="Q22" s="30">
        <f t="shared" si="12"/>
        <v>17</v>
      </c>
      <c r="R22" s="14">
        <f>'Alternative 2'!$B$3+'Alternative 2'!$B$5+('Alternative 2'!$B$39*Q22)</f>
        <v>159345.05077292211</v>
      </c>
      <c r="S22" s="14">
        <f>'Alternative 2'!M23</f>
        <v>2.3187215184152099</v>
      </c>
      <c r="T22" s="14">
        <f t="shared" si="2"/>
        <v>6.8721081642365844E-2</v>
      </c>
      <c r="U22" s="284">
        <f t="shared" si="3"/>
        <v>7.4707131609389297</v>
      </c>
      <c r="V22" s="286"/>
      <c r="W22" s="153">
        <f>'Alternative 3'!F23</f>
        <v>20</v>
      </c>
      <c r="X22" s="59">
        <f t="shared" si="13"/>
        <v>17.5</v>
      </c>
      <c r="Y22" s="30">
        <f t="shared" si="14"/>
        <v>16.5</v>
      </c>
      <c r="Z22" s="60">
        <f>'Dynamic Loading'!$Y$3*'Combined Stress'!X22+'Wind Loading'!$P$69*Y22+'Wind Loading'!$P$68*'Combined Stress'!Y23+'Wind Loading'!$P$67*'Combined Stress'!Y24+'Wind Loading'!$P$66*'Combined Stress'!Y25+'Wind Loading'!$P$65*'Combined Stress'!Y26+'Wind Loading'!$P$64*'Combined Stress'!Y27+'Wind Loading'!$P$63*'Combined Stress'!Y28+'Wind Loading'!$P$62*'Combined Stress'!Y29+'Wind Loading'!$P$61*'Combined Stress'!Y30+'Wind Loading'!$P$60*'Combined Stress'!Y31+'Wind Loading'!$P$59*'Combined Stress'!Y32+'Wind Loading'!$P$58*'Combined Stress'!Y33+'Wind Loading'!$P$57*'Combined Stress'!Y34+'Wind Loading'!$P$56*'Combined Stress'!Y35+'Wind Loading'!$P$55*'Combined Stress'!Y36+'Wind Loading'!$P$54*'Combined Stress'!Y37+'Wind Loading'!$P$53*'Combined Stress'!Y38+'Wind Loading'!$P$52*'Combined Stress'!Y39+'Wind Loading'!$P$51*'Combined Stress'!Y40+'Wind Loading'!$P$50*'Combined Stress'!Y41+'Wind Loading'!$P$49*'Combined Stress'!Y42+'Wind Loading'!$P$48*'Combined Stress'!Y43+'Wind Loading'!$P$47*'Combined Stress'!Y44+'Wind Loading'!$P$46*'Combined Stress'!Y45+'Wind Loading'!$P$45*'Combined Stress'!Y46+'Wind Loading'!$P$44*'Combined Stress'!Y47+'Wind Loading'!$P$43*'Combined Stress'!Y48+'Wind Loading'!$P$42*'Combined Stress'!Y49+'Wind Loading'!$P$41*'Combined Stress'!Y50+'Wind Loading'!$P$40*'Combined Stress'!Y51+'Wind Loading'!$P$39*'Combined Stress'!Y52+'Wind Loading'!$P$38*'Combined Stress'!Y53+'Wind Loading'!$P$37*'Combined Stress'!Y54+'Wind Loading'!$P$36*'Combined Stress'!Y55+'Wind Loading'!$P$35*'Combined Stress'!Y56+'Wind Loading'!$P$34*'Combined Stress'!Y57+'Wind Loading'!$P$33*'Combined Stress'!Y58+'Wind Loading'!$P$32*'Combined Stress'!Y59+'Wind Loading'!$P$31*'Combined Stress'!Y60+'Wind Loading'!$P$30*'Combined Stress'!Y61+'Wind Loading'!$P$29*'Combined Stress'!Y62+'Wind Loading'!$P$28*'Combined Stress'!Y63+'Wind Loading'!$P$27*'Combined Stress'!Y64+'Wind Loading'!$P$26*'Combined Stress'!Y65+'Wind Loading'!$P$25*'Combined Stress'!Y66+'Wind Loading'!$P$24*'Combined Stress'!Y67+'Wind Loading'!$P$23*'Combined Stress'!Y68+'Wind Loading'!$P$22*'Combined Stress'!Y69</f>
        <v>343262.83847593574</v>
      </c>
      <c r="AA22" s="60">
        <f>((Z22*'Alternative 3'!K23)/'Alternative 3'!L23)/1000000</f>
        <v>7.4019920792965639</v>
      </c>
      <c r="AB22" s="60">
        <f t="shared" si="4"/>
        <v>48</v>
      </c>
      <c r="AC22" s="14">
        <f>'Alternative 3'!$B$3+'Alternative 3'!$B$5+('Alternative 2'!$B$39*AB22)</f>
        <v>422948.30370001547</v>
      </c>
      <c r="AD22" s="60">
        <f>'Alternative 3'!M23</f>
        <v>2.3187215184152099</v>
      </c>
      <c r="AE22" s="60">
        <f t="shared" si="5"/>
        <v>0.18240582163100399</v>
      </c>
      <c r="AF22" s="60">
        <f t="shared" si="6"/>
        <v>7.5843979009275682</v>
      </c>
    </row>
    <row r="23" spans="1:32" ht="14.45" customHeight="1" x14ac:dyDescent="0.25">
      <c r="A23" s="13">
        <f>IF('Alternative 1'!F24&gt;0,'Alternative 1'!F24,"x")</f>
        <v>21</v>
      </c>
      <c r="B23" s="30">
        <f t="shared" si="7"/>
        <v>16.5</v>
      </c>
      <c r="C23" s="30">
        <f t="shared" si="8"/>
        <v>15.5</v>
      </c>
      <c r="D23" s="14">
        <f>'Dynamic Loading'!$I$3*'Combined Stress'!B23+'Wind Loading'!$F$69*C23+'Wind Loading'!$F$68*'Combined Stress'!C24+'Wind Loading'!$F$67*'Combined Stress'!C25+'Wind Loading'!$F$66*'Combined Stress'!C26+'Wind Loading'!$F$65*'Combined Stress'!C27+'Wind Loading'!$F$64*'Combined Stress'!C28+'Wind Loading'!$F$63*'Combined Stress'!C29+'Wind Loading'!$F$62*'Combined Stress'!C30+'Wind Loading'!$F$61*'Combined Stress'!C31+'Wind Loading'!$F$60*'Combined Stress'!C32+'Wind Loading'!$F$59*'Combined Stress'!C33+'Wind Loading'!$F$58*'Combined Stress'!C34+'Wind Loading'!$F$57*'Combined Stress'!C35+'Wind Loading'!$F$56*'Combined Stress'!C36+'Wind Loading'!$F$55*'Combined Stress'!C37+'Wind Loading'!$F$54*'Combined Stress'!C38+'Wind Loading'!$F$53*'Combined Stress'!C39+'Wind Loading'!$F$52*'Combined Stress'!C40+'Wind Loading'!$F$51*'Combined Stress'!C41+'Wind Loading'!$F$50*'Combined Stress'!C42+'Wind Loading'!$F$49*'Combined Stress'!C43+'Wind Loading'!$F$48*'Combined Stress'!C44+'Wind Loading'!$F$47*'Combined Stress'!C45+'Wind Loading'!$F$46*'Combined Stress'!C46+'Wind Loading'!$F$45*'Combined Stress'!C47+'Wind Loading'!$F$44*'Combined Stress'!C48+'Wind Loading'!$F$43*'Combined Stress'!C49+'Wind Loading'!$F$42*'Combined Stress'!C50+'Wind Loading'!$F$41*'Combined Stress'!C51+'Wind Loading'!$F$40*'Combined Stress'!C52+'Wind Loading'!$F$39*'Combined Stress'!C53+'Wind Loading'!$F$38*'Combined Stress'!C54+'Wind Loading'!$F$37*'Combined Stress'!C55+'Wind Loading'!$F$36*'Combined Stress'!C56+'Wind Loading'!$F$35*'Combined Stress'!C57+'Wind Loading'!$F$34*'Combined Stress'!C58+'Wind Loading'!$F$33*'Combined Stress'!C59+'Wind Loading'!$F$32*'Combined Stress'!C60+'Wind Loading'!$F$31*'Combined Stress'!C61+'Wind Loading'!$F$30*'Combined Stress'!C62+'Wind Loading'!$F$29*'Combined Stress'!C63+'Wind Loading'!$F$28*'Combined Stress'!C64+'Wind Loading'!$F$27*'Combined Stress'!C65+'Wind Loading'!$F$26*'Combined Stress'!C66+'Wind Loading'!$F$25*'Combined Stress'!C67+'Wind Loading'!$F$24*'Combined Stress'!C68+'Wind Loading'!$F$23*'Combined Stress'!C69</f>
        <v>323647.81913445372</v>
      </c>
      <c r="E23" s="14">
        <f>((D23*'Alternative 1'!K24)/'Alternative 1'!L24)/1000000</f>
        <v>7.1434384566390188</v>
      </c>
      <c r="F23" s="30">
        <f t="shared" si="9"/>
        <v>16</v>
      </c>
      <c r="G23" s="14">
        <f>IF(F23&gt;0,'Alternative 1'!$B$3+'Alternative 1'!$B$5+('Alternative 1'!$B$39*F23),0)</f>
        <v>150841.72003333847</v>
      </c>
      <c r="H23" s="14">
        <f>'Alternative 1'!M24</f>
        <v>2.2653525340784717</v>
      </c>
      <c r="I23" s="14">
        <f t="shared" si="0"/>
        <v>6.6586422097300507E-2</v>
      </c>
      <c r="J23" s="14">
        <f t="shared" si="1"/>
        <v>7.210024878736319</v>
      </c>
      <c r="K23" s="286"/>
      <c r="L23" s="13">
        <f>IF('Alternative 2'!$F24&gt;0,'Alternative 2'!$F24,"x")</f>
        <v>21</v>
      </c>
      <c r="M23" s="30">
        <f t="shared" si="10"/>
        <v>16.5</v>
      </c>
      <c r="N23" s="30">
        <f t="shared" si="11"/>
        <v>15.5</v>
      </c>
      <c r="O23" s="14">
        <f>'Dynamic Loading'!$Q$3*'Combined Stress'!M23+'Wind Loading'!$K$69*N23+'Wind Loading'!$K$68*'Combined Stress'!N24+'Wind Loading'!$K$67*'Combined Stress'!N25+'Wind Loading'!$K$66*'Combined Stress'!N26+'Wind Loading'!$K$65*'Combined Stress'!N27+'Wind Loading'!$K$64*'Combined Stress'!N28+'Wind Loading'!$K$63*'Combined Stress'!N29+'Wind Loading'!$K$62*'Combined Stress'!N30+'Wind Loading'!$K$61*'Combined Stress'!N31+'Wind Loading'!$K$60*'Combined Stress'!N32+'Wind Loading'!$K$59*'Combined Stress'!N33+'Wind Loading'!$K$58*'Combined Stress'!N34+'Wind Loading'!$K$57*'Combined Stress'!N35+'Wind Loading'!$K$56*'Combined Stress'!N36+'Wind Loading'!$K$55*'Combined Stress'!N37+'Wind Loading'!$K$54*'Combined Stress'!N38+'Wind Loading'!$K$53*'Combined Stress'!N39+'Wind Loading'!$K$52*'Combined Stress'!N40+'Wind Loading'!$K$51*'Combined Stress'!N41+'Wind Loading'!$K$50*'Combined Stress'!N42+'Wind Loading'!$K$49*'Combined Stress'!N43+'Wind Loading'!$K$48*'Combined Stress'!N44+'Wind Loading'!$K$47*'Combined Stress'!N45+'Wind Loading'!$K$46*'Combined Stress'!N46+'Wind Loading'!$K$45*'Combined Stress'!N47+'Wind Loading'!$K$44*'Combined Stress'!N48+'Wind Loading'!$K$43*'Combined Stress'!N49+'Wind Loading'!$K$42*'Combined Stress'!N50+'Wind Loading'!$K$41*'Combined Stress'!N51+'Wind Loading'!$K$40*'Combined Stress'!N52+'Wind Loading'!$K$39*'Combined Stress'!N53+'Wind Loading'!$K$38*'Combined Stress'!N54+'Wind Loading'!$K$37*'Combined Stress'!N55+'Wind Loading'!$K$36*'Combined Stress'!N56+'Wind Loading'!$K$35*'Combined Stress'!N57+'Wind Loading'!$K$34*'Combined Stress'!N58+'Wind Loading'!$K$33*'Combined Stress'!N59+'Wind Loading'!$K$32*'Combined Stress'!N60+'Wind Loading'!$K$31*'Combined Stress'!N61+'Wind Loading'!$K$30*'Combined Stress'!N62+'Wind Loading'!$K$29*'Combined Stress'!N63+'Wind Loading'!$K$28*'Combined Stress'!N64+'Wind Loading'!$K$27*'Combined Stress'!N65+'Wind Loading'!$K$26*'Combined Stress'!N66+'Wind Loading'!$K$25*'Combined Stress'!N67+'Wind Loading'!$K$24*'Combined Stress'!N68+'Wind Loading'!$K$23*'Combined Stress'!N69</f>
        <v>323647.81913445372</v>
      </c>
      <c r="P23" s="14">
        <f>((O23*'Alternative 2'!K24)/'Alternative 2'!L24)/1000000</f>
        <v>7.1434384566390188</v>
      </c>
      <c r="Q23" s="30">
        <f t="shared" si="12"/>
        <v>16</v>
      </c>
      <c r="R23" s="14">
        <f>'Alternative 2'!$B$3+'Alternative 2'!$B$5+('Alternative 2'!$B$39*Q23)</f>
        <v>150841.72003333847</v>
      </c>
      <c r="S23" s="14">
        <f>'Alternative 2'!M24</f>
        <v>2.2653525340784717</v>
      </c>
      <c r="T23" s="14">
        <f t="shared" si="2"/>
        <v>6.6586422097300507E-2</v>
      </c>
      <c r="U23" s="284">
        <f t="shared" si="3"/>
        <v>7.210024878736319</v>
      </c>
      <c r="V23" s="286"/>
      <c r="W23" s="153">
        <f>'Alternative 3'!F24</f>
        <v>21</v>
      </c>
      <c r="X23" s="59">
        <f t="shared" si="13"/>
        <v>16.5</v>
      </c>
      <c r="Y23" s="30">
        <f t="shared" si="14"/>
        <v>15.5</v>
      </c>
      <c r="Z23" s="60">
        <f>'Dynamic Loading'!$Y$3*'Combined Stress'!X23+'Wind Loading'!$P$69*Y23+'Wind Loading'!$P$68*'Combined Stress'!Y24+'Wind Loading'!$P$67*'Combined Stress'!Y25+'Wind Loading'!$P$66*'Combined Stress'!Y26+'Wind Loading'!$P$65*'Combined Stress'!Y27+'Wind Loading'!$P$64*'Combined Stress'!Y28+'Wind Loading'!$P$63*'Combined Stress'!Y29+'Wind Loading'!$P$62*'Combined Stress'!Y30+'Wind Loading'!$P$61*'Combined Stress'!Y31+'Wind Loading'!$P$60*'Combined Stress'!Y32+'Wind Loading'!$P$59*'Combined Stress'!Y33+'Wind Loading'!$P$58*'Combined Stress'!Y34+'Wind Loading'!$P$57*'Combined Stress'!Y35+'Wind Loading'!$P$56*'Combined Stress'!Y36+'Wind Loading'!$P$55*'Combined Stress'!Y37+'Wind Loading'!$P$54*'Combined Stress'!Y38+'Wind Loading'!$P$53*'Combined Stress'!Y39+'Wind Loading'!$P$52*'Combined Stress'!Y40+'Wind Loading'!$P$51*'Combined Stress'!Y41+'Wind Loading'!$P$50*'Combined Stress'!Y42+'Wind Loading'!$P$49*'Combined Stress'!Y43+'Wind Loading'!$P$48*'Combined Stress'!Y44+'Wind Loading'!$P$47*'Combined Stress'!Y45+'Wind Loading'!$P$46*'Combined Stress'!Y46+'Wind Loading'!$P$45*'Combined Stress'!Y47+'Wind Loading'!$P$44*'Combined Stress'!Y48+'Wind Loading'!$P$43*'Combined Stress'!Y49+'Wind Loading'!$P$42*'Combined Stress'!Y50+'Wind Loading'!$P$41*'Combined Stress'!Y51+'Wind Loading'!$P$40*'Combined Stress'!Y52+'Wind Loading'!$P$39*'Combined Stress'!Y53+'Wind Loading'!$P$38*'Combined Stress'!Y54+'Wind Loading'!$P$37*'Combined Stress'!Y55+'Wind Loading'!$P$36*'Combined Stress'!Y56+'Wind Loading'!$P$35*'Combined Stress'!Y57+'Wind Loading'!$P$34*'Combined Stress'!Y58+'Wind Loading'!$P$33*'Combined Stress'!Y59+'Wind Loading'!$P$32*'Combined Stress'!Y60+'Wind Loading'!$P$31*'Combined Stress'!Y61+'Wind Loading'!$P$30*'Combined Stress'!Y62+'Wind Loading'!$P$29*'Combined Stress'!Y63+'Wind Loading'!$P$28*'Combined Stress'!Y64+'Wind Loading'!$P$27*'Combined Stress'!Y65+'Wind Loading'!$P$26*'Combined Stress'!Y66+'Wind Loading'!$P$25*'Combined Stress'!Y67+'Wind Loading'!$P$24*'Combined Stress'!Y68+'Wind Loading'!$P$23*'Combined Stress'!Y69</f>
        <v>323647.81913445372</v>
      </c>
      <c r="AA23" s="60">
        <f>((Z23*'Alternative 3'!K24)/'Alternative 3'!L24)/1000000</f>
        <v>7.1434384566390188</v>
      </c>
      <c r="AB23" s="60">
        <f t="shared" si="4"/>
        <v>47</v>
      </c>
      <c r="AC23" s="14">
        <f>'Alternative 3'!$B$3+'Alternative 3'!$B$5+('Alternative 2'!$B$39*AB23)</f>
        <v>414444.97296043177</v>
      </c>
      <c r="AD23" s="60">
        <f>'Alternative 3'!M24</f>
        <v>2.2653525340784717</v>
      </c>
      <c r="AE23" s="60">
        <f t="shared" si="5"/>
        <v>0.18294943799068558</v>
      </c>
      <c r="AF23" s="60">
        <f t="shared" si="6"/>
        <v>7.3263878946297041</v>
      </c>
    </row>
    <row r="24" spans="1:32" x14ac:dyDescent="0.25">
      <c r="A24" s="13">
        <f>IF('Alternative 1'!F25&gt;0,'Alternative 1'!F25,"x")</f>
        <v>22</v>
      </c>
      <c r="B24" s="30">
        <f t="shared" si="7"/>
        <v>15.5</v>
      </c>
      <c r="C24" s="30">
        <f t="shared" si="8"/>
        <v>14.5</v>
      </c>
      <c r="D24" s="14">
        <f>'Dynamic Loading'!$I$3*'Combined Stress'!B24+'Wind Loading'!$F$69*C24+'Wind Loading'!$F$68*'Combined Stress'!C25+'Wind Loading'!$F$67*'Combined Stress'!C26+'Wind Loading'!$F$66*'Combined Stress'!C27+'Wind Loading'!$F$65*'Combined Stress'!C28+'Wind Loading'!$F$64*'Combined Stress'!C29+'Wind Loading'!$F$63*'Combined Stress'!C30+'Wind Loading'!$F$62*'Combined Stress'!C31+'Wind Loading'!$F$61*'Combined Stress'!C32+'Wind Loading'!$F$60*'Combined Stress'!C33+'Wind Loading'!$F$59*'Combined Stress'!C34+'Wind Loading'!$F$58*'Combined Stress'!C35+'Wind Loading'!$F$57*'Combined Stress'!C36+'Wind Loading'!$F$56*'Combined Stress'!C37+'Wind Loading'!$F$55*'Combined Stress'!C38+'Wind Loading'!$F$54*'Combined Stress'!C39+'Wind Loading'!$F$53*'Combined Stress'!C40+'Wind Loading'!$F$52*'Combined Stress'!C41+'Wind Loading'!$F$51*'Combined Stress'!C42+'Wind Loading'!$F$50*'Combined Stress'!C43+'Wind Loading'!$F$49*'Combined Stress'!C44+'Wind Loading'!$F$48*'Combined Stress'!C45+'Wind Loading'!$F$47*'Combined Stress'!C46+'Wind Loading'!$F$46*'Combined Stress'!C47+'Wind Loading'!$F$45*'Combined Stress'!C48+'Wind Loading'!$F$44*'Combined Stress'!C49+'Wind Loading'!$F$43*'Combined Stress'!C50+'Wind Loading'!$F$42*'Combined Stress'!C51+'Wind Loading'!$F$41*'Combined Stress'!C52+'Wind Loading'!$F$40*'Combined Stress'!C53+'Wind Loading'!$F$39*'Combined Stress'!C54+'Wind Loading'!$F$38*'Combined Stress'!C55+'Wind Loading'!$F$37*'Combined Stress'!C56+'Wind Loading'!$F$36*'Combined Stress'!C57+'Wind Loading'!$F$35*'Combined Stress'!C58+'Wind Loading'!$F$34*'Combined Stress'!C59+'Wind Loading'!$F$33*'Combined Stress'!C60+'Wind Loading'!$F$32*'Combined Stress'!C61+'Wind Loading'!$F$31*'Combined Stress'!C62+'Wind Loading'!$F$30*'Combined Stress'!C63+'Wind Loading'!$F$29*'Combined Stress'!C64+'Wind Loading'!$F$28*'Combined Stress'!C65+'Wind Loading'!$F$27*'Combined Stress'!C66+'Wind Loading'!$F$26*'Combined Stress'!C67+'Wind Loading'!$F$25*'Combined Stress'!C68+'Wind Loading'!$F$24*'Combined Stress'!C69</f>
        <v>304032.79979297164</v>
      </c>
      <c r="E24" s="14">
        <f>((D24*'Alternative 1'!K25)/'Alternative 1'!L25)/1000000</f>
        <v>6.8704785305651539</v>
      </c>
      <c r="F24" s="30">
        <f t="shared" si="9"/>
        <v>15</v>
      </c>
      <c r="G24" s="14">
        <f>IF(F24&gt;0,'Alternative 1'!$B$3+'Alternative 1'!$B$5+('Alternative 1'!$B$39*F24),0)</f>
        <v>142338.38929375482</v>
      </c>
      <c r="H24" s="14">
        <f>'Alternative 1'!M25</f>
        <v>2.2126049064165061</v>
      </c>
      <c r="I24" s="14">
        <f t="shared" si="0"/>
        <v>6.4330685013386971E-2</v>
      </c>
      <c r="J24" s="14">
        <f t="shared" si="1"/>
        <v>6.9348092155785412</v>
      </c>
      <c r="K24" s="286"/>
      <c r="L24" s="13">
        <f>IF('Alternative 2'!$F25&gt;0,'Alternative 2'!$F25,"x")</f>
        <v>22</v>
      </c>
      <c r="M24" s="30">
        <f t="shared" si="10"/>
        <v>15.5</v>
      </c>
      <c r="N24" s="30">
        <f t="shared" si="11"/>
        <v>14.5</v>
      </c>
      <c r="O24" s="14">
        <f>'Dynamic Loading'!$Q$3*'Combined Stress'!M24+'Wind Loading'!$K$69*N24+'Wind Loading'!$K$68*'Combined Stress'!N25+'Wind Loading'!$K$67*'Combined Stress'!N26+'Wind Loading'!$K$66*'Combined Stress'!N27+'Wind Loading'!$K$65*'Combined Stress'!N28+'Wind Loading'!$K$64*'Combined Stress'!N29+'Wind Loading'!$K$63*'Combined Stress'!N30+'Wind Loading'!$K$62*'Combined Stress'!N31+'Wind Loading'!$K$61*'Combined Stress'!N32+'Wind Loading'!$K$60*'Combined Stress'!N33+'Wind Loading'!$K$59*'Combined Stress'!N34+'Wind Loading'!$K$58*'Combined Stress'!N35+'Wind Loading'!$K$57*'Combined Stress'!N36+'Wind Loading'!$K$56*'Combined Stress'!N37+'Wind Loading'!$K$55*'Combined Stress'!N38+'Wind Loading'!$K$54*'Combined Stress'!N39+'Wind Loading'!$K$53*'Combined Stress'!N40+'Wind Loading'!$K$52*'Combined Stress'!N41+'Wind Loading'!$K$51*'Combined Stress'!N42+'Wind Loading'!$K$50*'Combined Stress'!N43+'Wind Loading'!$K$49*'Combined Stress'!N44+'Wind Loading'!$K$48*'Combined Stress'!N45+'Wind Loading'!$K$47*'Combined Stress'!N46+'Wind Loading'!$K$46*'Combined Stress'!N47+'Wind Loading'!$K$45*'Combined Stress'!N48+'Wind Loading'!$K$44*'Combined Stress'!N49+'Wind Loading'!$K$43*'Combined Stress'!N50+'Wind Loading'!$K$42*'Combined Stress'!N51+'Wind Loading'!$K$41*'Combined Stress'!N52+'Wind Loading'!$K$40*'Combined Stress'!N53+'Wind Loading'!$K$39*'Combined Stress'!N54+'Wind Loading'!$K$38*'Combined Stress'!N55+'Wind Loading'!$K$37*'Combined Stress'!N56+'Wind Loading'!$K$36*'Combined Stress'!N57+'Wind Loading'!$K$35*'Combined Stress'!N58+'Wind Loading'!$K$34*'Combined Stress'!N59+'Wind Loading'!$K$33*'Combined Stress'!N60+'Wind Loading'!$K$32*'Combined Stress'!N61+'Wind Loading'!$K$31*'Combined Stress'!N62+'Wind Loading'!$K$30*'Combined Stress'!N63+'Wind Loading'!$K$29*'Combined Stress'!N64+'Wind Loading'!$K$28*'Combined Stress'!N65+'Wind Loading'!$K$27*'Combined Stress'!N66+'Wind Loading'!$K$26*'Combined Stress'!N67+'Wind Loading'!$K$25*'Combined Stress'!N68+'Wind Loading'!$K$24*'Combined Stress'!N69</f>
        <v>304032.79979297164</v>
      </c>
      <c r="P24" s="14">
        <f>((O24*'Alternative 2'!K25)/'Alternative 2'!L25)/1000000</f>
        <v>6.8704785305651539</v>
      </c>
      <c r="Q24" s="30">
        <f t="shared" si="12"/>
        <v>15</v>
      </c>
      <c r="R24" s="14">
        <f>'Alternative 2'!$B$3+'Alternative 2'!$B$5+('Alternative 2'!$B$39*Q24)</f>
        <v>142338.38929375482</v>
      </c>
      <c r="S24" s="14">
        <f>'Alternative 2'!M25</f>
        <v>2.2126049064165061</v>
      </c>
      <c r="T24" s="14">
        <f t="shared" si="2"/>
        <v>6.4330685013386971E-2</v>
      </c>
      <c r="U24" s="284">
        <f t="shared" si="3"/>
        <v>6.9348092155785412</v>
      </c>
      <c r="V24" s="286"/>
      <c r="W24" s="153">
        <f>'Alternative 3'!F25</f>
        <v>22</v>
      </c>
      <c r="X24" s="59">
        <f t="shared" si="13"/>
        <v>15.5</v>
      </c>
      <c r="Y24" s="30">
        <f t="shared" si="14"/>
        <v>14.5</v>
      </c>
      <c r="Z24" s="60">
        <f>'Dynamic Loading'!$Y$3*'Combined Stress'!X24+'Wind Loading'!$P$69*Y24+'Wind Loading'!$P$68*'Combined Stress'!Y25+'Wind Loading'!$P$67*'Combined Stress'!Y26+'Wind Loading'!$P$66*'Combined Stress'!Y27+'Wind Loading'!$P$65*'Combined Stress'!Y28+'Wind Loading'!$P$64*'Combined Stress'!Y29+'Wind Loading'!$P$63*'Combined Stress'!Y30+'Wind Loading'!$P$62*'Combined Stress'!Y31+'Wind Loading'!$P$61*'Combined Stress'!Y32+'Wind Loading'!$P$60*'Combined Stress'!Y33+'Wind Loading'!$P$59*'Combined Stress'!Y34+'Wind Loading'!$P$58*'Combined Stress'!Y35+'Wind Loading'!$P$57*'Combined Stress'!Y36+'Wind Loading'!$P$56*'Combined Stress'!Y37+'Wind Loading'!$P$55*'Combined Stress'!Y38+'Wind Loading'!$P$54*'Combined Stress'!Y39+'Wind Loading'!$P$53*'Combined Stress'!Y40+'Wind Loading'!$P$52*'Combined Stress'!Y41+'Wind Loading'!$P$51*'Combined Stress'!Y42+'Wind Loading'!$P$50*'Combined Stress'!Y43+'Wind Loading'!$P$49*'Combined Stress'!Y44+'Wind Loading'!$P$48*'Combined Stress'!Y45+'Wind Loading'!$P$47*'Combined Stress'!Y46+'Wind Loading'!$P$46*'Combined Stress'!Y47+'Wind Loading'!$P$45*'Combined Stress'!Y48+'Wind Loading'!$P$44*'Combined Stress'!Y49+'Wind Loading'!$P$43*'Combined Stress'!Y50+'Wind Loading'!$P$42*'Combined Stress'!Y51+'Wind Loading'!$P$41*'Combined Stress'!Y52+'Wind Loading'!$P$40*'Combined Stress'!Y53+'Wind Loading'!$P$39*'Combined Stress'!Y54+'Wind Loading'!$P$38*'Combined Stress'!Y55+'Wind Loading'!$P$37*'Combined Stress'!Y56+'Wind Loading'!$P$36*'Combined Stress'!Y57+'Wind Loading'!$P$35*'Combined Stress'!Y58+'Wind Loading'!$P$34*'Combined Stress'!Y59+'Wind Loading'!$P$33*'Combined Stress'!Y60+'Wind Loading'!$P$32*'Combined Stress'!Y61+'Wind Loading'!$P$31*'Combined Stress'!Y62+'Wind Loading'!$P$30*'Combined Stress'!Y63+'Wind Loading'!$P$29*'Combined Stress'!Y64+'Wind Loading'!$P$28*'Combined Stress'!Y65+'Wind Loading'!$P$27*'Combined Stress'!Y66+'Wind Loading'!$P$26*'Combined Stress'!Y67+'Wind Loading'!$P$25*'Combined Stress'!Y68+'Wind Loading'!$P$24*'Combined Stress'!Y69</f>
        <v>304032.79979297164</v>
      </c>
      <c r="AA24" s="60">
        <f>((Z24*'Alternative 3'!K25)/'Alternative 3'!L25)/1000000</f>
        <v>6.8704785305651539</v>
      </c>
      <c r="AB24" s="60">
        <f t="shared" si="4"/>
        <v>46</v>
      </c>
      <c r="AC24" s="14">
        <f>'Alternative 3'!$B$3+'Alternative 3'!$B$5+('Alternative 2'!$B$39*AB24)</f>
        <v>405941.64222084812</v>
      </c>
      <c r="AD24" s="60">
        <f>'Alternative 3'!M25</f>
        <v>2.2126049064165061</v>
      </c>
      <c r="AE24" s="60">
        <f t="shared" si="5"/>
        <v>0.18346774927761669</v>
      </c>
      <c r="AF24" s="60">
        <f t="shared" si="6"/>
        <v>7.053946279842771</v>
      </c>
    </row>
    <row r="25" spans="1:32" x14ac:dyDescent="0.25">
      <c r="A25" s="13">
        <f>IF('Alternative 1'!F26&gt;0,'Alternative 1'!F26,"x")</f>
        <v>23</v>
      </c>
      <c r="B25" s="30">
        <f t="shared" si="7"/>
        <v>14.5</v>
      </c>
      <c r="C25" s="30">
        <f t="shared" si="8"/>
        <v>13.5</v>
      </c>
      <c r="D25" s="14">
        <f>'Dynamic Loading'!$I$3*'Combined Stress'!B25+'Wind Loading'!$F$69*C25+'Wind Loading'!$F$68*'Combined Stress'!C26+'Wind Loading'!$F$67*'Combined Stress'!C27+'Wind Loading'!$F$66*'Combined Stress'!C28+'Wind Loading'!$F$65*'Combined Stress'!C29+'Wind Loading'!$F$64*'Combined Stress'!C30+'Wind Loading'!$F$63*'Combined Stress'!C31+'Wind Loading'!$F$62*'Combined Stress'!C32+'Wind Loading'!$F$61*'Combined Stress'!C33+'Wind Loading'!$F$60*'Combined Stress'!C34+'Wind Loading'!$F$59*'Combined Stress'!C35+'Wind Loading'!$F$58*'Combined Stress'!C36+'Wind Loading'!$F$57*'Combined Stress'!C37+'Wind Loading'!$F$56*'Combined Stress'!C38+'Wind Loading'!$F$55*'Combined Stress'!C39+'Wind Loading'!$F$54*'Combined Stress'!C40+'Wind Loading'!$F$53*'Combined Stress'!C41+'Wind Loading'!$F$52*'Combined Stress'!C42+'Wind Loading'!$F$51*'Combined Stress'!C43+'Wind Loading'!$F$50*'Combined Stress'!C44+'Wind Loading'!$F$49*'Combined Stress'!C45+'Wind Loading'!$F$48*'Combined Stress'!C46+'Wind Loading'!$F$47*'Combined Stress'!C47+'Wind Loading'!$F$46*'Combined Stress'!C48+'Wind Loading'!$F$45*'Combined Stress'!C49+'Wind Loading'!$F$44*'Combined Stress'!C50+'Wind Loading'!$F$43*'Combined Stress'!C51+'Wind Loading'!$F$42*'Combined Stress'!C52+'Wind Loading'!$F$41*'Combined Stress'!C53+'Wind Loading'!$F$40*'Combined Stress'!C54+'Wind Loading'!$F$39*'Combined Stress'!C55+'Wind Loading'!$F$38*'Combined Stress'!C56+'Wind Loading'!$F$37*'Combined Stress'!C57+'Wind Loading'!$F$36*'Combined Stress'!C58+'Wind Loading'!$F$35*'Combined Stress'!C59+'Wind Loading'!$F$34*'Combined Stress'!C60+'Wind Loading'!$F$33*'Combined Stress'!C61+'Wind Loading'!$F$32*'Combined Stress'!C62+'Wind Loading'!$F$31*'Combined Stress'!C63+'Wind Loading'!$F$30*'Combined Stress'!C64+'Wind Loading'!$F$29*'Combined Stress'!C65+'Wind Loading'!$F$28*'Combined Stress'!C66+'Wind Loading'!$F$27*'Combined Stress'!C67+'Wind Loading'!$F$26*'Combined Stress'!C68+'Wind Loading'!$F$25*'Combined Stress'!C69</f>
        <v>284417.78045148961</v>
      </c>
      <c r="E25" s="14">
        <f>((D25*'Alternative 1'!K26)/'Alternative 1'!L26)/1000000</f>
        <v>6.5822926315162542</v>
      </c>
      <c r="F25" s="30">
        <f t="shared" si="9"/>
        <v>14</v>
      </c>
      <c r="G25" s="14">
        <f>IF(F25&gt;0,'Alternative 1'!$B$3+'Alternative 1'!$B$5+('Alternative 1'!$B$39*F25),0)</f>
        <v>133835.05855417118</v>
      </c>
      <c r="H25" s="14">
        <f>'Alternative 1'!M26</f>
        <v>2.1604786354293113</v>
      </c>
      <c r="I25" s="14">
        <f t="shared" si="0"/>
        <v>6.1946948402744395E-2</v>
      </c>
      <c r="J25" s="14">
        <f t="shared" si="1"/>
        <v>6.6442395799189988</v>
      </c>
      <c r="K25" s="286"/>
      <c r="L25" s="13">
        <f>IF('Alternative 2'!$F26&gt;0,'Alternative 2'!$F26,"x")</f>
        <v>23</v>
      </c>
      <c r="M25" s="30">
        <f t="shared" si="10"/>
        <v>14.5</v>
      </c>
      <c r="N25" s="30">
        <f t="shared" si="11"/>
        <v>13.5</v>
      </c>
      <c r="O25" s="14">
        <f>'Dynamic Loading'!$Q$3*'Combined Stress'!M25+'Wind Loading'!$K$69*N25+'Wind Loading'!$K$68*'Combined Stress'!N26+'Wind Loading'!$K$67*'Combined Stress'!N27+'Wind Loading'!$K$66*'Combined Stress'!N28+'Wind Loading'!$K$65*'Combined Stress'!N29+'Wind Loading'!$K$64*'Combined Stress'!N30+'Wind Loading'!$K$63*'Combined Stress'!N31+'Wind Loading'!$K$62*'Combined Stress'!N32+'Wind Loading'!$K$61*'Combined Stress'!N33+'Wind Loading'!$K$60*'Combined Stress'!N34+'Wind Loading'!$K$59*'Combined Stress'!N35+'Wind Loading'!$K$58*'Combined Stress'!N36+'Wind Loading'!$K$57*'Combined Stress'!N37+'Wind Loading'!$K$56*'Combined Stress'!N38+'Wind Loading'!$K$55*'Combined Stress'!N39+'Wind Loading'!$K$54*'Combined Stress'!N40+'Wind Loading'!$K$53*'Combined Stress'!N41+'Wind Loading'!$K$52*'Combined Stress'!N42+'Wind Loading'!$K$51*'Combined Stress'!N43+'Wind Loading'!$K$50*'Combined Stress'!N44+'Wind Loading'!$K$49*'Combined Stress'!N45+'Wind Loading'!$K$48*'Combined Stress'!N46+'Wind Loading'!$K$47*'Combined Stress'!N47+'Wind Loading'!$K$46*'Combined Stress'!N48+'Wind Loading'!$K$45*'Combined Stress'!N49+'Wind Loading'!$K$44*'Combined Stress'!N50+'Wind Loading'!$K$43*'Combined Stress'!N51+'Wind Loading'!$K$42*'Combined Stress'!N52+'Wind Loading'!$K$41*'Combined Stress'!N53+'Wind Loading'!$K$40*'Combined Stress'!N54+'Wind Loading'!$K$39*'Combined Stress'!N55+'Wind Loading'!$K$38*'Combined Stress'!N56+'Wind Loading'!$K$37*'Combined Stress'!N57+'Wind Loading'!$K$36*'Combined Stress'!N58+'Wind Loading'!$K$35*'Combined Stress'!N59+'Wind Loading'!$K$34*'Combined Stress'!N60+'Wind Loading'!$K$33*'Combined Stress'!N61+'Wind Loading'!$K$32*'Combined Stress'!N62+'Wind Loading'!$K$31*'Combined Stress'!N63+'Wind Loading'!$K$30*'Combined Stress'!N64+'Wind Loading'!$K$29*'Combined Stress'!N65+'Wind Loading'!$K$28*'Combined Stress'!N66+'Wind Loading'!$K$27*'Combined Stress'!N67+'Wind Loading'!$K$26*'Combined Stress'!N68+'Wind Loading'!$K$25*'Combined Stress'!N69</f>
        <v>284417.78045148961</v>
      </c>
      <c r="P25" s="14">
        <f>((O25*'Alternative 2'!K26)/'Alternative 2'!L26)/1000000</f>
        <v>6.5822926315162542</v>
      </c>
      <c r="Q25" s="30">
        <f t="shared" si="12"/>
        <v>14</v>
      </c>
      <c r="R25" s="14">
        <f>'Alternative 2'!$B$3+'Alternative 2'!$B$5+('Alternative 2'!$B$39*Q25)</f>
        <v>133835.05855417118</v>
      </c>
      <c r="S25" s="14">
        <f>'Alternative 2'!M26</f>
        <v>2.1604786354293113</v>
      </c>
      <c r="T25" s="14">
        <f t="shared" si="2"/>
        <v>6.1946948402744395E-2</v>
      </c>
      <c r="U25" s="284">
        <f t="shared" si="3"/>
        <v>6.6442395799189988</v>
      </c>
      <c r="V25" s="286"/>
      <c r="W25" s="153">
        <f>'Alternative 3'!F26</f>
        <v>23</v>
      </c>
      <c r="X25" s="59">
        <f t="shared" si="13"/>
        <v>14.5</v>
      </c>
      <c r="Y25" s="30">
        <f t="shared" si="14"/>
        <v>13.5</v>
      </c>
      <c r="Z25" s="60">
        <f>'Dynamic Loading'!$Y$3*'Combined Stress'!X25+'Wind Loading'!$P$69*Y25+'Wind Loading'!$P$68*'Combined Stress'!Y26+'Wind Loading'!$P$67*'Combined Stress'!Y27+'Wind Loading'!$P$66*'Combined Stress'!Y28+'Wind Loading'!$P$65*'Combined Stress'!Y29+'Wind Loading'!$P$64*'Combined Stress'!Y30+'Wind Loading'!$P$63*'Combined Stress'!Y31+'Wind Loading'!$P$62*'Combined Stress'!Y32+'Wind Loading'!$P$61*'Combined Stress'!Y33+'Wind Loading'!$P$60*'Combined Stress'!Y34+'Wind Loading'!$P$59*'Combined Stress'!Y35+'Wind Loading'!$P$58*'Combined Stress'!Y36+'Wind Loading'!$P$57*'Combined Stress'!Y37+'Wind Loading'!$P$56*'Combined Stress'!Y38+'Wind Loading'!$P$55*'Combined Stress'!Y39+'Wind Loading'!$P$54*'Combined Stress'!Y40+'Wind Loading'!$P$53*'Combined Stress'!Y41+'Wind Loading'!$P$52*'Combined Stress'!Y42+'Wind Loading'!$P$51*'Combined Stress'!Y43+'Wind Loading'!$P$50*'Combined Stress'!Y44+'Wind Loading'!$P$49*'Combined Stress'!Y45+'Wind Loading'!$P$48*'Combined Stress'!Y46+'Wind Loading'!$P$47*'Combined Stress'!Y47+'Wind Loading'!$P$46*'Combined Stress'!Y48+'Wind Loading'!$P$45*'Combined Stress'!Y49+'Wind Loading'!$P$44*'Combined Stress'!Y50+'Wind Loading'!$P$43*'Combined Stress'!Y51+'Wind Loading'!$P$42*'Combined Stress'!Y52+'Wind Loading'!$P$41*'Combined Stress'!Y53+'Wind Loading'!$P$40*'Combined Stress'!Y54+'Wind Loading'!$P$39*'Combined Stress'!Y55+'Wind Loading'!$P$38*'Combined Stress'!Y56+'Wind Loading'!$P$37*'Combined Stress'!Y57+'Wind Loading'!$P$36*'Combined Stress'!Y58+'Wind Loading'!$P$35*'Combined Stress'!Y59+'Wind Loading'!$P$34*'Combined Stress'!Y60+'Wind Loading'!$P$33*'Combined Stress'!Y61+'Wind Loading'!$P$32*'Combined Stress'!Y62+'Wind Loading'!$P$31*'Combined Stress'!Y63+'Wind Loading'!$P$30*'Combined Stress'!Y64+'Wind Loading'!$P$29*'Combined Stress'!Y65+'Wind Loading'!$P$28*'Combined Stress'!Y66+'Wind Loading'!$P$27*'Combined Stress'!Y67+'Wind Loading'!$P$26*'Combined Stress'!Y68+'Wind Loading'!$P$25*'Combined Stress'!Y69</f>
        <v>284417.78045148961</v>
      </c>
      <c r="AA25" s="60">
        <f>((Z25*'Alternative 3'!K26)/'Alternative 3'!L26)/1000000</f>
        <v>6.5822926315162542</v>
      </c>
      <c r="AB25" s="60">
        <f t="shared" si="4"/>
        <v>45</v>
      </c>
      <c r="AC25" s="14">
        <f>'Alternative 3'!$B$3+'Alternative 3'!$B$5+('Alternative 2'!$B$39*AB25)</f>
        <v>397438.31148126448</v>
      </c>
      <c r="AD25" s="60">
        <f>'Alternative 3'!M26</f>
        <v>2.1604786354293113</v>
      </c>
      <c r="AE25" s="60">
        <f t="shared" si="5"/>
        <v>0.18395845483669365</v>
      </c>
      <c r="AF25" s="60">
        <f t="shared" si="6"/>
        <v>6.7662510863529475</v>
      </c>
    </row>
    <row r="26" spans="1:32" x14ac:dyDescent="0.25">
      <c r="A26" s="13">
        <f>IF('Alternative 1'!F27&gt;0,'Alternative 1'!F27,"x")</f>
        <v>24</v>
      </c>
      <c r="B26" s="30">
        <f t="shared" si="7"/>
        <v>13.5</v>
      </c>
      <c r="C26" s="30">
        <f t="shared" si="8"/>
        <v>12.5</v>
      </c>
      <c r="D26" s="14">
        <f>'Dynamic Loading'!$I$3*'Combined Stress'!B26+'Wind Loading'!$F$69*C26+'Wind Loading'!$F$68*'Combined Stress'!C27+'Wind Loading'!$F$67*'Combined Stress'!C28+'Wind Loading'!$F$66*'Combined Stress'!C29+'Wind Loading'!$F$65*'Combined Stress'!C30+'Wind Loading'!$F$64*'Combined Stress'!C31+'Wind Loading'!$F$63*'Combined Stress'!C32+'Wind Loading'!$F$62*'Combined Stress'!C33+'Wind Loading'!$F$61*'Combined Stress'!C34+'Wind Loading'!$F$60*'Combined Stress'!C35+'Wind Loading'!$F$59*'Combined Stress'!C36+'Wind Loading'!$F$58*'Combined Stress'!C37+'Wind Loading'!$F$57*'Combined Stress'!C38+'Wind Loading'!$F$56*'Combined Stress'!C39+'Wind Loading'!$F$55*'Combined Stress'!C40+'Wind Loading'!$F$54*'Combined Stress'!C41+'Wind Loading'!$F$53*'Combined Stress'!C42+'Wind Loading'!$F$52*'Combined Stress'!C43+'Wind Loading'!$F$51*'Combined Stress'!C44+'Wind Loading'!$F$50*'Combined Stress'!C45+'Wind Loading'!$F$49*'Combined Stress'!C46+'Wind Loading'!$F$48*'Combined Stress'!C47+'Wind Loading'!$F$47*'Combined Stress'!C48+'Wind Loading'!$F$46*'Combined Stress'!C49+'Wind Loading'!$F$45*'Combined Stress'!C50+'Wind Loading'!$F$44*'Combined Stress'!C51+'Wind Loading'!$F$43*'Combined Stress'!C52+'Wind Loading'!$F$42*'Combined Stress'!C53+'Wind Loading'!$F$41*'Combined Stress'!C54+'Wind Loading'!$F$40*'Combined Stress'!C55+'Wind Loading'!$F$39*'Combined Stress'!C56+'Wind Loading'!$F$38*'Combined Stress'!C57+'Wind Loading'!$F$37*'Combined Stress'!C58+'Wind Loading'!$F$36*'Combined Stress'!C59+'Wind Loading'!$F$35*'Combined Stress'!C60+'Wind Loading'!$F$34*'Combined Stress'!C61+'Wind Loading'!$F$33*'Combined Stress'!C62+'Wind Loading'!$F$32*'Combined Stress'!C63+'Wind Loading'!$F$31*'Combined Stress'!C64+'Wind Loading'!$F$30*'Combined Stress'!C65+'Wind Loading'!$F$29*'Combined Stress'!C66+'Wind Loading'!$F$28*'Combined Stress'!C67+'Wind Loading'!$F$27*'Combined Stress'!C68+'Wind Loading'!$F$26*'Combined Stress'!C69</f>
        <v>264802.76111000759</v>
      </c>
      <c r="E26" s="14">
        <f>((D26*'Alternative 1'!K27)/'Alternative 1'!L27)/1000000</f>
        <v>6.2780064854955775</v>
      </c>
      <c r="F26" s="30">
        <f t="shared" si="9"/>
        <v>13</v>
      </c>
      <c r="G26" s="14">
        <f>IF(F26&gt;0,'Alternative 1'!$B$3+'Alternative 1'!$B$5+('Alternative 1'!$B$39*F26),0)</f>
        <v>125331.7278145875</v>
      </c>
      <c r="H26" s="14">
        <f>'Alternative 1'!M27</f>
        <v>2.1089737211168891</v>
      </c>
      <c r="I26" s="14">
        <f t="shared" si="0"/>
        <v>5.9427828123061299E-2</v>
      </c>
      <c r="J26" s="14">
        <f t="shared" si="1"/>
        <v>6.3374343136186386</v>
      </c>
      <c r="K26" s="286"/>
      <c r="L26" s="13">
        <f>IF('Alternative 2'!$F27&gt;0,'Alternative 2'!$F27,"x")</f>
        <v>24</v>
      </c>
      <c r="M26" s="30">
        <f t="shared" si="10"/>
        <v>13.5</v>
      </c>
      <c r="N26" s="30">
        <f t="shared" si="11"/>
        <v>12.5</v>
      </c>
      <c r="O26" s="14">
        <f>'Dynamic Loading'!$Q$3*'Combined Stress'!M26+'Wind Loading'!$K$69*N26+'Wind Loading'!$K$68*'Combined Stress'!N27+'Wind Loading'!$K$67*'Combined Stress'!N28+'Wind Loading'!$K$66*'Combined Stress'!N29+'Wind Loading'!$K$65*'Combined Stress'!N30+'Wind Loading'!$K$64*'Combined Stress'!N31+'Wind Loading'!$K$63*'Combined Stress'!N32+'Wind Loading'!$K$62*'Combined Stress'!N33+'Wind Loading'!$K$61*'Combined Stress'!N34+'Wind Loading'!$K$60*'Combined Stress'!N35+'Wind Loading'!$K$59*'Combined Stress'!N36+'Wind Loading'!$K$58*'Combined Stress'!N37+'Wind Loading'!$K$57*'Combined Stress'!N38+'Wind Loading'!$K$56*'Combined Stress'!N39+'Wind Loading'!$K$55*'Combined Stress'!N40+'Wind Loading'!$K$54*'Combined Stress'!N41+'Wind Loading'!$K$53*'Combined Stress'!N42+'Wind Loading'!$K$52*'Combined Stress'!N43+'Wind Loading'!$K$51*'Combined Stress'!N44+'Wind Loading'!$K$50*'Combined Stress'!N45+'Wind Loading'!$K$49*'Combined Stress'!N46+'Wind Loading'!$K$48*'Combined Stress'!N47+'Wind Loading'!$K$47*'Combined Stress'!N48+'Wind Loading'!$K$46*'Combined Stress'!N49+'Wind Loading'!$K$45*'Combined Stress'!N50+'Wind Loading'!$K$44*'Combined Stress'!N51+'Wind Loading'!$K$43*'Combined Stress'!N52+'Wind Loading'!$K$42*'Combined Stress'!N53+'Wind Loading'!$K$41*'Combined Stress'!N54+'Wind Loading'!$K$40*'Combined Stress'!N55+'Wind Loading'!$K$39*'Combined Stress'!N56+'Wind Loading'!$K$38*'Combined Stress'!N57+'Wind Loading'!$K$37*'Combined Stress'!N58+'Wind Loading'!$K$36*'Combined Stress'!N59+'Wind Loading'!$K$35*'Combined Stress'!N60+'Wind Loading'!$K$34*'Combined Stress'!N61+'Wind Loading'!$K$33*'Combined Stress'!N62+'Wind Loading'!$K$32*'Combined Stress'!N63+'Wind Loading'!$K$31*'Combined Stress'!N64+'Wind Loading'!$K$30*'Combined Stress'!N65+'Wind Loading'!$K$29*'Combined Stress'!N66+'Wind Loading'!$K$28*'Combined Stress'!N67+'Wind Loading'!$K$27*'Combined Stress'!N68+'Wind Loading'!$K$26*'Combined Stress'!N69</f>
        <v>264802.76111000759</v>
      </c>
      <c r="P26" s="14">
        <f>((O26*'Alternative 2'!K27)/'Alternative 2'!L27)/1000000</f>
        <v>6.2780064854955775</v>
      </c>
      <c r="Q26" s="30">
        <f t="shared" si="12"/>
        <v>13</v>
      </c>
      <c r="R26" s="14">
        <f>'Alternative 2'!$B$3+'Alternative 2'!$B$5+('Alternative 2'!$B$39*Q26)</f>
        <v>125331.7278145875</v>
      </c>
      <c r="S26" s="14">
        <f>'Alternative 2'!M27</f>
        <v>2.1089737211168891</v>
      </c>
      <c r="T26" s="14">
        <f t="shared" si="2"/>
        <v>5.9427828123061299E-2</v>
      </c>
      <c r="U26" s="284">
        <f t="shared" si="3"/>
        <v>6.3374343136186386</v>
      </c>
      <c r="V26" s="286"/>
      <c r="W26" s="153">
        <f>'Alternative 3'!F27</f>
        <v>24</v>
      </c>
      <c r="X26" s="59">
        <f t="shared" si="13"/>
        <v>13.5</v>
      </c>
      <c r="Y26" s="30">
        <f t="shared" si="14"/>
        <v>12.5</v>
      </c>
      <c r="Z26" s="60">
        <f>'Dynamic Loading'!$Y$3*'Combined Stress'!X26+'Wind Loading'!$P$69*Y26+'Wind Loading'!$P$68*'Combined Stress'!Y27+'Wind Loading'!$P$67*'Combined Stress'!Y28+'Wind Loading'!$P$66*'Combined Stress'!Y29+'Wind Loading'!$P$65*'Combined Stress'!Y30+'Wind Loading'!$P$64*'Combined Stress'!Y31+'Wind Loading'!$P$63*'Combined Stress'!Y32+'Wind Loading'!$P$62*'Combined Stress'!Y33+'Wind Loading'!$P$61*'Combined Stress'!Y34+'Wind Loading'!$P$60*'Combined Stress'!Y35+'Wind Loading'!$P$59*'Combined Stress'!Y36+'Wind Loading'!$P$58*'Combined Stress'!Y37+'Wind Loading'!$P$57*'Combined Stress'!Y38+'Wind Loading'!$P$56*'Combined Stress'!Y39+'Wind Loading'!$P$55*'Combined Stress'!Y40+'Wind Loading'!$P$54*'Combined Stress'!Y41+'Wind Loading'!$P$53*'Combined Stress'!Y42+'Wind Loading'!$P$52*'Combined Stress'!Y43+'Wind Loading'!$P$51*'Combined Stress'!Y44+'Wind Loading'!$P$50*'Combined Stress'!Y45+'Wind Loading'!$P$49*'Combined Stress'!Y46+'Wind Loading'!$P$48*'Combined Stress'!Y47+'Wind Loading'!$P$47*'Combined Stress'!Y48+'Wind Loading'!$P$46*'Combined Stress'!Y49+'Wind Loading'!$P$45*'Combined Stress'!Y50+'Wind Loading'!$P$44*'Combined Stress'!Y51+'Wind Loading'!$P$43*'Combined Stress'!Y52+'Wind Loading'!$P$42*'Combined Stress'!Y53+'Wind Loading'!$P$41*'Combined Stress'!Y54+'Wind Loading'!$P$40*'Combined Stress'!Y55+'Wind Loading'!$P$39*'Combined Stress'!Y56+'Wind Loading'!$P$38*'Combined Stress'!Y57+'Wind Loading'!$P$37*'Combined Stress'!Y58+'Wind Loading'!$P$36*'Combined Stress'!Y59+'Wind Loading'!$P$35*'Combined Stress'!Y60+'Wind Loading'!$P$34*'Combined Stress'!Y61+'Wind Loading'!$P$33*'Combined Stress'!Y62+'Wind Loading'!$P$32*'Combined Stress'!Y63+'Wind Loading'!$P$31*'Combined Stress'!Y64+'Wind Loading'!$P$30*'Combined Stress'!Y65+'Wind Loading'!$P$29*'Combined Stress'!Y66+'Wind Loading'!$P$28*'Combined Stress'!Y67+'Wind Loading'!$P$27*'Combined Stress'!Y68+'Wind Loading'!$P$26*'Combined Stress'!Y69</f>
        <v>264802.76111000759</v>
      </c>
      <c r="AA26" s="60">
        <f>((Z26*'Alternative 3'!K27)/'Alternative 3'!L27)/1000000</f>
        <v>6.2780064854955775</v>
      </c>
      <c r="AB26" s="60">
        <f t="shared" si="4"/>
        <v>44</v>
      </c>
      <c r="AC26" s="14">
        <f>'Alternative 3'!$B$3+'Alternative 3'!$B$5+('Alternative 2'!$B$39*AB26)</f>
        <v>388934.98074168083</v>
      </c>
      <c r="AD26" s="60">
        <f>'Alternative 3'!M27</f>
        <v>2.1089737211168891</v>
      </c>
      <c r="AE26" s="60">
        <f t="shared" si="5"/>
        <v>0.18441907400140822</v>
      </c>
      <c r="AF26" s="60">
        <f t="shared" si="6"/>
        <v>6.4624255594969853</v>
      </c>
    </row>
    <row r="27" spans="1:32" x14ac:dyDescent="0.25">
      <c r="A27" s="13">
        <f>IF('Alternative 1'!F28&gt;0,'Alternative 1'!F28,"x")</f>
        <v>25</v>
      </c>
      <c r="B27" s="30">
        <f t="shared" si="7"/>
        <v>12.5</v>
      </c>
      <c r="C27" s="30">
        <f t="shared" si="8"/>
        <v>11.5</v>
      </c>
      <c r="D27" s="14">
        <f>'Dynamic Loading'!$I$3*'Combined Stress'!B27+'Wind Loading'!$F$69*C27+'Wind Loading'!$F$68*'Combined Stress'!C28+'Wind Loading'!$F$67*'Combined Stress'!C29+'Wind Loading'!$F$66*'Combined Stress'!C30+'Wind Loading'!$F$65*'Combined Stress'!C31+'Wind Loading'!$F$64*'Combined Stress'!C32+'Wind Loading'!$F$63*'Combined Stress'!C33+'Wind Loading'!$F$62*'Combined Stress'!C34+'Wind Loading'!$F$61*'Combined Stress'!C35+'Wind Loading'!$F$60*'Combined Stress'!C36+'Wind Loading'!$F$59*'Combined Stress'!C37+'Wind Loading'!$F$58*'Combined Stress'!C38+'Wind Loading'!$F$57*'Combined Stress'!C39+'Wind Loading'!$F$56*'Combined Stress'!C40+'Wind Loading'!$F$55*'Combined Stress'!C41+'Wind Loading'!$F$54*'Combined Stress'!C42+'Wind Loading'!$F$53*'Combined Stress'!C43+'Wind Loading'!$F$52*'Combined Stress'!C44+'Wind Loading'!$F$51*'Combined Stress'!C45+'Wind Loading'!$F$50*'Combined Stress'!C46+'Wind Loading'!$F$49*'Combined Stress'!C47+'Wind Loading'!$F$48*'Combined Stress'!C48+'Wind Loading'!$F$47*'Combined Stress'!C49+'Wind Loading'!$F$46*'Combined Stress'!C50+'Wind Loading'!$F$45*'Combined Stress'!C51+'Wind Loading'!$F$44*'Combined Stress'!C52+'Wind Loading'!$F$43*'Combined Stress'!C53+'Wind Loading'!$F$42*'Combined Stress'!C54+'Wind Loading'!$F$41*'Combined Stress'!C55+'Wind Loading'!$F$40*'Combined Stress'!C56+'Wind Loading'!$F$39*'Combined Stress'!C57+'Wind Loading'!$F$38*'Combined Stress'!C58+'Wind Loading'!$F$37*'Combined Stress'!C59+'Wind Loading'!$F$36*'Combined Stress'!C60+'Wind Loading'!$F$35*'Combined Stress'!C61+'Wind Loading'!$F$34*'Combined Stress'!C62+'Wind Loading'!$F$33*'Combined Stress'!C63+'Wind Loading'!$F$32*'Combined Stress'!C64+'Wind Loading'!$F$31*'Combined Stress'!C65+'Wind Loading'!$F$30*'Combined Stress'!C66+'Wind Loading'!$F$29*'Combined Stress'!C67+'Wind Loading'!$F$28*'Combined Stress'!C68+'Wind Loading'!$F$27*'Combined Stress'!C69</f>
        <v>245187.74176852554</v>
      </c>
      <c r="E27" s="14">
        <f>((D27*'Alternative 1'!K28)/'Alternative 1'!L28)/1000000</f>
        <v>5.9566869386148573</v>
      </c>
      <c r="F27" s="30">
        <f t="shared" si="9"/>
        <v>12</v>
      </c>
      <c r="G27" s="14">
        <f>IF(F27&gt;0,'Alternative 1'!$B$3+'Alternative 1'!$B$5+('Alternative 1'!$B$39*F27),0)</f>
        <v>116828.39707500386</v>
      </c>
      <c r="H27" s="14">
        <f>'Alternative 1'!M28</f>
        <v>2.0580901634792381</v>
      </c>
      <c r="I27" s="14">
        <f t="shared" si="0"/>
        <v>5.6765441644939102E-2</v>
      </c>
      <c r="J27" s="14">
        <f t="shared" si="1"/>
        <v>6.0134523802597961</v>
      </c>
      <c r="K27" s="286"/>
      <c r="L27" s="13">
        <f>IF('Alternative 2'!$F28&gt;0,'Alternative 2'!$F28,"x")</f>
        <v>25</v>
      </c>
      <c r="M27" s="30">
        <f t="shared" si="10"/>
        <v>12.5</v>
      </c>
      <c r="N27" s="30">
        <f t="shared" si="11"/>
        <v>11.5</v>
      </c>
      <c r="O27" s="14">
        <f>'Dynamic Loading'!$Q$3*'Combined Stress'!M27+'Wind Loading'!$K$69*N27+'Wind Loading'!$K$68*'Combined Stress'!N28+'Wind Loading'!$K$67*'Combined Stress'!N29+'Wind Loading'!$K$66*'Combined Stress'!N30+'Wind Loading'!$K$65*'Combined Stress'!N31+'Wind Loading'!$K$64*'Combined Stress'!N32+'Wind Loading'!$K$63*'Combined Stress'!N33+'Wind Loading'!$K$62*'Combined Stress'!N34+'Wind Loading'!$K$61*'Combined Stress'!N35+'Wind Loading'!$K$60*'Combined Stress'!N36+'Wind Loading'!$K$59*'Combined Stress'!N37+'Wind Loading'!$K$58*'Combined Stress'!N38+'Wind Loading'!$K$57*'Combined Stress'!N39+'Wind Loading'!$K$56*'Combined Stress'!N40+'Wind Loading'!$K$55*'Combined Stress'!N41+'Wind Loading'!$K$54*'Combined Stress'!N42+'Wind Loading'!$K$53*'Combined Stress'!N43+'Wind Loading'!$K$52*'Combined Stress'!N44+'Wind Loading'!$K$51*'Combined Stress'!N45+'Wind Loading'!$K$50*'Combined Stress'!N46+'Wind Loading'!$K$49*'Combined Stress'!N47+'Wind Loading'!$K$48*'Combined Stress'!N48+'Wind Loading'!$K$47*'Combined Stress'!N49+'Wind Loading'!$K$46*'Combined Stress'!N50+'Wind Loading'!$K$45*'Combined Stress'!N51+'Wind Loading'!$K$44*'Combined Stress'!N52+'Wind Loading'!$K$43*'Combined Stress'!N53+'Wind Loading'!$K$42*'Combined Stress'!N54+'Wind Loading'!$K$41*'Combined Stress'!N55+'Wind Loading'!$K$40*'Combined Stress'!N56+'Wind Loading'!$K$39*'Combined Stress'!N57+'Wind Loading'!$K$38*'Combined Stress'!N58+'Wind Loading'!$K$37*'Combined Stress'!N59+'Wind Loading'!$K$36*'Combined Stress'!N60+'Wind Loading'!$K$35*'Combined Stress'!N61+'Wind Loading'!$K$34*'Combined Stress'!N62+'Wind Loading'!$K$33*'Combined Stress'!N63+'Wind Loading'!$K$32*'Combined Stress'!N64+'Wind Loading'!$K$31*'Combined Stress'!N65+'Wind Loading'!$K$30*'Combined Stress'!N66+'Wind Loading'!$K$29*'Combined Stress'!N67+'Wind Loading'!$K$28*'Combined Stress'!N68+'Wind Loading'!$K$27*'Combined Stress'!N69</f>
        <v>245187.74176852554</v>
      </c>
      <c r="P27" s="14">
        <f>((O27*'Alternative 2'!K28)/'Alternative 2'!L28)/1000000</f>
        <v>5.9566869386148573</v>
      </c>
      <c r="Q27" s="30">
        <f t="shared" si="12"/>
        <v>12</v>
      </c>
      <c r="R27" s="14">
        <f>'Alternative 2'!$B$3+'Alternative 2'!$B$5+('Alternative 2'!$B$39*Q27)</f>
        <v>116828.39707500386</v>
      </c>
      <c r="S27" s="14">
        <f>'Alternative 2'!M28</f>
        <v>2.0580901634792381</v>
      </c>
      <c r="T27" s="14">
        <f t="shared" si="2"/>
        <v>5.6765441644939102E-2</v>
      </c>
      <c r="U27" s="284">
        <f t="shared" si="3"/>
        <v>6.0134523802597961</v>
      </c>
      <c r="V27" s="286"/>
      <c r="W27" s="153">
        <f>'Alternative 3'!F28</f>
        <v>25</v>
      </c>
      <c r="X27" s="59">
        <f t="shared" si="13"/>
        <v>12.5</v>
      </c>
      <c r="Y27" s="30">
        <f t="shared" si="14"/>
        <v>11.5</v>
      </c>
      <c r="Z27" s="60">
        <f>'Dynamic Loading'!$Y$3*'Combined Stress'!X27+'Wind Loading'!$P$69*Y27+'Wind Loading'!$P$68*'Combined Stress'!Y28+'Wind Loading'!$P$67*'Combined Stress'!Y29+'Wind Loading'!$P$66*'Combined Stress'!Y30+'Wind Loading'!$P$65*'Combined Stress'!Y31+'Wind Loading'!$P$64*'Combined Stress'!Y32+'Wind Loading'!$P$63*'Combined Stress'!Y33+'Wind Loading'!$P$62*'Combined Stress'!Y34+'Wind Loading'!$P$61*'Combined Stress'!Y35+'Wind Loading'!$P$60*'Combined Stress'!Y36+'Wind Loading'!$P$59*'Combined Stress'!Y37+'Wind Loading'!$P$58*'Combined Stress'!Y38+'Wind Loading'!$P$57*'Combined Stress'!Y39+'Wind Loading'!$P$56*'Combined Stress'!Y40+'Wind Loading'!$P$55*'Combined Stress'!Y41+'Wind Loading'!$P$54*'Combined Stress'!Y42+'Wind Loading'!$P$53*'Combined Stress'!Y43+'Wind Loading'!$P$52*'Combined Stress'!Y44+'Wind Loading'!$P$51*'Combined Stress'!Y45+'Wind Loading'!$P$50*'Combined Stress'!Y46+'Wind Loading'!$P$49*'Combined Stress'!Y47+'Wind Loading'!$P$48*'Combined Stress'!Y48+'Wind Loading'!$P$47*'Combined Stress'!Y49+'Wind Loading'!$P$46*'Combined Stress'!Y50+'Wind Loading'!$P$45*'Combined Stress'!Y51+'Wind Loading'!$P$44*'Combined Stress'!Y52+'Wind Loading'!$P$43*'Combined Stress'!Y53+'Wind Loading'!$P$42*'Combined Stress'!Y54+'Wind Loading'!$P$41*'Combined Stress'!Y55+'Wind Loading'!$P$40*'Combined Stress'!Y56+'Wind Loading'!$P$39*'Combined Stress'!Y57+'Wind Loading'!$P$38*'Combined Stress'!Y58+'Wind Loading'!$P$37*'Combined Stress'!Y59+'Wind Loading'!$P$36*'Combined Stress'!Y60+'Wind Loading'!$P$35*'Combined Stress'!Y61+'Wind Loading'!$P$34*'Combined Stress'!Y62+'Wind Loading'!$P$33*'Combined Stress'!Y63+'Wind Loading'!$P$32*'Combined Stress'!Y64+'Wind Loading'!$P$31*'Combined Stress'!Y65+'Wind Loading'!$P$30*'Combined Stress'!Y66+'Wind Loading'!$P$29*'Combined Stress'!Y67+'Wind Loading'!$P$28*'Combined Stress'!Y68+'Wind Loading'!$P$27*'Combined Stress'!Y69</f>
        <v>245187.74176852554</v>
      </c>
      <c r="AA27" s="60">
        <f>((Z27*'Alternative 3'!K28)/'Alternative 3'!L28)/1000000</f>
        <v>5.9566869386148573</v>
      </c>
      <c r="AB27" s="60">
        <f t="shared" si="4"/>
        <v>43</v>
      </c>
      <c r="AC27" s="14">
        <f>'Alternative 3'!$B$3+'Alternative 3'!$B$5+('Alternative 2'!$B$39*AB27)</f>
        <v>380431.65000209719</v>
      </c>
      <c r="AD27" s="60">
        <f>'Alternative 3'!M28</f>
        <v>2.0580901634792381</v>
      </c>
      <c r="AE27" s="60">
        <f t="shared" si="5"/>
        <v>0.18484693078702186</v>
      </c>
      <c r="AF27" s="60">
        <f t="shared" si="6"/>
        <v>6.1415338694018793</v>
      </c>
    </row>
    <row r="28" spans="1:32" x14ac:dyDescent="0.25">
      <c r="A28" s="13">
        <f>IF('Alternative 1'!F29&gt;0,'Alternative 1'!F29,"x")</f>
        <v>26</v>
      </c>
      <c r="B28" s="30">
        <f t="shared" si="7"/>
        <v>11.5</v>
      </c>
      <c r="C28" s="30">
        <f t="shared" si="8"/>
        <v>10.5</v>
      </c>
      <c r="D28" s="14">
        <f>'Dynamic Loading'!$I$3*'Combined Stress'!B28+'Wind Loading'!$F$69*C28+'Wind Loading'!$F$68*'Combined Stress'!C29+'Wind Loading'!$F$67*'Combined Stress'!C30+'Wind Loading'!$F$66*'Combined Stress'!C31+'Wind Loading'!$F$65*'Combined Stress'!C32+'Wind Loading'!$F$64*'Combined Stress'!C33+'Wind Loading'!$F$63*'Combined Stress'!C34+'Wind Loading'!$F$62*'Combined Stress'!C35+'Wind Loading'!$F$61*'Combined Stress'!C36+'Wind Loading'!$F$60*'Combined Stress'!C37+'Wind Loading'!$F$59*'Combined Stress'!C38+'Wind Loading'!$F$58*'Combined Stress'!C39+'Wind Loading'!$F$57*'Combined Stress'!C40+'Wind Loading'!$F$56*'Combined Stress'!C41+'Wind Loading'!$F$55*'Combined Stress'!C42+'Wind Loading'!$F$54*'Combined Stress'!C43+'Wind Loading'!$F$53*'Combined Stress'!C44+'Wind Loading'!$F$52*'Combined Stress'!C45+'Wind Loading'!$F$51*'Combined Stress'!C46+'Wind Loading'!$F$50*'Combined Stress'!C47+'Wind Loading'!$F$49*'Combined Stress'!C48+'Wind Loading'!$F$48*'Combined Stress'!C49+'Wind Loading'!$F$47*'Combined Stress'!C50+'Wind Loading'!$F$46*'Combined Stress'!C51+'Wind Loading'!$F$45*'Combined Stress'!C52+'Wind Loading'!$F$44*'Combined Stress'!C53+'Wind Loading'!$F$43*'Combined Stress'!C54+'Wind Loading'!$F$42*'Combined Stress'!C55+'Wind Loading'!$F$41*'Combined Stress'!C56+'Wind Loading'!$F$40*'Combined Stress'!C57+'Wind Loading'!$F$39*'Combined Stress'!C58+'Wind Loading'!$F$38*'Combined Stress'!C59+'Wind Loading'!$F$37*'Combined Stress'!C60+'Wind Loading'!$F$36*'Combined Stress'!C61+'Wind Loading'!$F$35*'Combined Stress'!C62+'Wind Loading'!$F$34*'Combined Stress'!C63+'Wind Loading'!$F$33*'Combined Stress'!C64+'Wind Loading'!$F$32*'Combined Stress'!C65+'Wind Loading'!$F$31*'Combined Stress'!C66+'Wind Loading'!$F$30*'Combined Stress'!C67+'Wind Loading'!$F$29*'Combined Stress'!C68+'Wind Loading'!$F$28*'Combined Stress'!C69</f>
        <v>225572.72242704348</v>
      </c>
      <c r="E28" s="14">
        <f>((D28*'Alternative 1'!K29)/'Alternative 1'!L29)/1000000</f>
        <v>5.6173372929472407</v>
      </c>
      <c r="F28" s="30">
        <f t="shared" si="9"/>
        <v>11</v>
      </c>
      <c r="G28" s="14">
        <f>IF(F28&gt;0,'Alternative 1'!$B$3+'Alternative 1'!$B$5+('Alternative 1'!$B$39*F28),0)</f>
        <v>108325.0663354202</v>
      </c>
      <c r="H28" s="14">
        <f>'Alternative 1'!M29</f>
        <v>2.007827962516358</v>
      </c>
      <c r="I28" s="14">
        <f t="shared" si="0"/>
        <v>5.3951368522460082E-2</v>
      </c>
      <c r="J28" s="14">
        <f t="shared" si="1"/>
        <v>5.6712886614697009</v>
      </c>
      <c r="K28" s="286"/>
      <c r="L28" s="13">
        <f>IF('Alternative 2'!$F29&gt;0,'Alternative 2'!$F29,"x")</f>
        <v>26</v>
      </c>
      <c r="M28" s="30">
        <f t="shared" si="10"/>
        <v>11.5</v>
      </c>
      <c r="N28" s="30">
        <f t="shared" si="11"/>
        <v>10.5</v>
      </c>
      <c r="O28" s="14">
        <f>'Dynamic Loading'!$Q$3*'Combined Stress'!M28+'Wind Loading'!$K$69*N28+'Wind Loading'!$K$68*'Combined Stress'!N29+'Wind Loading'!$K$67*'Combined Stress'!N30+'Wind Loading'!$K$66*'Combined Stress'!N31+'Wind Loading'!$K$65*'Combined Stress'!N32+'Wind Loading'!$K$64*'Combined Stress'!N33+'Wind Loading'!$K$63*'Combined Stress'!N34+'Wind Loading'!$K$62*'Combined Stress'!N35+'Wind Loading'!$K$61*'Combined Stress'!N36+'Wind Loading'!$K$60*'Combined Stress'!N37+'Wind Loading'!$K$59*'Combined Stress'!N38+'Wind Loading'!$K$58*'Combined Stress'!N39+'Wind Loading'!$K$57*'Combined Stress'!N40+'Wind Loading'!$K$56*'Combined Stress'!N41+'Wind Loading'!$K$55*'Combined Stress'!N42+'Wind Loading'!$K$54*'Combined Stress'!N43+'Wind Loading'!$K$53*'Combined Stress'!N44+'Wind Loading'!$K$52*'Combined Stress'!N45+'Wind Loading'!$K$51*'Combined Stress'!N46+'Wind Loading'!$K$50*'Combined Stress'!N47+'Wind Loading'!$K$49*'Combined Stress'!N48+'Wind Loading'!$K$48*'Combined Stress'!N49+'Wind Loading'!$K$47*'Combined Stress'!N50+'Wind Loading'!$K$46*'Combined Stress'!N51+'Wind Loading'!$K$45*'Combined Stress'!N52+'Wind Loading'!$K$44*'Combined Stress'!N53+'Wind Loading'!$K$43*'Combined Stress'!N54+'Wind Loading'!$K$42*'Combined Stress'!N55+'Wind Loading'!$K$41*'Combined Stress'!N56+'Wind Loading'!$K$40*'Combined Stress'!N57+'Wind Loading'!$K$39*'Combined Stress'!N58+'Wind Loading'!$K$38*'Combined Stress'!N59+'Wind Loading'!$K$37*'Combined Stress'!N60+'Wind Loading'!$K$36*'Combined Stress'!N61+'Wind Loading'!$K$35*'Combined Stress'!N62+'Wind Loading'!$K$34*'Combined Stress'!N63+'Wind Loading'!$K$33*'Combined Stress'!N64+'Wind Loading'!$K$32*'Combined Stress'!N65+'Wind Loading'!$K$31*'Combined Stress'!N66+'Wind Loading'!$K$30*'Combined Stress'!N67+'Wind Loading'!$K$29*'Combined Stress'!N68+'Wind Loading'!$K$28*'Combined Stress'!N69</f>
        <v>225572.72242704348</v>
      </c>
      <c r="P28" s="14">
        <f>((O28*'Alternative 2'!K29)/'Alternative 2'!L29)/1000000</f>
        <v>5.6173372929472407</v>
      </c>
      <c r="Q28" s="30">
        <f t="shared" si="12"/>
        <v>11</v>
      </c>
      <c r="R28" s="14">
        <f>'Alternative 2'!$B$3+'Alternative 2'!$B$5+('Alternative 2'!$B$39*Q28)</f>
        <v>108325.0663354202</v>
      </c>
      <c r="S28" s="14">
        <f>'Alternative 2'!M29</f>
        <v>2.007827962516358</v>
      </c>
      <c r="T28" s="14">
        <f t="shared" si="2"/>
        <v>5.3951368522460082E-2</v>
      </c>
      <c r="U28" s="284">
        <f t="shared" si="3"/>
        <v>5.6712886614697009</v>
      </c>
      <c r="V28" s="286"/>
      <c r="W28" s="153">
        <f>'Alternative 3'!F29</f>
        <v>26</v>
      </c>
      <c r="X28" s="59">
        <f t="shared" si="13"/>
        <v>11.5</v>
      </c>
      <c r="Y28" s="30">
        <f t="shared" si="14"/>
        <v>10.5</v>
      </c>
      <c r="Z28" s="60">
        <f>'Dynamic Loading'!$Y$3*'Combined Stress'!X28+'Wind Loading'!$P$69*Y28+'Wind Loading'!$P$68*'Combined Stress'!Y29+'Wind Loading'!$P$67*'Combined Stress'!Y30+'Wind Loading'!$P$66*'Combined Stress'!Y31+'Wind Loading'!$P$65*'Combined Stress'!Y32+'Wind Loading'!$P$64*'Combined Stress'!Y33+'Wind Loading'!$P$63*'Combined Stress'!Y34+'Wind Loading'!$P$62*'Combined Stress'!Y35+'Wind Loading'!$P$61*'Combined Stress'!Y36+'Wind Loading'!$P$60*'Combined Stress'!Y37+'Wind Loading'!$P$59*'Combined Stress'!Y38+'Wind Loading'!$P$58*'Combined Stress'!Y39+'Wind Loading'!$P$57*'Combined Stress'!Y40+'Wind Loading'!$P$56*'Combined Stress'!Y41+'Wind Loading'!$P$55*'Combined Stress'!Y42+'Wind Loading'!$P$54*'Combined Stress'!Y43+'Wind Loading'!$P$53*'Combined Stress'!Y44+'Wind Loading'!$P$52*'Combined Stress'!Y45+'Wind Loading'!$P$51*'Combined Stress'!Y46+'Wind Loading'!$P$50*'Combined Stress'!Y47+'Wind Loading'!$P$49*'Combined Stress'!Y48+'Wind Loading'!$P$48*'Combined Stress'!Y49+'Wind Loading'!$P$47*'Combined Stress'!Y50+'Wind Loading'!$P$46*'Combined Stress'!Y51+'Wind Loading'!$P$45*'Combined Stress'!Y52+'Wind Loading'!$P$44*'Combined Stress'!Y53+'Wind Loading'!$P$43*'Combined Stress'!Y54+'Wind Loading'!$P$42*'Combined Stress'!Y55+'Wind Loading'!$P$41*'Combined Stress'!Y56+'Wind Loading'!$P$40*'Combined Stress'!Y57+'Wind Loading'!$P$39*'Combined Stress'!Y58+'Wind Loading'!$P$38*'Combined Stress'!Y59+'Wind Loading'!$P$37*'Combined Stress'!Y60+'Wind Loading'!$P$36*'Combined Stress'!Y61+'Wind Loading'!$P$35*'Combined Stress'!Y62+'Wind Loading'!$P$34*'Combined Stress'!Y63+'Wind Loading'!$P$33*'Combined Stress'!Y64+'Wind Loading'!$P$32*'Combined Stress'!Y65+'Wind Loading'!$P$31*'Combined Stress'!Y66+'Wind Loading'!$P$30*'Combined Stress'!Y67+'Wind Loading'!$P$29*'Combined Stress'!Y68+'Wind Loading'!$P$28*'Combined Stress'!Y69</f>
        <v>225572.72242704348</v>
      </c>
      <c r="AA28" s="60">
        <f>((Z28*'Alternative 3'!K29)/'Alternative 3'!L29)/1000000</f>
        <v>5.6173372929472407</v>
      </c>
      <c r="AB28" s="60">
        <f t="shared" si="4"/>
        <v>42</v>
      </c>
      <c r="AC28" s="14">
        <f>'Alternative 3'!$B$3+'Alternative 3'!$B$5+('Alternative 2'!$B$39*AB28)</f>
        <v>371928.31926251354</v>
      </c>
      <c r="AD28" s="60">
        <f>'Alternative 3'!M29</f>
        <v>2.007827962516358</v>
      </c>
      <c r="AE28" s="60">
        <f t="shared" si="5"/>
        <v>0.18523913712028672</v>
      </c>
      <c r="AF28" s="60">
        <f t="shared" si="6"/>
        <v>5.8025764300675275</v>
      </c>
    </row>
    <row r="29" spans="1:32" x14ac:dyDescent="0.25">
      <c r="A29" s="13">
        <f>IF('Alternative 1'!F30&gt;0,'Alternative 1'!F30,"x")</f>
        <v>27</v>
      </c>
      <c r="B29" s="30">
        <f t="shared" si="7"/>
        <v>10.5</v>
      </c>
      <c r="C29" s="30">
        <f t="shared" si="8"/>
        <v>9.5</v>
      </c>
      <c r="D29" s="14">
        <f>'Dynamic Loading'!$I$3*'Combined Stress'!B29+'Wind Loading'!$F$69*C29+'Wind Loading'!$F$68*'Combined Stress'!C30+'Wind Loading'!$F$67*'Combined Stress'!C31+'Wind Loading'!$F$66*'Combined Stress'!C32+'Wind Loading'!$F$65*'Combined Stress'!C33+'Wind Loading'!$F$64*'Combined Stress'!C34+'Wind Loading'!$F$63*'Combined Stress'!C35+'Wind Loading'!$F$62*'Combined Stress'!C36+'Wind Loading'!$F$61*'Combined Stress'!C37+'Wind Loading'!$F$60*'Combined Stress'!C38+'Wind Loading'!$F$59*'Combined Stress'!C39+'Wind Loading'!$F$58*'Combined Stress'!C40+'Wind Loading'!$F$57*'Combined Stress'!C41+'Wind Loading'!$F$56*'Combined Stress'!C42+'Wind Loading'!$F$55*'Combined Stress'!C43+'Wind Loading'!$F$54*'Combined Stress'!C44+'Wind Loading'!$F$53*'Combined Stress'!C45+'Wind Loading'!$F$52*'Combined Stress'!C46+'Wind Loading'!$F$51*'Combined Stress'!C47+'Wind Loading'!$F$50*'Combined Stress'!C48+'Wind Loading'!$F$49*'Combined Stress'!C49+'Wind Loading'!$F$48*'Combined Stress'!C50+'Wind Loading'!$F$47*'Combined Stress'!C51+'Wind Loading'!$F$46*'Combined Stress'!C52+'Wind Loading'!$F$45*'Combined Stress'!C53+'Wind Loading'!$F$44*'Combined Stress'!C54+'Wind Loading'!$F$43*'Combined Stress'!C55+'Wind Loading'!$F$42*'Combined Stress'!C56+'Wind Loading'!$F$41*'Combined Stress'!C57+'Wind Loading'!$F$40*'Combined Stress'!C58+'Wind Loading'!$F$39*'Combined Stress'!C59+'Wind Loading'!$F$38*'Combined Stress'!C60+'Wind Loading'!$F$37*'Combined Stress'!C61+'Wind Loading'!$F$36*'Combined Stress'!C62+'Wind Loading'!$F$35*'Combined Stress'!C63+'Wind Loading'!$F$34*'Combined Stress'!C64+'Wind Loading'!$F$33*'Combined Stress'!C65+'Wind Loading'!$F$32*'Combined Stress'!C66+'Wind Loading'!$F$31*'Combined Stress'!C67+'Wind Loading'!$F$30*'Combined Stress'!C68+'Wind Loading'!$F$29*'Combined Stress'!C69</f>
        <v>205957.70308556146</v>
      </c>
      <c r="E29" s="14">
        <f>((D29*'Alternative 1'!K30)/'Alternative 1'!L30)/1000000</f>
        <v>5.2588922132016558</v>
      </c>
      <c r="F29" s="30">
        <f t="shared" si="9"/>
        <v>10</v>
      </c>
      <c r="G29" s="14">
        <f>IF(F29&gt;0,'Alternative 1'!$B$3+'Alternative 1'!$B$5+('Alternative 1'!$B$39*F29),0)</f>
        <v>99821.735595836537</v>
      </c>
      <c r="H29" s="14">
        <f>'Alternative 1'!M30</f>
        <v>1.9581871182282498</v>
      </c>
      <c r="I29" s="14">
        <f t="shared" si="0"/>
        <v>5.0976607223396683E-2</v>
      </c>
      <c r="J29" s="14">
        <f t="shared" si="1"/>
        <v>5.3098688204250521</v>
      </c>
      <c r="K29" s="286"/>
      <c r="L29" s="13">
        <f>IF('Alternative 2'!$F30&gt;0,'Alternative 2'!$F30,"x")</f>
        <v>27</v>
      </c>
      <c r="M29" s="30">
        <f t="shared" si="10"/>
        <v>10.5</v>
      </c>
      <c r="N29" s="30">
        <f t="shared" si="11"/>
        <v>9.5</v>
      </c>
      <c r="O29" s="14">
        <f>'Dynamic Loading'!$Q$3*'Combined Stress'!M29+'Wind Loading'!$K$69*N29+'Wind Loading'!$K$68*'Combined Stress'!N30+'Wind Loading'!$K$67*'Combined Stress'!N31+'Wind Loading'!$K$66*'Combined Stress'!N32+'Wind Loading'!$K$65*'Combined Stress'!N33+'Wind Loading'!$K$64*'Combined Stress'!N34+'Wind Loading'!$K$63*'Combined Stress'!N35+'Wind Loading'!$K$62*'Combined Stress'!N36+'Wind Loading'!$K$61*'Combined Stress'!N37+'Wind Loading'!$K$60*'Combined Stress'!N38+'Wind Loading'!$K$59*'Combined Stress'!N39+'Wind Loading'!$K$58*'Combined Stress'!N40+'Wind Loading'!$K$57*'Combined Stress'!N41+'Wind Loading'!$K$56*'Combined Stress'!N42+'Wind Loading'!$K$55*'Combined Stress'!N43+'Wind Loading'!$K$54*'Combined Stress'!N44+'Wind Loading'!$K$53*'Combined Stress'!N45+'Wind Loading'!$K$52*'Combined Stress'!N46+'Wind Loading'!$K$51*'Combined Stress'!N47+'Wind Loading'!$K$50*'Combined Stress'!N48+'Wind Loading'!$K$49*'Combined Stress'!N49+'Wind Loading'!$K$48*'Combined Stress'!N50+'Wind Loading'!$K$47*'Combined Stress'!N51+'Wind Loading'!$K$46*'Combined Stress'!N52+'Wind Loading'!$K$45*'Combined Stress'!N53+'Wind Loading'!$K$44*'Combined Stress'!N54+'Wind Loading'!$K$43*'Combined Stress'!N55+'Wind Loading'!$K$42*'Combined Stress'!N56+'Wind Loading'!$K$41*'Combined Stress'!N57+'Wind Loading'!$K$40*'Combined Stress'!N58+'Wind Loading'!$K$39*'Combined Stress'!N59+'Wind Loading'!$K$38*'Combined Stress'!N60+'Wind Loading'!$K$37*'Combined Stress'!N61+'Wind Loading'!$K$36*'Combined Stress'!N62+'Wind Loading'!$K$35*'Combined Stress'!N63+'Wind Loading'!$K$34*'Combined Stress'!N64+'Wind Loading'!$K$33*'Combined Stress'!N65+'Wind Loading'!$K$32*'Combined Stress'!N66+'Wind Loading'!$K$31*'Combined Stress'!N67+'Wind Loading'!$K$30*'Combined Stress'!N68+'Wind Loading'!$K$29*'Combined Stress'!N69</f>
        <v>205957.70308556146</v>
      </c>
      <c r="P29" s="14">
        <f>((O29*'Alternative 2'!K30)/'Alternative 2'!L30)/1000000</f>
        <v>5.2588922132016558</v>
      </c>
      <c r="Q29" s="30">
        <f t="shared" si="12"/>
        <v>10</v>
      </c>
      <c r="R29" s="14">
        <f>'Alternative 2'!$B$3+'Alternative 2'!$B$5+('Alternative 2'!$B$39*Q29)</f>
        <v>99821.735595836537</v>
      </c>
      <c r="S29" s="14">
        <f>'Alternative 2'!M30</f>
        <v>1.9581871182282498</v>
      </c>
      <c r="T29" s="14">
        <f t="shared" si="2"/>
        <v>5.0976607223396683E-2</v>
      </c>
      <c r="U29" s="284">
        <f t="shared" si="3"/>
        <v>5.3098688204250521</v>
      </c>
      <c r="V29" s="286"/>
      <c r="W29" s="153">
        <f>'Alternative 3'!F30</f>
        <v>27</v>
      </c>
      <c r="X29" s="59">
        <f t="shared" si="13"/>
        <v>10.5</v>
      </c>
      <c r="Y29" s="30">
        <f t="shared" si="14"/>
        <v>9.5</v>
      </c>
      <c r="Z29" s="60">
        <f>'Dynamic Loading'!$Y$3*'Combined Stress'!X29+'Wind Loading'!$P$69*Y29+'Wind Loading'!$P$68*'Combined Stress'!Y30+'Wind Loading'!$P$67*'Combined Stress'!Y31+'Wind Loading'!$P$66*'Combined Stress'!Y32+'Wind Loading'!$P$65*'Combined Stress'!Y33+'Wind Loading'!$P$64*'Combined Stress'!Y34+'Wind Loading'!$P$63*'Combined Stress'!Y35+'Wind Loading'!$P$62*'Combined Stress'!Y36+'Wind Loading'!$P$61*'Combined Stress'!Y37+'Wind Loading'!$P$60*'Combined Stress'!Y38+'Wind Loading'!$P$59*'Combined Stress'!Y39+'Wind Loading'!$P$58*'Combined Stress'!Y40+'Wind Loading'!$P$57*'Combined Stress'!Y41+'Wind Loading'!$P$56*'Combined Stress'!Y42+'Wind Loading'!$P$55*'Combined Stress'!Y43+'Wind Loading'!$P$54*'Combined Stress'!Y44+'Wind Loading'!$P$53*'Combined Stress'!Y45+'Wind Loading'!$P$52*'Combined Stress'!Y46+'Wind Loading'!$P$51*'Combined Stress'!Y47+'Wind Loading'!$P$50*'Combined Stress'!Y48+'Wind Loading'!$P$49*'Combined Stress'!Y49+'Wind Loading'!$P$48*'Combined Stress'!Y50+'Wind Loading'!$P$47*'Combined Stress'!Y51+'Wind Loading'!$P$46*'Combined Stress'!Y52+'Wind Loading'!$P$45*'Combined Stress'!Y53+'Wind Loading'!$P$44*'Combined Stress'!Y54+'Wind Loading'!$P$43*'Combined Stress'!Y55+'Wind Loading'!$P$42*'Combined Stress'!Y56+'Wind Loading'!$P$41*'Combined Stress'!Y57+'Wind Loading'!$P$40*'Combined Stress'!Y58+'Wind Loading'!$P$39*'Combined Stress'!Y59+'Wind Loading'!$P$38*'Combined Stress'!Y60+'Wind Loading'!$P$37*'Combined Stress'!Y61+'Wind Loading'!$P$36*'Combined Stress'!Y62+'Wind Loading'!$P$35*'Combined Stress'!Y63+'Wind Loading'!$P$34*'Combined Stress'!Y64+'Wind Loading'!$P$33*'Combined Stress'!Y65+'Wind Loading'!$P$32*'Combined Stress'!Y66+'Wind Loading'!$P$31*'Combined Stress'!Y67+'Wind Loading'!$P$30*'Combined Stress'!Y68+'Wind Loading'!$P$29*'Combined Stress'!Y69</f>
        <v>205957.70308556146</v>
      </c>
      <c r="AA29" s="60">
        <f>((Z29*'Alternative 3'!K30)/'Alternative 3'!L30)/1000000</f>
        <v>5.2588922132016558</v>
      </c>
      <c r="AB29" s="60">
        <f t="shared" si="4"/>
        <v>41</v>
      </c>
      <c r="AC29" s="14">
        <f>'Alternative 3'!$B$3+'Alternative 3'!$B$5+('Alternative 2'!$B$39*AB29)</f>
        <v>363424.98852292984</v>
      </c>
      <c r="AD29" s="60">
        <f>'Alternative 3'!M30</f>
        <v>1.9581871182282498</v>
      </c>
      <c r="AE29" s="60">
        <f t="shared" si="5"/>
        <v>0.18559257444801983</v>
      </c>
      <c r="AF29" s="60">
        <f t="shared" si="6"/>
        <v>5.4444847876496754</v>
      </c>
    </row>
    <row r="30" spans="1:32" x14ac:dyDescent="0.25">
      <c r="A30" s="13">
        <f>IF('Alternative 1'!F31&gt;0,'Alternative 1'!F31,"x")</f>
        <v>28</v>
      </c>
      <c r="B30" s="30">
        <f t="shared" si="7"/>
        <v>9.5</v>
      </c>
      <c r="C30" s="30">
        <f t="shared" si="8"/>
        <v>8.5</v>
      </c>
      <c r="D30" s="14">
        <f>'Dynamic Loading'!$I$3*'Combined Stress'!B30+'Wind Loading'!$F$69*C30+'Wind Loading'!$F$68*'Combined Stress'!C31+'Wind Loading'!$F$67*'Combined Stress'!C32+'Wind Loading'!$F$66*'Combined Stress'!C33+'Wind Loading'!$F$65*'Combined Stress'!C34+'Wind Loading'!$F$64*'Combined Stress'!C35+'Wind Loading'!$F$63*'Combined Stress'!C36+'Wind Loading'!$F$62*'Combined Stress'!C37+'Wind Loading'!$F$61*'Combined Stress'!C38+'Wind Loading'!$F$60*'Combined Stress'!C39+'Wind Loading'!$F$59*'Combined Stress'!C40+'Wind Loading'!$F$58*'Combined Stress'!C41+'Wind Loading'!$F$57*'Combined Stress'!C42+'Wind Loading'!$F$56*'Combined Stress'!C43+'Wind Loading'!$F$55*'Combined Stress'!C44+'Wind Loading'!$F$54*'Combined Stress'!C45+'Wind Loading'!$F$53*'Combined Stress'!C46+'Wind Loading'!$F$52*'Combined Stress'!C47+'Wind Loading'!$F$51*'Combined Stress'!C48+'Wind Loading'!$F$50*'Combined Stress'!C49+'Wind Loading'!$F$49*'Combined Stress'!C50+'Wind Loading'!$F$48*'Combined Stress'!C51+'Wind Loading'!$F$47*'Combined Stress'!C52+'Wind Loading'!$F$46*'Combined Stress'!C53+'Wind Loading'!$F$45*'Combined Stress'!C54+'Wind Loading'!$F$44*'Combined Stress'!C55+'Wind Loading'!$F$43*'Combined Stress'!C56+'Wind Loading'!$F$42*'Combined Stress'!C57+'Wind Loading'!$F$41*'Combined Stress'!C58+'Wind Loading'!$F$40*'Combined Stress'!C59+'Wind Loading'!$F$39*'Combined Stress'!C60+'Wind Loading'!$F$38*'Combined Stress'!C61+'Wind Loading'!$F$37*'Combined Stress'!C62+'Wind Loading'!$F$36*'Combined Stress'!C63+'Wind Loading'!$F$35*'Combined Stress'!C64+'Wind Loading'!$F$34*'Combined Stress'!C65+'Wind Loading'!$F$33*'Combined Stress'!C66+'Wind Loading'!$F$32*'Combined Stress'!C67+'Wind Loading'!$F$31*'Combined Stress'!C68+'Wind Loading'!$F$30*'Combined Stress'!C69</f>
        <v>186342.6837440794</v>
      </c>
      <c r="E30" s="14">
        <f>((D30*'Alternative 1'!K31)/'Alternative 1'!L31)/1000000</f>
        <v>4.880212158959738</v>
      </c>
      <c r="F30" s="30">
        <f t="shared" si="9"/>
        <v>9</v>
      </c>
      <c r="G30" s="14">
        <f>IF(F30&gt;0,'Alternative 1'!$B$3+'Alternative 1'!$B$5+('Alternative 1'!$B$39*F30),0)</f>
        <v>91318.404856252891</v>
      </c>
      <c r="H30" s="14">
        <f>'Alternative 1'!M31</f>
        <v>1.9091676306149135</v>
      </c>
      <c r="I30" s="14">
        <f t="shared" si="0"/>
        <v>4.7831527934946522E-2</v>
      </c>
      <c r="J30" s="14">
        <f t="shared" si="1"/>
        <v>4.9280436868946849</v>
      </c>
      <c r="K30" s="286"/>
      <c r="L30" s="13">
        <f>IF('Alternative 2'!$F31&gt;0,'Alternative 2'!$F31,"x")</f>
        <v>28</v>
      </c>
      <c r="M30" s="30">
        <f t="shared" si="10"/>
        <v>9.5</v>
      </c>
      <c r="N30" s="30">
        <f t="shared" si="11"/>
        <v>8.5</v>
      </c>
      <c r="O30" s="14">
        <f>'Dynamic Loading'!$Q$3*'Combined Stress'!M30+'Wind Loading'!$K$69*N30+'Wind Loading'!$K$68*'Combined Stress'!N31+'Wind Loading'!$K$67*'Combined Stress'!N32+'Wind Loading'!$K$66*'Combined Stress'!N33+'Wind Loading'!$K$65*'Combined Stress'!N34+'Wind Loading'!$K$64*'Combined Stress'!N35+'Wind Loading'!$K$63*'Combined Stress'!N36+'Wind Loading'!$K$62*'Combined Stress'!N37+'Wind Loading'!$K$61*'Combined Stress'!N38+'Wind Loading'!$K$60*'Combined Stress'!N39+'Wind Loading'!$K$59*'Combined Stress'!N40+'Wind Loading'!$K$58*'Combined Stress'!N41+'Wind Loading'!$K$57*'Combined Stress'!N42+'Wind Loading'!$K$56*'Combined Stress'!N43+'Wind Loading'!$K$55*'Combined Stress'!N44+'Wind Loading'!$K$54*'Combined Stress'!N45+'Wind Loading'!$K$53*'Combined Stress'!N46+'Wind Loading'!$K$52*'Combined Stress'!N47+'Wind Loading'!$K$51*'Combined Stress'!N48+'Wind Loading'!$K$50*'Combined Stress'!N49+'Wind Loading'!$K$49*'Combined Stress'!N50+'Wind Loading'!$K$48*'Combined Stress'!N51+'Wind Loading'!$K$47*'Combined Stress'!N52+'Wind Loading'!$K$46*'Combined Stress'!N53+'Wind Loading'!$K$45*'Combined Stress'!N54+'Wind Loading'!$K$44*'Combined Stress'!N55+'Wind Loading'!$K$43*'Combined Stress'!N56+'Wind Loading'!$K$42*'Combined Stress'!N57+'Wind Loading'!$K$41*'Combined Stress'!N58+'Wind Loading'!$K$40*'Combined Stress'!N59+'Wind Loading'!$K$39*'Combined Stress'!N60+'Wind Loading'!$K$38*'Combined Stress'!N61+'Wind Loading'!$K$37*'Combined Stress'!N62+'Wind Loading'!$K$36*'Combined Stress'!N63+'Wind Loading'!$K$35*'Combined Stress'!N64+'Wind Loading'!$K$34*'Combined Stress'!N65+'Wind Loading'!$K$33*'Combined Stress'!N66+'Wind Loading'!$K$32*'Combined Stress'!N67+'Wind Loading'!$K$31*'Combined Stress'!N68+'Wind Loading'!$K$30*'Combined Stress'!N69</f>
        <v>186342.6837440794</v>
      </c>
      <c r="P30" s="14">
        <f>((O30*'Alternative 2'!K31)/'Alternative 2'!L31)/1000000</f>
        <v>4.880212158959738</v>
      </c>
      <c r="Q30" s="30">
        <f t="shared" si="12"/>
        <v>9</v>
      </c>
      <c r="R30" s="14">
        <f>'Alternative 2'!$B$3+'Alternative 2'!$B$5+('Alternative 2'!$B$39*Q30)</f>
        <v>91318.404856252891</v>
      </c>
      <c r="S30" s="14">
        <f>'Alternative 2'!M31</f>
        <v>1.9091676306149135</v>
      </c>
      <c r="T30" s="14">
        <f t="shared" si="2"/>
        <v>4.7831527934946522E-2</v>
      </c>
      <c r="U30" s="284">
        <f t="shared" si="3"/>
        <v>4.9280436868946849</v>
      </c>
      <c r="V30" s="286"/>
      <c r="W30" s="153">
        <f>'Alternative 3'!F31</f>
        <v>28</v>
      </c>
      <c r="X30" s="59">
        <f t="shared" si="13"/>
        <v>9.5</v>
      </c>
      <c r="Y30" s="30">
        <f t="shared" si="14"/>
        <v>8.5</v>
      </c>
      <c r="Z30" s="60">
        <f>'Dynamic Loading'!$Y$3*'Combined Stress'!X30+'Wind Loading'!$P$69*Y30+'Wind Loading'!$P$68*'Combined Stress'!Y31+'Wind Loading'!$P$67*'Combined Stress'!Y32+'Wind Loading'!$P$66*'Combined Stress'!Y33+'Wind Loading'!$P$65*'Combined Stress'!Y34+'Wind Loading'!$P$64*'Combined Stress'!Y35+'Wind Loading'!$P$63*'Combined Stress'!Y36+'Wind Loading'!$P$62*'Combined Stress'!Y37+'Wind Loading'!$P$61*'Combined Stress'!Y38+'Wind Loading'!$P$60*'Combined Stress'!Y39+'Wind Loading'!$P$59*'Combined Stress'!Y40+'Wind Loading'!$P$58*'Combined Stress'!Y41+'Wind Loading'!$P$57*'Combined Stress'!Y42+'Wind Loading'!$P$56*'Combined Stress'!Y43+'Wind Loading'!$P$55*'Combined Stress'!Y44+'Wind Loading'!$P$54*'Combined Stress'!Y45+'Wind Loading'!$P$53*'Combined Stress'!Y46+'Wind Loading'!$P$52*'Combined Stress'!Y47+'Wind Loading'!$P$51*'Combined Stress'!Y48+'Wind Loading'!$P$50*'Combined Stress'!Y49+'Wind Loading'!$P$49*'Combined Stress'!Y50+'Wind Loading'!$P$48*'Combined Stress'!Y51+'Wind Loading'!$P$47*'Combined Stress'!Y52+'Wind Loading'!$P$46*'Combined Stress'!Y53+'Wind Loading'!$P$45*'Combined Stress'!Y54+'Wind Loading'!$P$44*'Combined Stress'!Y55+'Wind Loading'!$P$43*'Combined Stress'!Y56+'Wind Loading'!$P$42*'Combined Stress'!Y57+'Wind Loading'!$P$41*'Combined Stress'!Y58+'Wind Loading'!$P$40*'Combined Stress'!Y59+'Wind Loading'!$P$39*'Combined Stress'!Y60+'Wind Loading'!$P$38*'Combined Stress'!Y61+'Wind Loading'!$P$37*'Combined Stress'!Y62+'Wind Loading'!$P$36*'Combined Stress'!Y63+'Wind Loading'!$P$35*'Combined Stress'!Y64+'Wind Loading'!$P$34*'Combined Stress'!Y65+'Wind Loading'!$P$33*'Combined Stress'!Y66+'Wind Loading'!$P$32*'Combined Stress'!Y67+'Wind Loading'!$P$31*'Combined Stress'!Y68+'Wind Loading'!$P$30*'Combined Stress'!Y69</f>
        <v>186342.6837440794</v>
      </c>
      <c r="AA30" s="60">
        <f>((Z30*'Alternative 3'!K31)/'Alternative 3'!L31)/1000000</f>
        <v>4.880212158959738</v>
      </c>
      <c r="AB30" s="60">
        <f t="shared" si="4"/>
        <v>40</v>
      </c>
      <c r="AC30" s="14">
        <f>'Alternative 3'!$B$3+'Alternative 3'!$B$5+('Alternative 2'!$B$39*AB30)</f>
        <v>354921.65778334619</v>
      </c>
      <c r="AD30" s="60">
        <f>'Alternative 3'!M31</f>
        <v>1.9091676306149135</v>
      </c>
      <c r="AE30" s="60">
        <f t="shared" si="5"/>
        <v>0.18590387354777821</v>
      </c>
      <c r="AF30" s="60">
        <f t="shared" si="6"/>
        <v>5.0661160325075159</v>
      </c>
    </row>
    <row r="31" spans="1:32" x14ac:dyDescent="0.25">
      <c r="A31" s="13">
        <f>IF('Alternative 1'!F32&gt;0,'Alternative 1'!F32,"x")</f>
        <v>29</v>
      </c>
      <c r="B31" s="30">
        <f t="shared" si="7"/>
        <v>8.5</v>
      </c>
      <c r="C31" s="30">
        <f t="shared" si="8"/>
        <v>7.5</v>
      </c>
      <c r="D31" s="14">
        <f>'Dynamic Loading'!$I$3*'Combined Stress'!B31+'Wind Loading'!$F$69*C31+'Wind Loading'!$F$68*'Combined Stress'!C32+'Wind Loading'!$F$67*'Combined Stress'!C33+'Wind Loading'!$F$66*'Combined Stress'!C34+'Wind Loading'!$F$65*'Combined Stress'!C35+'Wind Loading'!$F$64*'Combined Stress'!C36+'Wind Loading'!$F$63*'Combined Stress'!C37+'Wind Loading'!$F$62*'Combined Stress'!C38+'Wind Loading'!$F$61*'Combined Stress'!C39+'Wind Loading'!$F$60*'Combined Stress'!C40+'Wind Loading'!$F$59*'Combined Stress'!C41+'Wind Loading'!$F$58*'Combined Stress'!C42+'Wind Loading'!$F$57*'Combined Stress'!C43+'Wind Loading'!$F$56*'Combined Stress'!C44+'Wind Loading'!$F$55*'Combined Stress'!C45+'Wind Loading'!$F$54*'Combined Stress'!C46+'Wind Loading'!$F$53*'Combined Stress'!C47+'Wind Loading'!$F$52*'Combined Stress'!C48+'Wind Loading'!$F$51*'Combined Stress'!C49+'Wind Loading'!$F$50*'Combined Stress'!C50+'Wind Loading'!$F$49*'Combined Stress'!C51+'Wind Loading'!$F$48*'Combined Stress'!C52+'Wind Loading'!$F$47*'Combined Stress'!C53+'Wind Loading'!$F$46*'Combined Stress'!C54+'Wind Loading'!$F$45*'Combined Stress'!C55+'Wind Loading'!$F$44*'Combined Stress'!C56+'Wind Loading'!$F$43*'Combined Stress'!C57+'Wind Loading'!$F$42*'Combined Stress'!C58+'Wind Loading'!$F$41*'Combined Stress'!C59+'Wind Loading'!$F$40*'Combined Stress'!C60+'Wind Loading'!$F$39*'Combined Stress'!C61+'Wind Loading'!$F$38*'Combined Stress'!C62+'Wind Loading'!$F$37*'Combined Stress'!C63+'Wind Loading'!$F$36*'Combined Stress'!C64+'Wind Loading'!$F$35*'Combined Stress'!C65+'Wind Loading'!$F$34*'Combined Stress'!C66+'Wind Loading'!$F$33*'Combined Stress'!C67+'Wind Loading'!$F$32*'Combined Stress'!C68+'Wind Loading'!$F$31*'Combined Stress'!C69</f>
        <v>166727.66440259735</v>
      </c>
      <c r="E31" s="14">
        <f>((D31*'Alternative 1'!K32)/'Alternative 1'!L32)/1000000</f>
        <v>4.4800772918118863</v>
      </c>
      <c r="F31" s="30">
        <f t="shared" si="9"/>
        <v>8</v>
      </c>
      <c r="G31" s="14">
        <f>IF(F31&gt;0,'Alternative 1'!$B$3+'Alternative 1'!$B$5+('Alternative 1'!$B$39*F31),0)</f>
        <v>82815.074116669231</v>
      </c>
      <c r="H31" s="14">
        <f>'Alternative 1'!M32</f>
        <v>1.8607694996763484</v>
      </c>
      <c r="I31" s="14">
        <f t="shared" si="0"/>
        <v>4.4505820914988996E-2</v>
      </c>
      <c r="J31" s="14">
        <f t="shared" si="1"/>
        <v>4.5245831127268756</v>
      </c>
      <c r="K31" s="286"/>
      <c r="L31" s="13">
        <f>IF('Alternative 2'!$F32&gt;0,'Alternative 2'!$F32,"x")</f>
        <v>29</v>
      </c>
      <c r="M31" s="30">
        <f t="shared" si="10"/>
        <v>8.5</v>
      </c>
      <c r="N31" s="30">
        <f t="shared" si="11"/>
        <v>7.5</v>
      </c>
      <c r="O31" s="14">
        <f>'Dynamic Loading'!$Q$3*'Combined Stress'!M31+'Wind Loading'!$K$69*N31+'Wind Loading'!$K$68*'Combined Stress'!N32+'Wind Loading'!$K$67*'Combined Stress'!N33+'Wind Loading'!$K$66*'Combined Stress'!N34+'Wind Loading'!$K$65*'Combined Stress'!N35+'Wind Loading'!$K$64*'Combined Stress'!N36+'Wind Loading'!$K$63*'Combined Stress'!N37+'Wind Loading'!$K$62*'Combined Stress'!N38+'Wind Loading'!$K$61*'Combined Stress'!N39+'Wind Loading'!$K$60*'Combined Stress'!N40+'Wind Loading'!$K$59*'Combined Stress'!N41+'Wind Loading'!$K$58*'Combined Stress'!N42+'Wind Loading'!$K$57*'Combined Stress'!N43+'Wind Loading'!$K$56*'Combined Stress'!N44+'Wind Loading'!$K$55*'Combined Stress'!N45+'Wind Loading'!$K$54*'Combined Stress'!N46+'Wind Loading'!$K$53*'Combined Stress'!N47+'Wind Loading'!$K$52*'Combined Stress'!N48+'Wind Loading'!$K$51*'Combined Stress'!N49+'Wind Loading'!$K$50*'Combined Stress'!N50+'Wind Loading'!$K$49*'Combined Stress'!N51+'Wind Loading'!$K$48*'Combined Stress'!N52+'Wind Loading'!$K$47*'Combined Stress'!N53+'Wind Loading'!$K$46*'Combined Stress'!N54+'Wind Loading'!$K$45*'Combined Stress'!N55+'Wind Loading'!$K$44*'Combined Stress'!N56+'Wind Loading'!$K$43*'Combined Stress'!N57+'Wind Loading'!$K$42*'Combined Stress'!N58+'Wind Loading'!$K$41*'Combined Stress'!N59+'Wind Loading'!$K$40*'Combined Stress'!N60+'Wind Loading'!$K$39*'Combined Stress'!N61+'Wind Loading'!$K$38*'Combined Stress'!N62+'Wind Loading'!$K$37*'Combined Stress'!N63+'Wind Loading'!$K$36*'Combined Stress'!N64+'Wind Loading'!$K$35*'Combined Stress'!N65+'Wind Loading'!$K$34*'Combined Stress'!N66+'Wind Loading'!$K$33*'Combined Stress'!N67+'Wind Loading'!$K$32*'Combined Stress'!N68+'Wind Loading'!$K$31*'Combined Stress'!N69</f>
        <v>166727.66440259735</v>
      </c>
      <c r="P31" s="14">
        <f>((O31*'Alternative 2'!K32)/'Alternative 2'!L32)/1000000</f>
        <v>4.4800772918118863</v>
      </c>
      <c r="Q31" s="30">
        <f t="shared" si="12"/>
        <v>8</v>
      </c>
      <c r="R31" s="14">
        <f>'Alternative 2'!$B$3+'Alternative 2'!$B$5+('Alternative 2'!$B$39*Q31)</f>
        <v>82815.074116669231</v>
      </c>
      <c r="S31" s="14">
        <f>'Alternative 2'!M32</f>
        <v>1.8607694996763484</v>
      </c>
      <c r="T31" s="14">
        <f t="shared" si="2"/>
        <v>4.4505820914988996E-2</v>
      </c>
      <c r="U31" s="284">
        <f t="shared" si="3"/>
        <v>4.5245831127268756</v>
      </c>
      <c r="V31" s="286"/>
      <c r="W31" s="153">
        <f>'Alternative 3'!F32</f>
        <v>29</v>
      </c>
      <c r="X31" s="59">
        <f t="shared" si="13"/>
        <v>8.5</v>
      </c>
      <c r="Y31" s="30">
        <f t="shared" si="14"/>
        <v>7.5</v>
      </c>
      <c r="Z31" s="60">
        <f>'Dynamic Loading'!$Y$3*'Combined Stress'!X31+'Wind Loading'!$P$69*Y31+'Wind Loading'!$P$68*'Combined Stress'!Y32+'Wind Loading'!$P$67*'Combined Stress'!Y33+'Wind Loading'!$P$66*'Combined Stress'!Y34+'Wind Loading'!$P$65*'Combined Stress'!Y35+'Wind Loading'!$P$64*'Combined Stress'!Y36+'Wind Loading'!$P$63*'Combined Stress'!Y37+'Wind Loading'!$P$62*'Combined Stress'!Y38+'Wind Loading'!$P$61*'Combined Stress'!Y39+'Wind Loading'!$P$60*'Combined Stress'!Y40+'Wind Loading'!$P$59*'Combined Stress'!Y41+'Wind Loading'!$P$58*'Combined Stress'!Y42+'Wind Loading'!$P$57*'Combined Stress'!Y43+'Wind Loading'!$P$56*'Combined Stress'!Y44+'Wind Loading'!$P$55*'Combined Stress'!Y45+'Wind Loading'!$P$54*'Combined Stress'!Y46+'Wind Loading'!$P$53*'Combined Stress'!Y47+'Wind Loading'!$P$52*'Combined Stress'!Y48+'Wind Loading'!$P$51*'Combined Stress'!Y49+'Wind Loading'!$P$50*'Combined Stress'!Y50+'Wind Loading'!$P$49*'Combined Stress'!Y51+'Wind Loading'!$P$48*'Combined Stress'!Y52+'Wind Loading'!$P$47*'Combined Stress'!Y53+'Wind Loading'!$P$46*'Combined Stress'!Y54+'Wind Loading'!$P$45*'Combined Stress'!Y55+'Wind Loading'!$P$44*'Combined Stress'!Y56+'Wind Loading'!$P$43*'Combined Stress'!Y57+'Wind Loading'!$P$42*'Combined Stress'!Y58+'Wind Loading'!$P$41*'Combined Stress'!Y59+'Wind Loading'!$P$40*'Combined Stress'!Y60+'Wind Loading'!$P$39*'Combined Stress'!Y61+'Wind Loading'!$P$38*'Combined Stress'!Y62+'Wind Loading'!$P$37*'Combined Stress'!Y63+'Wind Loading'!$P$36*'Combined Stress'!Y64+'Wind Loading'!$P$35*'Combined Stress'!Y65+'Wind Loading'!$P$34*'Combined Stress'!Y66+'Wind Loading'!$P$33*'Combined Stress'!Y67+'Wind Loading'!$P$32*'Combined Stress'!Y68+'Wind Loading'!$P$31*'Combined Stress'!Y69</f>
        <v>166727.66440259735</v>
      </c>
      <c r="AA31" s="60">
        <f>((Z31*'Alternative 3'!K32)/'Alternative 3'!L32)/1000000</f>
        <v>4.4800772918118863</v>
      </c>
      <c r="AB31" s="60">
        <f t="shared" si="4"/>
        <v>39</v>
      </c>
      <c r="AC31" s="14">
        <f>'Alternative 3'!$B$3+'Alternative 3'!$B$5+('Alternative 2'!$B$39*AB31)</f>
        <v>346418.32704376255</v>
      </c>
      <c r="AD31" s="60">
        <f>'Alternative 3'!M32</f>
        <v>1.8607694996763484</v>
      </c>
      <c r="AE31" s="60">
        <f t="shared" si="5"/>
        <v>0.18616939234226301</v>
      </c>
      <c r="AF31" s="60">
        <f t="shared" si="6"/>
        <v>4.6662466841541494</v>
      </c>
    </row>
    <row r="32" spans="1:32" x14ac:dyDescent="0.25">
      <c r="A32" s="13">
        <f>IF('Alternative 1'!F33&gt;0,'Alternative 1'!F33,"x")</f>
        <v>30</v>
      </c>
      <c r="B32" s="30">
        <f t="shared" si="7"/>
        <v>7.5</v>
      </c>
      <c r="C32" s="30">
        <f t="shared" si="8"/>
        <v>6.5</v>
      </c>
      <c r="D32" s="14">
        <f>'Dynamic Loading'!$I$3*'Combined Stress'!B32+'Wind Loading'!$F$69*C32+'Wind Loading'!$F$68*'Combined Stress'!C33+'Wind Loading'!$F$67*'Combined Stress'!C34+'Wind Loading'!$F$66*'Combined Stress'!C35+'Wind Loading'!$F$65*'Combined Stress'!C36+'Wind Loading'!$F$64*'Combined Stress'!C37+'Wind Loading'!$F$63*'Combined Stress'!C38+'Wind Loading'!$F$62*'Combined Stress'!C39+'Wind Loading'!$F$61*'Combined Stress'!C40+'Wind Loading'!$F$60*'Combined Stress'!C41+'Wind Loading'!$F$59*'Combined Stress'!C42+'Wind Loading'!$F$58*'Combined Stress'!C43+'Wind Loading'!$F$57*'Combined Stress'!C44+'Wind Loading'!$F$56*'Combined Stress'!C45+'Wind Loading'!$F$55*'Combined Stress'!C46+'Wind Loading'!$F$54*'Combined Stress'!C47+'Wind Loading'!$F$53*'Combined Stress'!C48+'Wind Loading'!$F$52*'Combined Stress'!C49+'Wind Loading'!$F$51*'Combined Stress'!C50+'Wind Loading'!$F$50*'Combined Stress'!C51+'Wind Loading'!$F$49*'Combined Stress'!C52+'Wind Loading'!$F$48*'Combined Stress'!C53+'Wind Loading'!$F$47*'Combined Stress'!C54+'Wind Loading'!$F$46*'Combined Stress'!C55+'Wind Loading'!$F$45*'Combined Stress'!C56+'Wind Loading'!$F$44*'Combined Stress'!C57+'Wind Loading'!$F$43*'Combined Stress'!C58+'Wind Loading'!$F$42*'Combined Stress'!C59+'Wind Loading'!$F$41*'Combined Stress'!C60+'Wind Loading'!$F$40*'Combined Stress'!C61+'Wind Loading'!$F$39*'Combined Stress'!C62+'Wind Loading'!$F$38*'Combined Stress'!C63+'Wind Loading'!$F$37*'Combined Stress'!C64+'Wind Loading'!$F$36*'Combined Stress'!C65+'Wind Loading'!$F$35*'Combined Stress'!C66+'Wind Loading'!$F$34*'Combined Stress'!C67+'Wind Loading'!$F$33*'Combined Stress'!C68+'Wind Loading'!$F$32*'Combined Stress'!C69</f>
        <v>147112.64506111533</v>
      </c>
      <c r="E32" s="14">
        <f>((D32*'Alternative 1'!K33)/'Alternative 1'!L33)/1000000</f>
        <v>4.057180800600996</v>
      </c>
      <c r="F32" s="30">
        <f t="shared" si="9"/>
        <v>7</v>
      </c>
      <c r="G32" s="14">
        <f>IF(F32&gt;0,'Alternative 1'!$B$3+'Alternative 1'!$B$5+('Alternative 1'!$B$39*F32),0)</f>
        <v>74311.743377085586</v>
      </c>
      <c r="H32" s="14">
        <f>'Alternative 1'!M33</f>
        <v>1.8129927254125557</v>
      </c>
      <c r="I32" s="14">
        <f t="shared" si="0"/>
        <v>4.0988439906826192E-2</v>
      </c>
      <c r="J32" s="14">
        <f t="shared" si="1"/>
        <v>4.0981692405078221</v>
      </c>
      <c r="K32" s="286"/>
      <c r="L32" s="13">
        <f>IF('Alternative 2'!$F33&gt;0,'Alternative 2'!$F33,"x")</f>
        <v>30</v>
      </c>
      <c r="M32" s="30">
        <f t="shared" si="10"/>
        <v>7.5</v>
      </c>
      <c r="N32" s="30">
        <f t="shared" si="11"/>
        <v>6.5</v>
      </c>
      <c r="O32" s="14">
        <f>'Dynamic Loading'!$Q$3*'Combined Stress'!M32+'Wind Loading'!$K$69*N32+'Wind Loading'!$K$68*'Combined Stress'!N33+'Wind Loading'!$K$67*'Combined Stress'!N34+'Wind Loading'!$K$66*'Combined Stress'!N35+'Wind Loading'!$K$65*'Combined Stress'!N36+'Wind Loading'!$K$64*'Combined Stress'!N37+'Wind Loading'!$K$63*'Combined Stress'!N38+'Wind Loading'!$K$62*'Combined Stress'!N39+'Wind Loading'!$K$61*'Combined Stress'!N40+'Wind Loading'!$K$60*'Combined Stress'!N41+'Wind Loading'!$K$59*'Combined Stress'!N42+'Wind Loading'!$K$58*'Combined Stress'!N43+'Wind Loading'!$K$57*'Combined Stress'!N44+'Wind Loading'!$K$56*'Combined Stress'!N45+'Wind Loading'!$K$55*'Combined Stress'!N46+'Wind Loading'!$K$54*'Combined Stress'!N47+'Wind Loading'!$K$53*'Combined Stress'!N48+'Wind Loading'!$K$52*'Combined Stress'!N49+'Wind Loading'!$K$51*'Combined Stress'!N50+'Wind Loading'!$K$50*'Combined Stress'!N51+'Wind Loading'!$K$49*'Combined Stress'!N52+'Wind Loading'!$K$48*'Combined Stress'!N53+'Wind Loading'!$K$47*'Combined Stress'!N54+'Wind Loading'!$K$46*'Combined Stress'!N55+'Wind Loading'!$K$45*'Combined Stress'!N56+'Wind Loading'!$K$44*'Combined Stress'!N57+'Wind Loading'!$K$43*'Combined Stress'!N58+'Wind Loading'!$K$42*'Combined Stress'!N59+'Wind Loading'!$K$41*'Combined Stress'!N60+'Wind Loading'!$K$40*'Combined Stress'!N61+'Wind Loading'!$K$39*'Combined Stress'!N62+'Wind Loading'!$K$38*'Combined Stress'!N63+'Wind Loading'!$K$37*'Combined Stress'!N64+'Wind Loading'!$K$36*'Combined Stress'!N65+'Wind Loading'!$K$35*'Combined Stress'!N66+'Wind Loading'!$K$34*'Combined Stress'!N67+'Wind Loading'!$K$33*'Combined Stress'!N68+'Wind Loading'!$K$32*'Combined Stress'!N69</f>
        <v>147112.64506111533</v>
      </c>
      <c r="P32" s="14">
        <f>((O32*'Alternative 2'!K33)/'Alternative 2'!L33)/1000000</f>
        <v>4.057180800600996</v>
      </c>
      <c r="Q32" s="30">
        <f t="shared" si="12"/>
        <v>7</v>
      </c>
      <c r="R32" s="14">
        <f>'Alternative 2'!$B$3+'Alternative 2'!$B$5+('Alternative 2'!$B$39*Q32)</f>
        <v>74311.743377085586</v>
      </c>
      <c r="S32" s="14">
        <f>'Alternative 2'!M33</f>
        <v>1.8129927254125557</v>
      </c>
      <c r="T32" s="14">
        <f t="shared" si="2"/>
        <v>4.0988439906826192E-2</v>
      </c>
      <c r="U32" s="284">
        <f t="shared" si="3"/>
        <v>4.0981692405078221</v>
      </c>
      <c r="V32" s="286"/>
      <c r="W32" s="153">
        <f>'Alternative 3'!F33</f>
        <v>30</v>
      </c>
      <c r="X32" s="59">
        <f t="shared" si="13"/>
        <v>7.5</v>
      </c>
      <c r="Y32" s="30">
        <f t="shared" si="14"/>
        <v>6.5</v>
      </c>
      <c r="Z32" s="60">
        <f>'Dynamic Loading'!$Y$3*'Combined Stress'!X32+'Wind Loading'!$P$69*Y32+'Wind Loading'!$P$68*'Combined Stress'!Y33+'Wind Loading'!$P$67*'Combined Stress'!Y34+'Wind Loading'!$P$66*'Combined Stress'!Y35+'Wind Loading'!$P$65*'Combined Stress'!Y36+'Wind Loading'!$P$64*'Combined Stress'!Y37+'Wind Loading'!$P$63*'Combined Stress'!Y38+'Wind Loading'!$P$62*'Combined Stress'!Y39+'Wind Loading'!$P$61*'Combined Stress'!Y40+'Wind Loading'!$P$60*'Combined Stress'!Y41+'Wind Loading'!$P$59*'Combined Stress'!Y42+'Wind Loading'!$P$58*'Combined Stress'!Y43+'Wind Loading'!$P$57*'Combined Stress'!Y44+'Wind Loading'!$P$56*'Combined Stress'!Y45+'Wind Loading'!$P$55*'Combined Stress'!Y46+'Wind Loading'!$P$54*'Combined Stress'!Y47+'Wind Loading'!$P$53*'Combined Stress'!Y48+'Wind Loading'!$P$52*'Combined Stress'!Y49+'Wind Loading'!$P$51*'Combined Stress'!Y50+'Wind Loading'!$P$50*'Combined Stress'!Y51+'Wind Loading'!$P$49*'Combined Stress'!Y52+'Wind Loading'!$P$48*'Combined Stress'!Y53+'Wind Loading'!$P$47*'Combined Stress'!Y54+'Wind Loading'!$P$46*'Combined Stress'!Y55+'Wind Loading'!$P$45*'Combined Stress'!Y56+'Wind Loading'!$P$44*'Combined Stress'!Y57+'Wind Loading'!$P$43*'Combined Stress'!Y58+'Wind Loading'!$P$42*'Combined Stress'!Y59+'Wind Loading'!$P$41*'Combined Stress'!Y60+'Wind Loading'!$P$40*'Combined Stress'!Y61+'Wind Loading'!$P$39*'Combined Stress'!Y62+'Wind Loading'!$P$38*'Combined Stress'!Y63+'Wind Loading'!$P$37*'Combined Stress'!Y64+'Wind Loading'!$P$36*'Combined Stress'!Y65+'Wind Loading'!$P$35*'Combined Stress'!Y66+'Wind Loading'!$P$34*'Combined Stress'!Y67+'Wind Loading'!$P$33*'Combined Stress'!Y68+'Wind Loading'!$P$32*'Combined Stress'!Y69</f>
        <v>147112.64506111533</v>
      </c>
      <c r="AA32" s="60">
        <f>((Z32*'Alternative 3'!K33)/'Alternative 3'!L33)/1000000</f>
        <v>4.057180800600996</v>
      </c>
      <c r="AB32" s="60">
        <f t="shared" si="4"/>
        <v>38</v>
      </c>
      <c r="AC32" s="14">
        <f>'Alternative 3'!$B$3+'Alternative 3'!$B$5+('Alternative 2'!$B$39*AB32)</f>
        <v>337914.9963041789</v>
      </c>
      <c r="AD32" s="60">
        <f>'Alternative 3'!M33</f>
        <v>1.8129927254125557</v>
      </c>
      <c r="AE32" s="60">
        <f t="shared" si="5"/>
        <v>0.18638519149451335</v>
      </c>
      <c r="AF32" s="60">
        <f t="shared" si="6"/>
        <v>4.2435659920955091</v>
      </c>
    </row>
    <row r="33" spans="1:32" x14ac:dyDescent="0.25">
      <c r="A33" s="13">
        <f>IF('Alternative 1'!F34&gt;0,'Alternative 1'!F34,"x")</f>
        <v>31</v>
      </c>
      <c r="B33" s="30">
        <f t="shared" si="7"/>
        <v>6.5</v>
      </c>
      <c r="C33" s="30">
        <f t="shared" si="8"/>
        <v>5.5</v>
      </c>
      <c r="D33" s="14">
        <f>'Dynamic Loading'!$I$3*'Combined Stress'!B33+'Wind Loading'!$F$69*C33+'Wind Loading'!$F$68*'Combined Stress'!C34+'Wind Loading'!$F$67*'Combined Stress'!C35+'Wind Loading'!$F$66*'Combined Stress'!C36+'Wind Loading'!$F$65*'Combined Stress'!C37+'Wind Loading'!$F$64*'Combined Stress'!C38+'Wind Loading'!$F$63*'Combined Stress'!C39+'Wind Loading'!$F$62*'Combined Stress'!C40+'Wind Loading'!$F$61*'Combined Stress'!C41+'Wind Loading'!$F$60*'Combined Stress'!C42+'Wind Loading'!$F$59*'Combined Stress'!C43+'Wind Loading'!$F$58*'Combined Stress'!C44+'Wind Loading'!$F$57*'Combined Stress'!C45+'Wind Loading'!$F$56*'Combined Stress'!C46+'Wind Loading'!$F$55*'Combined Stress'!C47+'Wind Loading'!$F$54*'Combined Stress'!C48+'Wind Loading'!$F$53*'Combined Stress'!C49+'Wind Loading'!$F$52*'Combined Stress'!C50+'Wind Loading'!$F$51*'Combined Stress'!C51+'Wind Loading'!$F$50*'Combined Stress'!C52+'Wind Loading'!$F$49*'Combined Stress'!C53+'Wind Loading'!$F$48*'Combined Stress'!C54+'Wind Loading'!$F$47*'Combined Stress'!C55+'Wind Loading'!$F$46*'Combined Stress'!C56+'Wind Loading'!$F$45*'Combined Stress'!C57+'Wind Loading'!$F$44*'Combined Stress'!C58+'Wind Loading'!$F$43*'Combined Stress'!C59+'Wind Loading'!$F$42*'Combined Stress'!C60+'Wind Loading'!$F$41*'Combined Stress'!C61+'Wind Loading'!$F$40*'Combined Stress'!C62+'Wind Loading'!$F$39*'Combined Stress'!C63+'Wind Loading'!$F$38*'Combined Stress'!C64+'Wind Loading'!$F$37*'Combined Stress'!C65+'Wind Loading'!$F$36*'Combined Stress'!C66+'Wind Loading'!$F$35*'Combined Stress'!C67+'Wind Loading'!$F$34*'Combined Stress'!C68+'Wind Loading'!$F$33*'Combined Stress'!C69</f>
        <v>127497.62571963327</v>
      </c>
      <c r="E33" s="14">
        <f>((D33*'Alternative 1'!K34)/'Alternative 1'!L34)/1000000</f>
        <v>3.6101215810234089</v>
      </c>
      <c r="F33" s="30">
        <f t="shared" si="9"/>
        <v>6</v>
      </c>
      <c r="G33" s="14">
        <f>IF(F33&gt;0,'Alternative 1'!$B$3+'Alternative 1'!$B$5+('Alternative 1'!$B$39*F33),0)</f>
        <v>65808.412637501926</v>
      </c>
      <c r="H33" s="14">
        <f>'Alternative 1'!M34</f>
        <v>1.7658373078235334</v>
      </c>
      <c r="I33" s="14">
        <f t="shared" si="0"/>
        <v>3.7267540076278867E-2</v>
      </c>
      <c r="J33" s="14">
        <f t="shared" si="1"/>
        <v>3.6473891210996876</v>
      </c>
      <c r="K33" s="286"/>
      <c r="L33" s="13">
        <f>IF('Alternative 2'!$F34&gt;0,'Alternative 2'!$F34,"x")</f>
        <v>31</v>
      </c>
      <c r="M33" s="30">
        <f t="shared" si="10"/>
        <v>6.5</v>
      </c>
      <c r="N33" s="30">
        <f t="shared" si="11"/>
        <v>5.5</v>
      </c>
      <c r="O33" s="14">
        <f>'Dynamic Loading'!$Q$3*'Combined Stress'!M33+'Wind Loading'!$K$69*N33+'Wind Loading'!$K$68*'Combined Stress'!N34+'Wind Loading'!$K$67*'Combined Stress'!N35+'Wind Loading'!$K$66*'Combined Stress'!N36+'Wind Loading'!$K$65*'Combined Stress'!N37+'Wind Loading'!$K$64*'Combined Stress'!N38+'Wind Loading'!$K$63*'Combined Stress'!N39+'Wind Loading'!$K$62*'Combined Stress'!N40+'Wind Loading'!$K$61*'Combined Stress'!N41+'Wind Loading'!$K$60*'Combined Stress'!N42+'Wind Loading'!$K$59*'Combined Stress'!N43+'Wind Loading'!$K$58*'Combined Stress'!N44+'Wind Loading'!$K$57*'Combined Stress'!N45+'Wind Loading'!$K$56*'Combined Stress'!N46+'Wind Loading'!$K$55*'Combined Stress'!N47+'Wind Loading'!$K$54*'Combined Stress'!N48+'Wind Loading'!$K$53*'Combined Stress'!N49+'Wind Loading'!$K$52*'Combined Stress'!N50+'Wind Loading'!$K$51*'Combined Stress'!N51+'Wind Loading'!$K$50*'Combined Stress'!N52+'Wind Loading'!$K$49*'Combined Stress'!N53+'Wind Loading'!$K$48*'Combined Stress'!N54+'Wind Loading'!$K$47*'Combined Stress'!N55+'Wind Loading'!$K$46*'Combined Stress'!N56+'Wind Loading'!$K$45*'Combined Stress'!N57+'Wind Loading'!$K$44*'Combined Stress'!N58+'Wind Loading'!$K$43*'Combined Stress'!N59+'Wind Loading'!$K$42*'Combined Stress'!N60+'Wind Loading'!$K$41*'Combined Stress'!N61+'Wind Loading'!$K$40*'Combined Stress'!N62+'Wind Loading'!$K$39*'Combined Stress'!N63+'Wind Loading'!$K$38*'Combined Stress'!N64+'Wind Loading'!$K$37*'Combined Stress'!N65+'Wind Loading'!$K$36*'Combined Stress'!N66+'Wind Loading'!$K$35*'Combined Stress'!N67+'Wind Loading'!$K$34*'Combined Stress'!N68+'Wind Loading'!$K$33*'Combined Stress'!N69</f>
        <v>127497.62571963327</v>
      </c>
      <c r="P33" s="14">
        <f>((O33*'Alternative 2'!K34)/'Alternative 2'!L34)/1000000</f>
        <v>3.6101215810234089</v>
      </c>
      <c r="Q33" s="30">
        <f t="shared" si="12"/>
        <v>6</v>
      </c>
      <c r="R33" s="14">
        <f>'Alternative 2'!$B$3+'Alternative 2'!$B$5+('Alternative 2'!$B$39*Q33)</f>
        <v>65808.412637501926</v>
      </c>
      <c r="S33" s="14">
        <f>'Alternative 2'!M34</f>
        <v>1.7658373078235334</v>
      </c>
      <c r="T33" s="14">
        <f t="shared" si="2"/>
        <v>3.7267540076278867E-2</v>
      </c>
      <c r="U33" s="284">
        <f t="shared" si="3"/>
        <v>3.6473891210996876</v>
      </c>
      <c r="V33" s="286"/>
      <c r="W33" s="153">
        <f>'Alternative 3'!F34</f>
        <v>31</v>
      </c>
      <c r="X33" s="59">
        <f t="shared" si="13"/>
        <v>6.5</v>
      </c>
      <c r="Y33" s="30">
        <f t="shared" si="14"/>
        <v>5.5</v>
      </c>
      <c r="Z33" s="60">
        <f>'Dynamic Loading'!$Y$3*'Combined Stress'!X33+'Wind Loading'!$P$69*Y33+'Wind Loading'!$P$68*'Combined Stress'!Y34+'Wind Loading'!$P$67*'Combined Stress'!Y35+'Wind Loading'!$P$66*'Combined Stress'!Y36+'Wind Loading'!$P$65*'Combined Stress'!Y37+'Wind Loading'!$P$64*'Combined Stress'!Y38+'Wind Loading'!$P$63*'Combined Stress'!Y39+'Wind Loading'!$P$62*'Combined Stress'!Y40+'Wind Loading'!$P$61*'Combined Stress'!Y41+'Wind Loading'!$P$60*'Combined Stress'!Y42+'Wind Loading'!$P$59*'Combined Stress'!Y43+'Wind Loading'!$P$58*'Combined Stress'!Y44+'Wind Loading'!$P$57*'Combined Stress'!Y45+'Wind Loading'!$P$56*'Combined Stress'!Y46+'Wind Loading'!$P$55*'Combined Stress'!Y47+'Wind Loading'!$P$54*'Combined Stress'!Y48+'Wind Loading'!$P$53*'Combined Stress'!Y49+'Wind Loading'!$P$52*'Combined Stress'!Y50+'Wind Loading'!$P$51*'Combined Stress'!Y51+'Wind Loading'!$P$50*'Combined Stress'!Y52+'Wind Loading'!$P$49*'Combined Stress'!Y53+'Wind Loading'!$P$48*'Combined Stress'!Y54+'Wind Loading'!$P$47*'Combined Stress'!Y55+'Wind Loading'!$P$46*'Combined Stress'!Y56+'Wind Loading'!$P$45*'Combined Stress'!Y57+'Wind Loading'!$P$44*'Combined Stress'!Y58+'Wind Loading'!$P$43*'Combined Stress'!Y59+'Wind Loading'!$P$42*'Combined Stress'!Y60+'Wind Loading'!$P$41*'Combined Stress'!Y61+'Wind Loading'!$P$40*'Combined Stress'!Y62+'Wind Loading'!$P$39*'Combined Stress'!Y63+'Wind Loading'!$P$38*'Combined Stress'!Y64+'Wind Loading'!$P$37*'Combined Stress'!Y65+'Wind Loading'!$P$36*'Combined Stress'!Y66+'Wind Loading'!$P$35*'Combined Stress'!Y67+'Wind Loading'!$P$34*'Combined Stress'!Y68+'Wind Loading'!$P$33*'Combined Stress'!Y69</f>
        <v>127497.62571963327</v>
      </c>
      <c r="AA33" s="60">
        <f>((Z33*'Alternative 3'!K34)/'Alternative 3'!L34)/1000000</f>
        <v>3.6101215810234089</v>
      </c>
      <c r="AB33" s="60">
        <f t="shared" si="4"/>
        <v>37</v>
      </c>
      <c r="AC33" s="14">
        <f>'Alternative 3'!$B$3+'Alternative 3'!$B$5+('Alternative 2'!$B$39*AB33)</f>
        <v>329411.66556459526</v>
      </c>
      <c r="AD33" s="60">
        <f>'Alternative 3'!M34</f>
        <v>1.7658373078235334</v>
      </c>
      <c r="AE33" s="60">
        <f t="shared" si="5"/>
        <v>0.18654700753299214</v>
      </c>
      <c r="AF33" s="60">
        <f t="shared" si="6"/>
        <v>3.7966685885564009</v>
      </c>
    </row>
    <row r="34" spans="1:32" x14ac:dyDescent="0.25">
      <c r="A34" s="13">
        <f>IF('Alternative 1'!F35&gt;0,'Alternative 1'!F35,"x")</f>
        <v>32</v>
      </c>
      <c r="B34" s="30">
        <f t="shared" si="7"/>
        <v>5.5</v>
      </c>
      <c r="C34" s="30">
        <f t="shared" si="8"/>
        <v>4.5</v>
      </c>
      <c r="D34" s="14">
        <f>'Dynamic Loading'!$I$3*'Combined Stress'!B34+'Wind Loading'!$F$69*C34+'Wind Loading'!$F$68*'Combined Stress'!C35+'Wind Loading'!$F$67*'Combined Stress'!C36+'Wind Loading'!$F$66*'Combined Stress'!C37+'Wind Loading'!$F$65*'Combined Stress'!C38+'Wind Loading'!$F$64*'Combined Stress'!C39+'Wind Loading'!$F$63*'Combined Stress'!C40+'Wind Loading'!$F$62*'Combined Stress'!C41+'Wind Loading'!$F$61*'Combined Stress'!C42+'Wind Loading'!$F$60*'Combined Stress'!C43+'Wind Loading'!$F$59*'Combined Stress'!C44+'Wind Loading'!$F$58*'Combined Stress'!C45+'Wind Loading'!$F$57*'Combined Stress'!C46+'Wind Loading'!$F$56*'Combined Stress'!C47+'Wind Loading'!$F$55*'Combined Stress'!C48+'Wind Loading'!$F$54*'Combined Stress'!C49+'Wind Loading'!$F$53*'Combined Stress'!C50+'Wind Loading'!$F$52*'Combined Stress'!C51+'Wind Loading'!$F$51*'Combined Stress'!C52+'Wind Loading'!$F$50*'Combined Stress'!C53+'Wind Loading'!$F$49*'Combined Stress'!C54+'Wind Loading'!$F$48*'Combined Stress'!C55+'Wind Loading'!$F$47*'Combined Stress'!C56+'Wind Loading'!$F$46*'Combined Stress'!C57+'Wind Loading'!$F$45*'Combined Stress'!C58+'Wind Loading'!$F$44*'Combined Stress'!C59+'Wind Loading'!$F$43*'Combined Stress'!C60+'Wind Loading'!$F$42*'Combined Stress'!C61+'Wind Loading'!$F$41*'Combined Stress'!C62+'Wind Loading'!$F$40*'Combined Stress'!C63+'Wind Loading'!$F$39*'Combined Stress'!C64+'Wind Loading'!$F$38*'Combined Stress'!C65+'Wind Loading'!$F$37*'Combined Stress'!C66+'Wind Loading'!$F$36*'Combined Stress'!C67+'Wind Loading'!$F$35*'Combined Stress'!C68+'Wind Loading'!$F$34*'Combined Stress'!C69</f>
        <v>107882.60637815123</v>
      </c>
      <c r="E34" s="14">
        <f>((D34*'Alternative 1'!K35)/'Alternative 1'!L35)/1000000</f>
        <v>3.1373961979213014</v>
      </c>
      <c r="F34" s="30">
        <f t="shared" si="9"/>
        <v>5</v>
      </c>
      <c r="G34" s="14">
        <f>IF(F34&gt;0,'Alternative 1'!$B$3+'Alternative 1'!$B$5+('Alternative 1'!$B$39*F34),0)</f>
        <v>57305.081897918273</v>
      </c>
      <c r="H34" s="14">
        <f>'Alternative 1'!M35</f>
        <v>1.7193032469092839</v>
      </c>
      <c r="I34" s="14">
        <f t="shared" si="0"/>
        <v>3.3330409862793613E-2</v>
      </c>
      <c r="J34" s="14">
        <f t="shared" si="1"/>
        <v>3.1707266077840952</v>
      </c>
      <c r="K34" s="286"/>
      <c r="L34" s="13">
        <f>IF('Alternative 2'!$F35&gt;0,'Alternative 2'!$F35,"x")</f>
        <v>32</v>
      </c>
      <c r="M34" s="30">
        <f t="shared" si="10"/>
        <v>5.5</v>
      </c>
      <c r="N34" s="30">
        <f t="shared" si="11"/>
        <v>4.5</v>
      </c>
      <c r="O34" s="14">
        <f>'Dynamic Loading'!$Q$3*'Combined Stress'!M34+'Wind Loading'!$K$69*N34+'Wind Loading'!$K$68*'Combined Stress'!N35+'Wind Loading'!$K$67*'Combined Stress'!N36+'Wind Loading'!$K$66*'Combined Stress'!N37+'Wind Loading'!$K$65*'Combined Stress'!N38+'Wind Loading'!$K$64*'Combined Stress'!N39+'Wind Loading'!$K$63*'Combined Stress'!N40+'Wind Loading'!$K$62*'Combined Stress'!N41+'Wind Loading'!$K$61*'Combined Stress'!N42+'Wind Loading'!$K$60*'Combined Stress'!N43+'Wind Loading'!$K$59*'Combined Stress'!N44+'Wind Loading'!$K$58*'Combined Stress'!N45+'Wind Loading'!$K$57*'Combined Stress'!N46+'Wind Loading'!$K$56*'Combined Stress'!N47+'Wind Loading'!$K$55*'Combined Stress'!N48+'Wind Loading'!$K$54*'Combined Stress'!N49+'Wind Loading'!$K$53*'Combined Stress'!N50+'Wind Loading'!$K$52*'Combined Stress'!N51+'Wind Loading'!$K$51*'Combined Stress'!N52+'Wind Loading'!$K$50*'Combined Stress'!N53+'Wind Loading'!$K$49*'Combined Stress'!N54+'Wind Loading'!$K$48*'Combined Stress'!N55+'Wind Loading'!$K$47*'Combined Stress'!N56+'Wind Loading'!$K$46*'Combined Stress'!N57+'Wind Loading'!$K$45*'Combined Stress'!N58+'Wind Loading'!$K$44*'Combined Stress'!N59+'Wind Loading'!$K$43*'Combined Stress'!N60+'Wind Loading'!$K$42*'Combined Stress'!N61+'Wind Loading'!$K$41*'Combined Stress'!N62+'Wind Loading'!$K$40*'Combined Stress'!N63+'Wind Loading'!$K$39*'Combined Stress'!N64+'Wind Loading'!$K$38*'Combined Stress'!N65+'Wind Loading'!$K$37*'Combined Stress'!N66+'Wind Loading'!$K$36*'Combined Stress'!N67+'Wind Loading'!$K$35*'Combined Stress'!N68+'Wind Loading'!$K$34*'Combined Stress'!N69</f>
        <v>107882.60637815123</v>
      </c>
      <c r="P34" s="14">
        <f>((O34*'Alternative 2'!K35)/'Alternative 2'!L35)/1000000</f>
        <v>3.1373961979213014</v>
      </c>
      <c r="Q34" s="30">
        <f t="shared" si="12"/>
        <v>5</v>
      </c>
      <c r="R34" s="14">
        <f>'Alternative 2'!$B$3+'Alternative 2'!$B$5+('Alternative 2'!$B$39*Q34)</f>
        <v>57305.081897918273</v>
      </c>
      <c r="S34" s="14">
        <f>'Alternative 2'!M35</f>
        <v>1.7193032469092839</v>
      </c>
      <c r="T34" s="14">
        <f t="shared" si="2"/>
        <v>3.3330409862793613E-2</v>
      </c>
      <c r="U34" s="284">
        <f t="shared" si="3"/>
        <v>3.1707266077840952</v>
      </c>
      <c r="V34" s="286"/>
      <c r="W34" s="153">
        <f>'Alternative 3'!F35</f>
        <v>32</v>
      </c>
      <c r="X34" s="59">
        <f t="shared" si="13"/>
        <v>5.5</v>
      </c>
      <c r="Y34" s="30">
        <f t="shared" si="14"/>
        <v>4.5</v>
      </c>
      <c r="Z34" s="60">
        <f>'Dynamic Loading'!$Y$3*'Combined Stress'!X34+'Wind Loading'!$P$69*Y34+'Wind Loading'!$P$68*'Combined Stress'!Y35+'Wind Loading'!$P$67*'Combined Stress'!Y36+'Wind Loading'!$P$66*'Combined Stress'!Y37+'Wind Loading'!$P$65*'Combined Stress'!Y38+'Wind Loading'!$P$64*'Combined Stress'!Y39+'Wind Loading'!$P$63*'Combined Stress'!Y40+'Wind Loading'!$P$62*'Combined Stress'!Y41+'Wind Loading'!$P$61*'Combined Stress'!Y42+'Wind Loading'!$P$60*'Combined Stress'!Y43+'Wind Loading'!$P$59*'Combined Stress'!Y44+'Wind Loading'!$P$58*'Combined Stress'!Y45+'Wind Loading'!$P$57*'Combined Stress'!Y46+'Wind Loading'!$P$56*'Combined Stress'!Y47+'Wind Loading'!$P$55*'Combined Stress'!Y48+'Wind Loading'!$P$54*'Combined Stress'!Y49+'Wind Loading'!$P$53*'Combined Stress'!Y50+'Wind Loading'!$P$52*'Combined Stress'!Y51+'Wind Loading'!$P$51*'Combined Stress'!Y52+'Wind Loading'!$P$50*'Combined Stress'!Y53+'Wind Loading'!$P$49*'Combined Stress'!Y54+'Wind Loading'!$P$48*'Combined Stress'!Y55+'Wind Loading'!$P$47*'Combined Stress'!Y56+'Wind Loading'!$P$46*'Combined Stress'!Y57+'Wind Loading'!$P$45*'Combined Stress'!Y58+'Wind Loading'!$P$44*'Combined Stress'!Y59+'Wind Loading'!$P$43*'Combined Stress'!Y60+'Wind Loading'!$P$42*'Combined Stress'!Y61+'Wind Loading'!$P$41*'Combined Stress'!Y62+'Wind Loading'!$P$40*'Combined Stress'!Y63+'Wind Loading'!$P$39*'Combined Stress'!Y64+'Wind Loading'!$P$38*'Combined Stress'!Y65+'Wind Loading'!$P$37*'Combined Stress'!Y66+'Wind Loading'!$P$36*'Combined Stress'!Y67+'Wind Loading'!$P$35*'Combined Stress'!Y68+'Wind Loading'!$P$34*'Combined Stress'!Y69</f>
        <v>107882.60637815123</v>
      </c>
      <c r="AA34" s="60">
        <f>((Z34*'Alternative 3'!K35)/'Alternative 3'!L35)/1000000</f>
        <v>3.1373961979213014</v>
      </c>
      <c r="AB34" s="60">
        <f t="shared" si="4"/>
        <v>36</v>
      </c>
      <c r="AC34" s="14">
        <f>'Alternative 3'!$B$3+'Alternative 3'!$B$5+('Alternative 2'!$B$39*AB34)</f>
        <v>320908.33482501161</v>
      </c>
      <c r="AD34" s="60">
        <f>'Alternative 3'!M35</f>
        <v>1.7193032469092839</v>
      </c>
      <c r="AE34" s="60">
        <f t="shared" si="5"/>
        <v>0.18665022322379396</v>
      </c>
      <c r="AF34" s="60">
        <f t="shared" si="6"/>
        <v>3.3240464211450953</v>
      </c>
    </row>
    <row r="35" spans="1:32" x14ac:dyDescent="0.25">
      <c r="A35" s="13">
        <f>IF('Alternative 1'!F36&gt;0,'Alternative 1'!F36,"x")</f>
        <v>33</v>
      </c>
      <c r="B35" s="30">
        <f t="shared" si="7"/>
        <v>4.5</v>
      </c>
      <c r="C35" s="30">
        <f t="shared" si="8"/>
        <v>3.5</v>
      </c>
      <c r="D35" s="14">
        <f>'Dynamic Loading'!$I$3*'Combined Stress'!B35+'Wind Loading'!$F$69*C35+'Wind Loading'!$F$68*'Combined Stress'!C36+'Wind Loading'!$F$67*'Combined Stress'!C37+'Wind Loading'!$F$66*'Combined Stress'!C38+'Wind Loading'!$F$65*'Combined Stress'!C39+'Wind Loading'!$F$64*'Combined Stress'!C40+'Wind Loading'!$F$63*'Combined Stress'!C41+'Wind Loading'!$F$62*'Combined Stress'!C42+'Wind Loading'!$F$61*'Combined Stress'!C43+'Wind Loading'!$F$60*'Combined Stress'!C44+'Wind Loading'!$F$59*'Combined Stress'!C45+'Wind Loading'!$F$58*'Combined Stress'!C46+'Wind Loading'!$F$57*'Combined Stress'!C47+'Wind Loading'!$F$56*'Combined Stress'!C48+'Wind Loading'!$F$55*'Combined Stress'!C49+'Wind Loading'!$F$54*'Combined Stress'!C50+'Wind Loading'!$F$53*'Combined Stress'!C51+'Wind Loading'!$F$52*'Combined Stress'!C52+'Wind Loading'!$F$51*'Combined Stress'!C53+'Wind Loading'!$F$50*'Combined Stress'!C54+'Wind Loading'!$F$49*'Combined Stress'!C55+'Wind Loading'!$F$48*'Combined Stress'!C56+'Wind Loading'!$F$47*'Combined Stress'!C57+'Wind Loading'!$F$46*'Combined Stress'!C58+'Wind Loading'!$F$45*'Combined Stress'!C59+'Wind Loading'!$F$44*'Combined Stress'!C60+'Wind Loading'!$F$43*'Combined Stress'!C61+'Wind Loading'!$F$42*'Combined Stress'!C62+'Wind Loading'!$F$41*'Combined Stress'!C63+'Wind Loading'!$F$40*'Combined Stress'!C64+'Wind Loading'!$F$39*'Combined Stress'!C65+'Wind Loading'!$F$38*'Combined Stress'!C66+'Wind Loading'!$F$37*'Combined Stress'!C67+'Wind Loading'!$F$36*'Combined Stress'!C68+'Wind Loading'!$F$35*'Combined Stress'!C69</f>
        <v>88267.587036669196</v>
      </c>
      <c r="E35" s="14">
        <f>((D35*'Alternative 1'!K36)/'Alternative 1'!L36)/1000000</f>
        <v>2.6373900495831291</v>
      </c>
      <c r="F35" s="30">
        <f t="shared" si="9"/>
        <v>4</v>
      </c>
      <c r="G35" s="14">
        <f>IF(F35&gt;0,'Alternative 1'!$B$3+'Alternative 1'!$B$5+('Alternative 1'!$B$39*F35),0)</f>
        <v>48801.75115833462</v>
      </c>
      <c r="H35" s="14">
        <f>'Alternative 1'!M36</f>
        <v>1.6733905426698055</v>
      </c>
      <c r="I35" s="14">
        <f t="shared" ref="I35:I66" si="15">(G35/H35)/1000000</f>
        <v>2.916339605963951E-2</v>
      </c>
      <c r="J35" s="14">
        <f t="shared" ref="J35:J66" si="16">I35+E35</f>
        <v>2.6665534456427684</v>
      </c>
      <c r="K35" s="286"/>
      <c r="L35" s="13">
        <f>IF('Alternative 2'!$F36&gt;0,'Alternative 2'!$F36,"x")</f>
        <v>33</v>
      </c>
      <c r="M35" s="30">
        <f t="shared" si="10"/>
        <v>4.5</v>
      </c>
      <c r="N35" s="30">
        <f t="shared" si="11"/>
        <v>3.5</v>
      </c>
      <c r="O35" s="14">
        <f>'Dynamic Loading'!$Q$3*'Combined Stress'!M35+'Wind Loading'!$K$69*N35+'Wind Loading'!$K$68*'Combined Stress'!N36+'Wind Loading'!$K$67*'Combined Stress'!N37+'Wind Loading'!$K$66*'Combined Stress'!N38+'Wind Loading'!$K$65*'Combined Stress'!N39+'Wind Loading'!$K$64*'Combined Stress'!N40+'Wind Loading'!$K$63*'Combined Stress'!N41+'Wind Loading'!$K$62*'Combined Stress'!N42+'Wind Loading'!$K$61*'Combined Stress'!N43+'Wind Loading'!$K$60*'Combined Stress'!N44+'Wind Loading'!$K$59*'Combined Stress'!N45+'Wind Loading'!$K$58*'Combined Stress'!N46+'Wind Loading'!$K$57*'Combined Stress'!N47+'Wind Loading'!$K$56*'Combined Stress'!N48+'Wind Loading'!$K$55*'Combined Stress'!N49+'Wind Loading'!$K$54*'Combined Stress'!N50+'Wind Loading'!$K$53*'Combined Stress'!N51+'Wind Loading'!$K$52*'Combined Stress'!N52+'Wind Loading'!$K$51*'Combined Stress'!N53+'Wind Loading'!$K$50*'Combined Stress'!N54+'Wind Loading'!$K$49*'Combined Stress'!N55+'Wind Loading'!$K$48*'Combined Stress'!N56+'Wind Loading'!$K$47*'Combined Stress'!N57+'Wind Loading'!$K$46*'Combined Stress'!N58+'Wind Loading'!$K$45*'Combined Stress'!N59+'Wind Loading'!$K$44*'Combined Stress'!N60+'Wind Loading'!$K$43*'Combined Stress'!N61+'Wind Loading'!$K$42*'Combined Stress'!N62+'Wind Loading'!$K$41*'Combined Stress'!N63+'Wind Loading'!$K$40*'Combined Stress'!N64+'Wind Loading'!$K$39*'Combined Stress'!N65+'Wind Loading'!$K$38*'Combined Stress'!N66+'Wind Loading'!$K$37*'Combined Stress'!N67+'Wind Loading'!$K$36*'Combined Stress'!N68+'Wind Loading'!$K$35*'Combined Stress'!N69</f>
        <v>88267.587036669196</v>
      </c>
      <c r="P35" s="14">
        <f>((O35*'Alternative 2'!K36)/'Alternative 2'!L36)/1000000</f>
        <v>2.6373900495831291</v>
      </c>
      <c r="Q35" s="30">
        <f t="shared" si="12"/>
        <v>4</v>
      </c>
      <c r="R35" s="14">
        <f>'Alternative 2'!$B$3+'Alternative 2'!$B$5+('Alternative 2'!$B$39*Q35)</f>
        <v>48801.75115833462</v>
      </c>
      <c r="S35" s="14">
        <f>'Alternative 2'!M36</f>
        <v>1.6733905426698055</v>
      </c>
      <c r="T35" s="14">
        <f t="shared" ref="T35:T66" si="17">(R35/S35)/1000000</f>
        <v>2.916339605963951E-2</v>
      </c>
      <c r="U35" s="284">
        <f t="shared" ref="U35:U66" si="18">T35+P35</f>
        <v>2.6665534456427684</v>
      </c>
      <c r="V35" s="286"/>
      <c r="W35" s="153">
        <f>'Alternative 3'!F36</f>
        <v>33</v>
      </c>
      <c r="X35" s="59">
        <f t="shared" si="13"/>
        <v>4.5</v>
      </c>
      <c r="Y35" s="30">
        <f t="shared" si="14"/>
        <v>3.5</v>
      </c>
      <c r="Z35" s="60">
        <f>'Dynamic Loading'!$Y$3*'Combined Stress'!X35+'Wind Loading'!$P$69*Y35+'Wind Loading'!$P$68*'Combined Stress'!Y36+'Wind Loading'!$P$67*'Combined Stress'!Y37+'Wind Loading'!$P$66*'Combined Stress'!Y38+'Wind Loading'!$P$65*'Combined Stress'!Y39+'Wind Loading'!$P$64*'Combined Stress'!Y40+'Wind Loading'!$P$63*'Combined Stress'!Y41+'Wind Loading'!$P$62*'Combined Stress'!Y42+'Wind Loading'!$P$61*'Combined Stress'!Y43+'Wind Loading'!$P$60*'Combined Stress'!Y44+'Wind Loading'!$P$59*'Combined Stress'!Y45+'Wind Loading'!$P$58*'Combined Stress'!Y46+'Wind Loading'!$P$57*'Combined Stress'!Y47+'Wind Loading'!$P$56*'Combined Stress'!Y48+'Wind Loading'!$P$55*'Combined Stress'!Y49+'Wind Loading'!$P$54*'Combined Stress'!Y50+'Wind Loading'!$P$53*'Combined Stress'!Y51+'Wind Loading'!$P$52*'Combined Stress'!Y52+'Wind Loading'!$P$51*'Combined Stress'!Y53+'Wind Loading'!$P$50*'Combined Stress'!Y54+'Wind Loading'!$P$49*'Combined Stress'!Y55+'Wind Loading'!$P$48*'Combined Stress'!Y56+'Wind Loading'!$P$47*'Combined Stress'!Y57+'Wind Loading'!$P$46*'Combined Stress'!Y58+'Wind Loading'!$P$45*'Combined Stress'!Y59+'Wind Loading'!$P$44*'Combined Stress'!Y60+'Wind Loading'!$P$43*'Combined Stress'!Y61+'Wind Loading'!$P$42*'Combined Stress'!Y62+'Wind Loading'!$P$41*'Combined Stress'!Y63+'Wind Loading'!$P$40*'Combined Stress'!Y64+'Wind Loading'!$P$39*'Combined Stress'!Y65+'Wind Loading'!$P$38*'Combined Stress'!Y66+'Wind Loading'!$P$37*'Combined Stress'!Y67+'Wind Loading'!$P$36*'Combined Stress'!Y68+'Wind Loading'!$P$35*'Combined Stress'!Y69</f>
        <v>88267.587036669196</v>
      </c>
      <c r="AA35" s="60">
        <f>((Z35*'Alternative 3'!K36)/'Alternative 3'!L36)/1000000</f>
        <v>2.6373900495831291</v>
      </c>
      <c r="AB35" s="60">
        <f t="shared" ref="AB35:AB68" si="19">AB36+1</f>
        <v>35</v>
      </c>
      <c r="AC35" s="14">
        <f>'Alternative 3'!$B$3+'Alternative 3'!$B$5+('Alternative 2'!$B$39*AB35)</f>
        <v>312405.00408542791</v>
      </c>
      <c r="AD35" s="60">
        <f>'Alternative 3'!M36</f>
        <v>1.6733905426698055</v>
      </c>
      <c r="AE35" s="60">
        <f t="shared" ref="AE35:AE66" si="20">(AC35/AD35)/1000000</f>
        <v>0.18668983487082602</v>
      </c>
      <c r="AF35" s="60">
        <f t="shared" ref="AF35:AF66" si="21">AE35+AA35</f>
        <v>2.8240798844539552</v>
      </c>
    </row>
    <row r="36" spans="1:32" x14ac:dyDescent="0.25">
      <c r="A36" s="13">
        <f>IF('Alternative 1'!F37&gt;0,'Alternative 1'!F37,"x")</f>
        <v>34</v>
      </c>
      <c r="B36" s="30">
        <f t="shared" si="7"/>
        <v>3.5</v>
      </c>
      <c r="C36" s="30">
        <f t="shared" si="8"/>
        <v>2.5</v>
      </c>
      <c r="D36" s="14">
        <f>'Dynamic Loading'!$I$3*'Combined Stress'!B36+'Wind Loading'!$F$69*C36+'Wind Loading'!$F$68*'Combined Stress'!C37+'Wind Loading'!$F$67*'Combined Stress'!C38+'Wind Loading'!$F$66*'Combined Stress'!C39+'Wind Loading'!$F$65*'Combined Stress'!C40+'Wind Loading'!$F$64*'Combined Stress'!C41+'Wind Loading'!$F$63*'Combined Stress'!C42+'Wind Loading'!$F$62*'Combined Stress'!C43+'Wind Loading'!$F$61*'Combined Stress'!C44+'Wind Loading'!$F$60*'Combined Stress'!C45+'Wind Loading'!$F$59*'Combined Stress'!C46+'Wind Loading'!$F$58*'Combined Stress'!C47+'Wind Loading'!$F$57*'Combined Stress'!C48+'Wind Loading'!$F$56*'Combined Stress'!C49+'Wind Loading'!$F$55*'Combined Stress'!C50+'Wind Loading'!$F$54*'Combined Stress'!C51+'Wind Loading'!$F$53*'Combined Stress'!C52+'Wind Loading'!$F$52*'Combined Stress'!C53+'Wind Loading'!$F$51*'Combined Stress'!C54+'Wind Loading'!$F$50*'Combined Stress'!C55+'Wind Loading'!$F$49*'Combined Stress'!C56+'Wind Loading'!$F$48*'Combined Stress'!C57+'Wind Loading'!$F$47*'Combined Stress'!C58+'Wind Loading'!$F$46*'Combined Stress'!C59+'Wind Loading'!$F$45*'Combined Stress'!C60+'Wind Loading'!$F$44*'Combined Stress'!C61+'Wind Loading'!$F$43*'Combined Stress'!C62+'Wind Loading'!$F$42*'Combined Stress'!C63+'Wind Loading'!$F$41*'Combined Stress'!C64+'Wind Loading'!$F$40*'Combined Stress'!C65+'Wind Loading'!$F$39*'Combined Stress'!C66+'Wind Loading'!$F$38*'Combined Stress'!C67+'Wind Loading'!$F$37*'Combined Stress'!C68+'Wind Loading'!$F$36*'Combined Stress'!C69</f>
        <v>68652.567695187143</v>
      </c>
      <c r="E36" s="14">
        <f>((D36*'Alternative 1'!K37)/'Alternative 1'!L37)/1000000</f>
        <v>2.1083676430779095</v>
      </c>
      <c r="F36" s="30">
        <f t="shared" si="9"/>
        <v>3</v>
      </c>
      <c r="G36" s="14">
        <f>IF(F36&gt;0,'Alternative 1'!$B$3+'Alternative 1'!$B$5+('Alternative 1'!$B$39*F36),0)</f>
        <v>40298.420418750968</v>
      </c>
      <c r="H36" s="14">
        <f>'Alternative 1'!M37</f>
        <v>1.6280991951050983</v>
      </c>
      <c r="I36" s="14">
        <f t="shared" si="15"/>
        <v>2.4751821350878802E-2</v>
      </c>
      <c r="J36" s="14">
        <f t="shared" si="16"/>
        <v>2.1331194644287881</v>
      </c>
      <c r="K36" s="286"/>
      <c r="L36" s="13">
        <f>IF('Alternative 2'!$F37&gt;0,'Alternative 2'!$F37,"x")</f>
        <v>34</v>
      </c>
      <c r="M36" s="30">
        <f t="shared" si="10"/>
        <v>3.5</v>
      </c>
      <c r="N36" s="30">
        <f t="shared" si="11"/>
        <v>2.5</v>
      </c>
      <c r="O36" s="14">
        <f>'Dynamic Loading'!$Q$3*'Combined Stress'!M36+'Wind Loading'!$K$69*N36+'Wind Loading'!$K$68*'Combined Stress'!N37+'Wind Loading'!$K$67*'Combined Stress'!N38+'Wind Loading'!$K$66*'Combined Stress'!N39+'Wind Loading'!$K$65*'Combined Stress'!N40+'Wind Loading'!$K$64*'Combined Stress'!N41+'Wind Loading'!$K$63*'Combined Stress'!N42+'Wind Loading'!$K$62*'Combined Stress'!N43+'Wind Loading'!$K$61*'Combined Stress'!N44+'Wind Loading'!$K$60*'Combined Stress'!N45+'Wind Loading'!$K$59*'Combined Stress'!N46+'Wind Loading'!$K$58*'Combined Stress'!N47+'Wind Loading'!$K$57*'Combined Stress'!N48+'Wind Loading'!$K$56*'Combined Stress'!N49+'Wind Loading'!$K$55*'Combined Stress'!N50+'Wind Loading'!$K$54*'Combined Stress'!N51+'Wind Loading'!$K$53*'Combined Stress'!N52+'Wind Loading'!$K$52*'Combined Stress'!N53+'Wind Loading'!$K$51*'Combined Stress'!N54+'Wind Loading'!$K$50*'Combined Stress'!N55+'Wind Loading'!$K$49*'Combined Stress'!N56+'Wind Loading'!$K$48*'Combined Stress'!N57+'Wind Loading'!$K$47*'Combined Stress'!N58+'Wind Loading'!$K$46*'Combined Stress'!N59+'Wind Loading'!$K$45*'Combined Stress'!N60+'Wind Loading'!$K$44*'Combined Stress'!N61+'Wind Loading'!$K$43*'Combined Stress'!N62+'Wind Loading'!$K$42*'Combined Stress'!N63+'Wind Loading'!$K$41*'Combined Stress'!N64+'Wind Loading'!$K$40*'Combined Stress'!N65+'Wind Loading'!$K$39*'Combined Stress'!N66+'Wind Loading'!$K$38*'Combined Stress'!N67+'Wind Loading'!$K$37*'Combined Stress'!N68+'Wind Loading'!$K$36*'Combined Stress'!N69</f>
        <v>68652.567695187143</v>
      </c>
      <c r="P36" s="14">
        <f>((O36*'Alternative 2'!K37)/'Alternative 2'!L37)/1000000</f>
        <v>2.1083676430779095</v>
      </c>
      <c r="Q36" s="30">
        <f t="shared" si="12"/>
        <v>3</v>
      </c>
      <c r="R36" s="14">
        <f>'Alternative 2'!$B$3+'Alternative 2'!$B$5+('Alternative 2'!$B$39*Q36)</f>
        <v>40298.420418750968</v>
      </c>
      <c r="S36" s="14">
        <f>'Alternative 2'!M37</f>
        <v>1.6280991951050983</v>
      </c>
      <c r="T36" s="14">
        <f t="shared" si="17"/>
        <v>2.4751821350878802E-2</v>
      </c>
      <c r="U36" s="284">
        <f t="shared" si="18"/>
        <v>2.1331194644287881</v>
      </c>
      <c r="V36" s="286"/>
      <c r="W36" s="153">
        <f>'Alternative 3'!F37</f>
        <v>34</v>
      </c>
      <c r="X36" s="59">
        <f t="shared" si="13"/>
        <v>3.5</v>
      </c>
      <c r="Y36" s="30">
        <f t="shared" si="14"/>
        <v>2.5</v>
      </c>
      <c r="Z36" s="60">
        <f>'Dynamic Loading'!$Y$3*'Combined Stress'!X36+'Wind Loading'!$P$69*Y36+'Wind Loading'!$P$68*'Combined Stress'!Y37+'Wind Loading'!$P$67*'Combined Stress'!Y38+'Wind Loading'!$P$66*'Combined Stress'!Y39+'Wind Loading'!$P$65*'Combined Stress'!Y40+'Wind Loading'!$P$64*'Combined Stress'!Y41+'Wind Loading'!$P$63*'Combined Stress'!Y42+'Wind Loading'!$P$62*'Combined Stress'!Y43+'Wind Loading'!$P$61*'Combined Stress'!Y44+'Wind Loading'!$P$60*'Combined Stress'!Y45+'Wind Loading'!$P$59*'Combined Stress'!Y46+'Wind Loading'!$P$58*'Combined Stress'!Y47+'Wind Loading'!$P$57*'Combined Stress'!Y48+'Wind Loading'!$P$56*'Combined Stress'!Y49+'Wind Loading'!$P$55*'Combined Stress'!Y50+'Wind Loading'!$P$54*'Combined Stress'!Y51+'Wind Loading'!$P$53*'Combined Stress'!Y52+'Wind Loading'!$P$52*'Combined Stress'!Y53+'Wind Loading'!$P$51*'Combined Stress'!Y54+'Wind Loading'!$P$50*'Combined Stress'!Y55+'Wind Loading'!$P$49*'Combined Stress'!Y56+'Wind Loading'!$P$48*'Combined Stress'!Y57+'Wind Loading'!$P$47*'Combined Stress'!Y58+'Wind Loading'!$P$46*'Combined Stress'!Y59+'Wind Loading'!$P$45*'Combined Stress'!Y60+'Wind Loading'!$P$44*'Combined Stress'!Y61+'Wind Loading'!$P$43*'Combined Stress'!Y62+'Wind Loading'!$P$42*'Combined Stress'!Y63+'Wind Loading'!$P$41*'Combined Stress'!Y64+'Wind Loading'!$P$40*'Combined Stress'!Y65+'Wind Loading'!$P$39*'Combined Stress'!Y66+'Wind Loading'!$P$38*'Combined Stress'!Y67+'Wind Loading'!$P$37*'Combined Stress'!Y68+'Wind Loading'!$P$36*'Combined Stress'!Y69</f>
        <v>68652.567695187143</v>
      </c>
      <c r="AA36" s="60">
        <f>((Z36*'Alternative 3'!K37)/'Alternative 3'!L37)/1000000</f>
        <v>2.1083676430779095</v>
      </c>
      <c r="AB36" s="60">
        <f t="shared" si="19"/>
        <v>34</v>
      </c>
      <c r="AC36" s="14">
        <f>'Alternative 3'!$B$3+'Alternative 3'!$B$5+('Alternative 2'!$B$39*AB36)</f>
        <v>303901.67334584426</v>
      </c>
      <c r="AD36" s="60">
        <f>'Alternative 3'!M37</f>
        <v>1.6280991951050983</v>
      </c>
      <c r="AE36" s="60">
        <f t="shared" si="20"/>
        <v>0.18666041618319612</v>
      </c>
      <c r="AF36" s="60">
        <f t="shared" si="21"/>
        <v>2.2950280592611056</v>
      </c>
    </row>
    <row r="37" spans="1:32" x14ac:dyDescent="0.25">
      <c r="A37" s="13">
        <f>IF('Alternative 1'!F38&gt;0,'Alternative 1'!F38,"x")</f>
        <v>35</v>
      </c>
      <c r="B37" s="30">
        <f t="shared" si="7"/>
        <v>2.5</v>
      </c>
      <c r="C37" s="30">
        <f t="shared" si="8"/>
        <v>1.5</v>
      </c>
      <c r="D37" s="14">
        <f>'Dynamic Loading'!$I$3*'Combined Stress'!B37+'Wind Loading'!$F$69*C37+'Wind Loading'!$F$68*'Combined Stress'!C38+'Wind Loading'!$F$67*'Combined Stress'!C39+'Wind Loading'!$F$66*'Combined Stress'!C40+'Wind Loading'!$F$65*'Combined Stress'!C41+'Wind Loading'!$F$64*'Combined Stress'!C42+'Wind Loading'!$F$63*'Combined Stress'!C43+'Wind Loading'!$F$62*'Combined Stress'!C44+'Wind Loading'!$F$61*'Combined Stress'!C45+'Wind Loading'!$F$60*'Combined Stress'!C46+'Wind Loading'!$F$59*'Combined Stress'!C47+'Wind Loading'!$F$58*'Combined Stress'!C48+'Wind Loading'!$F$57*'Combined Stress'!C49+'Wind Loading'!$F$56*'Combined Stress'!C50+'Wind Loading'!$F$55*'Combined Stress'!C51+'Wind Loading'!$F$54*'Combined Stress'!C52+'Wind Loading'!$F$53*'Combined Stress'!C53+'Wind Loading'!$F$52*'Combined Stress'!C54+'Wind Loading'!$F$51*'Combined Stress'!C55+'Wind Loading'!$F$50*'Combined Stress'!C56+'Wind Loading'!$F$49*'Combined Stress'!C57+'Wind Loading'!$F$48*'Combined Stress'!C58+'Wind Loading'!$F$47*'Combined Stress'!C59+'Wind Loading'!$F$46*'Combined Stress'!C60+'Wind Loading'!$F$45*'Combined Stress'!C61+'Wind Loading'!$F$44*'Combined Stress'!C62+'Wind Loading'!$F$43*'Combined Stress'!C63+'Wind Loading'!$F$42*'Combined Stress'!C64+'Wind Loading'!$F$41*'Combined Stress'!C65+'Wind Loading'!$F$40*'Combined Stress'!C66+'Wind Loading'!$F$39*'Combined Stress'!C67+'Wind Loading'!$F$38*'Combined Stress'!C68+'Wind Loading'!$F$37*'Combined Stress'!C69</f>
        <v>49037.548353705104</v>
      </c>
      <c r="E37" s="14">
        <f>((D37*'Alternative 1'!K38)/'Alternative 1'!L38)/1000000</f>
        <v>1.5484618778854642</v>
      </c>
      <c r="F37" s="30">
        <f t="shared" si="9"/>
        <v>2</v>
      </c>
      <c r="G37" s="14">
        <f>IF(F37&gt;0,'Alternative 1'!$B$3+'Alternative 1'!$B$5+('Alternative 1'!$B$39*F37),0)</f>
        <v>31795.089679167308</v>
      </c>
      <c r="H37" s="14">
        <f>'Alternative 1'!M38</f>
        <v>1.5834292042151636</v>
      </c>
      <c r="I37" s="14">
        <f t="shared" si="15"/>
        <v>2.0079893432890634E-2</v>
      </c>
      <c r="J37" s="14">
        <f t="shared" si="16"/>
        <v>1.5685417713183549</v>
      </c>
      <c r="K37" s="286"/>
      <c r="L37" s="13">
        <f>IF('Alternative 2'!$F38&gt;0,'Alternative 2'!$F38,"x")</f>
        <v>35</v>
      </c>
      <c r="M37" s="30">
        <f t="shared" si="10"/>
        <v>2.5</v>
      </c>
      <c r="N37" s="30">
        <f t="shared" si="11"/>
        <v>1.5</v>
      </c>
      <c r="O37" s="14">
        <f>'Dynamic Loading'!$Q$3*'Combined Stress'!M37+'Wind Loading'!$K$69*N37+'Wind Loading'!$K$68*'Combined Stress'!N38+'Wind Loading'!$K$67*'Combined Stress'!N39+'Wind Loading'!$K$66*'Combined Stress'!N40+'Wind Loading'!$K$65*'Combined Stress'!N41+'Wind Loading'!$K$64*'Combined Stress'!N42+'Wind Loading'!$K$63*'Combined Stress'!N43+'Wind Loading'!$K$62*'Combined Stress'!N44+'Wind Loading'!$K$61*'Combined Stress'!N45+'Wind Loading'!$K$60*'Combined Stress'!N46+'Wind Loading'!$K$59*'Combined Stress'!N47+'Wind Loading'!$K$58*'Combined Stress'!N48+'Wind Loading'!$K$57*'Combined Stress'!N49+'Wind Loading'!$K$56*'Combined Stress'!N50+'Wind Loading'!$K$55*'Combined Stress'!N51+'Wind Loading'!$K$54*'Combined Stress'!N52+'Wind Loading'!$K$53*'Combined Stress'!N53+'Wind Loading'!$K$52*'Combined Stress'!N54+'Wind Loading'!$K$51*'Combined Stress'!N55+'Wind Loading'!$K$50*'Combined Stress'!N56+'Wind Loading'!$K$49*'Combined Stress'!N57+'Wind Loading'!$K$48*'Combined Stress'!N58+'Wind Loading'!$K$47*'Combined Stress'!N59+'Wind Loading'!$K$46*'Combined Stress'!N60+'Wind Loading'!$K$45*'Combined Stress'!N61+'Wind Loading'!$K$44*'Combined Stress'!N62+'Wind Loading'!$K$43*'Combined Stress'!N63+'Wind Loading'!$K$42*'Combined Stress'!N64+'Wind Loading'!$K$41*'Combined Stress'!N65+'Wind Loading'!$K$40*'Combined Stress'!N66+'Wind Loading'!$K$39*'Combined Stress'!N67+'Wind Loading'!$K$38*'Combined Stress'!N68+'Wind Loading'!$K$37*'Combined Stress'!N69</f>
        <v>49037.548353705104</v>
      </c>
      <c r="P37" s="14">
        <f>((O37*'Alternative 2'!K38)/'Alternative 2'!L38)/1000000</f>
        <v>1.5484618778854642</v>
      </c>
      <c r="Q37" s="30">
        <f t="shared" si="12"/>
        <v>2</v>
      </c>
      <c r="R37" s="14">
        <f>'Alternative 2'!$B$3+'Alternative 2'!$B$5+('Alternative 2'!$B$39*Q37)</f>
        <v>31795.089679167308</v>
      </c>
      <c r="S37" s="14">
        <f>'Alternative 2'!M38</f>
        <v>1.5834292042151636</v>
      </c>
      <c r="T37" s="14">
        <f t="shared" si="17"/>
        <v>2.0079893432890634E-2</v>
      </c>
      <c r="U37" s="284">
        <f t="shared" si="18"/>
        <v>1.5685417713183549</v>
      </c>
      <c r="V37" s="286"/>
      <c r="W37" s="153">
        <f>'Alternative 3'!F38</f>
        <v>35</v>
      </c>
      <c r="X37" s="59">
        <f t="shared" si="13"/>
        <v>2.5</v>
      </c>
      <c r="Y37" s="30">
        <f t="shared" si="14"/>
        <v>1.5</v>
      </c>
      <c r="Z37" s="60">
        <f>'Dynamic Loading'!$Y$3*'Combined Stress'!X37+'Wind Loading'!$P$69*Y37+'Wind Loading'!$P$68*'Combined Stress'!Y38+'Wind Loading'!$P$67*'Combined Stress'!Y39+'Wind Loading'!$P$66*'Combined Stress'!Y40+'Wind Loading'!$P$65*'Combined Stress'!Y41+'Wind Loading'!$P$64*'Combined Stress'!Y42+'Wind Loading'!$P$63*'Combined Stress'!Y43+'Wind Loading'!$P$62*'Combined Stress'!Y44+'Wind Loading'!$P$61*'Combined Stress'!Y45+'Wind Loading'!$P$60*'Combined Stress'!Y46+'Wind Loading'!$P$59*'Combined Stress'!Y47+'Wind Loading'!$P$58*'Combined Stress'!Y48+'Wind Loading'!$P$57*'Combined Stress'!Y49+'Wind Loading'!$P$56*'Combined Stress'!Y50+'Wind Loading'!$P$55*'Combined Stress'!Y51+'Wind Loading'!$P$54*'Combined Stress'!Y52+'Wind Loading'!$P$53*'Combined Stress'!Y53+'Wind Loading'!$P$52*'Combined Stress'!Y54+'Wind Loading'!$P$51*'Combined Stress'!Y55+'Wind Loading'!$P$50*'Combined Stress'!Y56+'Wind Loading'!$P$49*'Combined Stress'!Y57+'Wind Loading'!$P$48*'Combined Stress'!Y58+'Wind Loading'!$P$47*'Combined Stress'!Y59+'Wind Loading'!$P$46*'Combined Stress'!Y60+'Wind Loading'!$P$45*'Combined Stress'!Y61+'Wind Loading'!$P$44*'Combined Stress'!Y62+'Wind Loading'!$P$43*'Combined Stress'!Y63+'Wind Loading'!$P$42*'Combined Stress'!Y64+'Wind Loading'!$P$41*'Combined Stress'!Y65+'Wind Loading'!$P$40*'Combined Stress'!Y66+'Wind Loading'!$P$39*'Combined Stress'!Y67+'Wind Loading'!$P$38*'Combined Stress'!Y68+'Wind Loading'!$P$37*'Combined Stress'!Y69</f>
        <v>49037.548353705104</v>
      </c>
      <c r="AA37" s="60">
        <f>((Z37*'Alternative 3'!K38)/'Alternative 3'!L38)/1000000</f>
        <v>1.5484618778854642</v>
      </c>
      <c r="AB37" s="60">
        <f t="shared" si="19"/>
        <v>33</v>
      </c>
      <c r="AC37" s="14">
        <f>'Alternative 3'!$B$3+'Alternative 3'!$B$5+('Alternative 2'!$B$39*AB37)</f>
        <v>295398.34260626062</v>
      </c>
      <c r="AD37" s="60">
        <f>'Alternative 3'!M38</f>
        <v>1.5834292042151636</v>
      </c>
      <c r="AE37" s="60">
        <f t="shared" si="20"/>
        <v>0.18655607830138299</v>
      </c>
      <c r="AF37" s="60">
        <f t="shared" si="21"/>
        <v>1.7350179561868471</v>
      </c>
    </row>
    <row r="38" spans="1:32" x14ac:dyDescent="0.25">
      <c r="A38" s="13">
        <f>IF('Alternative 1'!F39&gt;0,'Alternative 1'!F39,"x")</f>
        <v>36</v>
      </c>
      <c r="B38" s="30">
        <f t="shared" si="7"/>
        <v>1.5</v>
      </c>
      <c r="C38" s="30">
        <f t="shared" si="8"/>
        <v>0.5</v>
      </c>
      <c r="D38" s="14">
        <f>'Dynamic Loading'!$I$3*'Combined Stress'!B38+'Wind Loading'!$F$69*C38+'Wind Loading'!$F$68*'Combined Stress'!C39+'Wind Loading'!$F$67*'Combined Stress'!C40+'Wind Loading'!$F$66*'Combined Stress'!C41+'Wind Loading'!$F$65*'Combined Stress'!C42+'Wind Loading'!$F$64*'Combined Stress'!C43+'Wind Loading'!$F$63*'Combined Stress'!C44+'Wind Loading'!$F$62*'Combined Stress'!C45+'Wind Loading'!$F$61*'Combined Stress'!C46+'Wind Loading'!$F$60*'Combined Stress'!C47+'Wind Loading'!$F$59*'Combined Stress'!C48+'Wind Loading'!$F$58*'Combined Stress'!C49+'Wind Loading'!$F$57*'Combined Stress'!C50+'Wind Loading'!$F$56*'Combined Stress'!C51+'Wind Loading'!$F$55*'Combined Stress'!C52+'Wind Loading'!$F$54*'Combined Stress'!C53+'Wind Loading'!$F$53*'Combined Stress'!C54+'Wind Loading'!$F$52*'Combined Stress'!C55+'Wind Loading'!$F$51*'Combined Stress'!C56+'Wind Loading'!$F$50*'Combined Stress'!C57+'Wind Loading'!$F$49*'Combined Stress'!C58+'Wind Loading'!$F$48*'Combined Stress'!C59+'Wind Loading'!$F$47*'Combined Stress'!C60+'Wind Loading'!$F$46*'Combined Stress'!C61+'Wind Loading'!$F$45*'Combined Stress'!C62+'Wind Loading'!$F$44*'Combined Stress'!C63+'Wind Loading'!$F$43*'Combined Stress'!C64+'Wind Loading'!$F$42*'Combined Stress'!C65+'Wind Loading'!$F$41*'Combined Stress'!C66+'Wind Loading'!$F$40*'Combined Stress'!C67+'Wind Loading'!$F$39*'Combined Stress'!C68+'Wind Loading'!$F$38*'Combined Stress'!C69</f>
        <v>29422.529012223065</v>
      </c>
      <c r="E38" s="14">
        <f>((D38*'Alternative 1'!K39)/'Alternative 1'!L39)/1000000</f>
        <v>0.95566222161334635</v>
      </c>
      <c r="F38" s="30">
        <f t="shared" si="9"/>
        <v>1</v>
      </c>
      <c r="G38" s="14">
        <f>IF(F38&gt;0,'Alternative 1'!$B$3+'Alternative 1'!$B$5+('Alternative 1'!$B$39*F38),0)</f>
        <v>23291.758939583655</v>
      </c>
      <c r="H38" s="14">
        <f>'Alternative 1'!M39</f>
        <v>1.5393805699999998</v>
      </c>
      <c r="I38" s="14">
        <f t="shared" si="15"/>
        <v>1.5130604733814236E-2</v>
      </c>
      <c r="J38" s="14">
        <f t="shared" si="16"/>
        <v>0.97079282634716058</v>
      </c>
      <c r="K38" s="286"/>
      <c r="L38" s="13">
        <f>IF('Alternative 2'!$F39&gt;0,'Alternative 2'!$F39,"x")</f>
        <v>36</v>
      </c>
      <c r="M38" s="30">
        <f t="shared" si="10"/>
        <v>1.5</v>
      </c>
      <c r="N38" s="30">
        <f t="shared" si="11"/>
        <v>0.5</v>
      </c>
      <c r="O38" s="14">
        <f>'Dynamic Loading'!$Q$3*'Combined Stress'!M38+'Wind Loading'!$K$69*N38+'Wind Loading'!$K$68*'Combined Stress'!N39+'Wind Loading'!$K$67*'Combined Stress'!N40+'Wind Loading'!$K$66*'Combined Stress'!N41+'Wind Loading'!$K$65*'Combined Stress'!N42+'Wind Loading'!$K$64*'Combined Stress'!N43+'Wind Loading'!$K$63*'Combined Stress'!N44+'Wind Loading'!$K$62*'Combined Stress'!N45+'Wind Loading'!$K$61*'Combined Stress'!N46+'Wind Loading'!$K$60*'Combined Stress'!N47+'Wind Loading'!$K$59*'Combined Stress'!N48+'Wind Loading'!$K$58*'Combined Stress'!N49+'Wind Loading'!$K$57*'Combined Stress'!N50+'Wind Loading'!$K$56*'Combined Stress'!N51+'Wind Loading'!$K$55*'Combined Stress'!N52+'Wind Loading'!$K$54*'Combined Stress'!N53+'Wind Loading'!$K$53*'Combined Stress'!N54+'Wind Loading'!$K$52*'Combined Stress'!N55+'Wind Loading'!$K$51*'Combined Stress'!N56+'Wind Loading'!$K$50*'Combined Stress'!N57+'Wind Loading'!$K$49*'Combined Stress'!N58+'Wind Loading'!$K$48*'Combined Stress'!N59+'Wind Loading'!$K$47*'Combined Stress'!N60+'Wind Loading'!$K$46*'Combined Stress'!N61+'Wind Loading'!$K$45*'Combined Stress'!N62+'Wind Loading'!$K$44*'Combined Stress'!N63+'Wind Loading'!$K$43*'Combined Stress'!N64+'Wind Loading'!$K$42*'Combined Stress'!N65+'Wind Loading'!$K$41*'Combined Stress'!N66+'Wind Loading'!$K$40*'Combined Stress'!N67+'Wind Loading'!$K$39*'Combined Stress'!N68+'Wind Loading'!$K$38*'Combined Stress'!N69</f>
        <v>29422.529012223065</v>
      </c>
      <c r="P38" s="14">
        <f>((O38*'Alternative 2'!K39)/'Alternative 2'!L39)/1000000</f>
        <v>0.95566222161334635</v>
      </c>
      <c r="Q38" s="30">
        <f t="shared" si="12"/>
        <v>1</v>
      </c>
      <c r="R38" s="14">
        <f>'Alternative 2'!$B$3+'Alternative 2'!$B$5+('Alternative 2'!$B$39*Q38)</f>
        <v>23291.758939583655</v>
      </c>
      <c r="S38" s="14">
        <f>'Alternative 2'!M39</f>
        <v>1.5393805699999998</v>
      </c>
      <c r="T38" s="14">
        <f t="shared" si="17"/>
        <v>1.5130604733814236E-2</v>
      </c>
      <c r="U38" s="284">
        <f t="shared" si="18"/>
        <v>0.97079282634716058</v>
      </c>
      <c r="V38" s="286"/>
      <c r="W38" s="153">
        <f>'Alternative 3'!F39</f>
        <v>36</v>
      </c>
      <c r="X38" s="59">
        <f t="shared" si="13"/>
        <v>1.5</v>
      </c>
      <c r="Y38" s="30">
        <f t="shared" si="14"/>
        <v>0.5</v>
      </c>
      <c r="Z38" s="60">
        <f>'Dynamic Loading'!$Y$3*'Combined Stress'!X38+'Wind Loading'!$P$69*Y38+'Wind Loading'!$P$68*'Combined Stress'!Y39+'Wind Loading'!$P$67*'Combined Stress'!Y40+'Wind Loading'!$P$66*'Combined Stress'!Y41+'Wind Loading'!$P$65*'Combined Stress'!Y42+'Wind Loading'!$P$64*'Combined Stress'!Y43+'Wind Loading'!$P$63*'Combined Stress'!Y44+'Wind Loading'!$P$62*'Combined Stress'!Y45+'Wind Loading'!$P$61*'Combined Stress'!Y46+'Wind Loading'!$P$60*'Combined Stress'!Y47+'Wind Loading'!$P$59*'Combined Stress'!Y48+'Wind Loading'!$P$58*'Combined Stress'!Y49+'Wind Loading'!$P$57*'Combined Stress'!Y50+'Wind Loading'!$P$56*'Combined Stress'!Y51+'Wind Loading'!$P$55*'Combined Stress'!Y52+'Wind Loading'!$P$54*'Combined Stress'!Y53+'Wind Loading'!$P$53*'Combined Stress'!Y54+'Wind Loading'!$P$52*'Combined Stress'!Y55+'Wind Loading'!$P$51*'Combined Stress'!Y56+'Wind Loading'!$P$50*'Combined Stress'!Y57+'Wind Loading'!$P$49*'Combined Stress'!Y58+'Wind Loading'!$P$48*'Combined Stress'!Y59+'Wind Loading'!$P$47*'Combined Stress'!Y60+'Wind Loading'!$P$46*'Combined Stress'!Y61+'Wind Loading'!$P$45*'Combined Stress'!Y62+'Wind Loading'!$P$44*'Combined Stress'!Y63+'Wind Loading'!$P$43*'Combined Stress'!Y64+'Wind Loading'!$P$42*'Combined Stress'!Y65+'Wind Loading'!$P$41*'Combined Stress'!Y66+'Wind Loading'!$P$40*'Combined Stress'!Y67+'Wind Loading'!$P$39*'Combined Stress'!Y68+'Wind Loading'!$P$38*'Combined Stress'!Y69</f>
        <v>29422.529012223065</v>
      </c>
      <c r="AA38" s="60">
        <f>((Z38*'Alternative 3'!K39)/'Alternative 3'!L39)/1000000</f>
        <v>0.95566222161334635</v>
      </c>
      <c r="AB38" s="60">
        <f t="shared" si="19"/>
        <v>32</v>
      </c>
      <c r="AC38" s="14">
        <f>'Alternative 3'!$B$3+'Alternative 3'!$B$5+('Alternative 2'!$B$39*AB38)</f>
        <v>286895.01186667697</v>
      </c>
      <c r="AD38" s="60">
        <f>'Alternative 3'!M39</f>
        <v>1.5393805699999998</v>
      </c>
      <c r="AE38" s="60">
        <f t="shared" si="20"/>
        <v>0.18637042551906252</v>
      </c>
      <c r="AF38" s="60">
        <f t="shared" si="21"/>
        <v>1.1420326471324089</v>
      </c>
    </row>
    <row r="39" spans="1:32" x14ac:dyDescent="0.25">
      <c r="A39" s="13" t="str">
        <f>IF('Alternative 1'!F40&gt;0,'Alternative 1'!F40,"x")</f>
        <v>x</v>
      </c>
      <c r="B39" s="30">
        <f t="shared" si="7"/>
        <v>0</v>
      </c>
      <c r="C39" s="30">
        <f t="shared" si="8"/>
        <v>0</v>
      </c>
      <c r="D39" s="14">
        <f>'Dynamic Loading'!$I$3*'Combined Stress'!B39+'Wind Loading'!$F$69*C39+'Wind Loading'!$F$68*'Combined Stress'!C40+'Wind Loading'!$F$67*'Combined Stress'!C41+'Wind Loading'!$F$66*'Combined Stress'!C42+'Wind Loading'!$F$65*'Combined Stress'!C43+'Wind Loading'!$F$64*'Combined Stress'!C44+'Wind Loading'!$F$63*'Combined Stress'!C45+'Wind Loading'!$F$62*'Combined Stress'!C46+'Wind Loading'!$F$61*'Combined Stress'!C47+'Wind Loading'!$F$60*'Combined Stress'!C48+'Wind Loading'!$F$59*'Combined Stress'!C49+'Wind Loading'!$F$58*'Combined Stress'!C50+'Wind Loading'!$F$57*'Combined Stress'!C51+'Wind Loading'!$F$56*'Combined Stress'!C52+'Wind Loading'!$F$55*'Combined Stress'!C53+'Wind Loading'!$F$54*'Combined Stress'!C54+'Wind Loading'!$F$53*'Combined Stress'!C55+'Wind Loading'!$F$52*'Combined Stress'!C56+'Wind Loading'!$F$51*'Combined Stress'!C57+'Wind Loading'!$F$50*'Combined Stress'!C58+'Wind Loading'!$F$49*'Combined Stress'!C59+'Wind Loading'!$F$48*'Combined Stress'!C60+'Wind Loading'!$F$47*'Combined Stress'!C61+'Wind Loading'!$F$46*'Combined Stress'!C62+'Wind Loading'!$F$45*'Combined Stress'!C63+'Wind Loading'!$F$44*'Combined Stress'!C64+'Wind Loading'!$F$43*'Combined Stress'!C65+'Wind Loading'!$F$42*'Combined Stress'!C66+'Wind Loading'!$F$41*'Combined Stress'!C67+'Wind Loading'!$F$40*'Combined Stress'!C68+'Wind Loading'!$F$39*'Combined Stress'!C69</f>
        <v>0</v>
      </c>
      <c r="E39" s="14" t="e">
        <f>((D39*'Alternative 1'!K40)/'Alternative 1'!L40)/1000000</f>
        <v>#VALUE!</v>
      </c>
      <c r="F39" s="30">
        <f t="shared" si="9"/>
        <v>0</v>
      </c>
      <c r="G39" s="14">
        <f>IF(F39&gt;0,'Alternative 1'!$B$3+'Alternative 1'!$B$5+('Alternative 1'!$B$39*F39),0)</f>
        <v>0</v>
      </c>
      <c r="H39" s="14" t="e">
        <f>'Alternative 1'!M40</f>
        <v>#VALUE!</v>
      </c>
      <c r="I39" s="14" t="e">
        <f t="shared" si="15"/>
        <v>#VALUE!</v>
      </c>
      <c r="J39" s="14" t="e">
        <f t="shared" si="16"/>
        <v>#VALUE!</v>
      </c>
      <c r="K39" s="286"/>
      <c r="L39" s="13" t="str">
        <f>IF('Alternative 2'!$F40&gt;0,'Alternative 2'!$F40,"x")</f>
        <v>x</v>
      </c>
      <c r="M39" s="30">
        <f t="shared" si="10"/>
        <v>0</v>
      </c>
      <c r="N39" s="30">
        <f t="shared" si="11"/>
        <v>0</v>
      </c>
      <c r="O39" s="14">
        <f>'Dynamic Loading'!$Q$3*'Combined Stress'!M39+'Wind Loading'!$K$69*N39+'Wind Loading'!$K$68*'Combined Stress'!N40+'Wind Loading'!$K$67*'Combined Stress'!N41+'Wind Loading'!$K$66*'Combined Stress'!N42+'Wind Loading'!$K$65*'Combined Stress'!N43+'Wind Loading'!$K$64*'Combined Stress'!N44+'Wind Loading'!$K$63*'Combined Stress'!N45+'Wind Loading'!$K$62*'Combined Stress'!N46+'Wind Loading'!$K$61*'Combined Stress'!N47+'Wind Loading'!$K$60*'Combined Stress'!N48+'Wind Loading'!$K$59*'Combined Stress'!N49+'Wind Loading'!$K$58*'Combined Stress'!N50+'Wind Loading'!$K$57*'Combined Stress'!N51+'Wind Loading'!$K$56*'Combined Stress'!N52+'Wind Loading'!$K$55*'Combined Stress'!N53+'Wind Loading'!$K$54*'Combined Stress'!N54+'Wind Loading'!$K$53*'Combined Stress'!N55+'Wind Loading'!$K$52*'Combined Stress'!N56+'Wind Loading'!$K$51*'Combined Stress'!N57+'Wind Loading'!$K$50*'Combined Stress'!N58+'Wind Loading'!$K$49*'Combined Stress'!N59+'Wind Loading'!$K$48*'Combined Stress'!N60+'Wind Loading'!$K$47*'Combined Stress'!N61+'Wind Loading'!$K$46*'Combined Stress'!N62+'Wind Loading'!$K$45*'Combined Stress'!N63+'Wind Loading'!$K$44*'Combined Stress'!N64+'Wind Loading'!$K$43*'Combined Stress'!N65+'Wind Loading'!$K$42*'Combined Stress'!N66+'Wind Loading'!$K$41*'Combined Stress'!N67+'Wind Loading'!$K$40*'Combined Stress'!N68+'Wind Loading'!$K$39*'Combined Stress'!N69</f>
        <v>0</v>
      </c>
      <c r="P39" s="14" t="e">
        <f>((O39*'Alternative 2'!K40)/'Alternative 2'!L40)/1000000</f>
        <v>#VALUE!</v>
      </c>
      <c r="Q39" s="30">
        <f t="shared" si="12"/>
        <v>0</v>
      </c>
      <c r="R39" s="14">
        <f>'Alternative 2'!$B$3+'Alternative 2'!$B$5+('Alternative 2'!$B$39*Q39)</f>
        <v>14788.4282</v>
      </c>
      <c r="S39" s="14" t="e">
        <f>'Alternative 2'!M40</f>
        <v>#VALUE!</v>
      </c>
      <c r="T39" s="14" t="e">
        <f t="shared" si="17"/>
        <v>#VALUE!</v>
      </c>
      <c r="U39" s="284" t="e">
        <f t="shared" si="18"/>
        <v>#VALUE!</v>
      </c>
      <c r="V39" s="286"/>
      <c r="W39" s="153" t="str">
        <f>'Alternative 3'!F40</f>
        <v>x</v>
      </c>
      <c r="X39" s="59">
        <f t="shared" si="13"/>
        <v>0.5</v>
      </c>
      <c r="Y39" s="30">
        <f t="shared" si="14"/>
        <v>0</v>
      </c>
      <c r="Z39" s="60">
        <f>'Dynamic Loading'!$Y$3*'Combined Stress'!X39+'Wind Loading'!$P$69*Y39+'Wind Loading'!$P$68*'Combined Stress'!Y40+'Wind Loading'!$P$67*'Combined Stress'!Y41+'Wind Loading'!$P$66*'Combined Stress'!Y42+'Wind Loading'!$P$65*'Combined Stress'!Y43+'Wind Loading'!$P$64*'Combined Stress'!Y44+'Wind Loading'!$P$63*'Combined Stress'!Y45+'Wind Loading'!$P$62*'Combined Stress'!Y46+'Wind Loading'!$P$61*'Combined Stress'!Y47+'Wind Loading'!$P$60*'Combined Stress'!Y48+'Wind Loading'!$P$59*'Combined Stress'!Y49+'Wind Loading'!$P$58*'Combined Stress'!Y50+'Wind Loading'!$P$57*'Combined Stress'!Y51+'Wind Loading'!$P$56*'Combined Stress'!Y52+'Wind Loading'!$P$55*'Combined Stress'!Y53+'Wind Loading'!$P$54*'Combined Stress'!Y54+'Wind Loading'!$P$53*'Combined Stress'!Y55+'Wind Loading'!$P$52*'Combined Stress'!Y56+'Wind Loading'!$P$51*'Combined Stress'!Y57+'Wind Loading'!$P$50*'Combined Stress'!Y58+'Wind Loading'!$P$49*'Combined Stress'!Y59+'Wind Loading'!$P$48*'Combined Stress'!Y60+'Wind Loading'!$P$47*'Combined Stress'!Y61+'Wind Loading'!$P$46*'Combined Stress'!Y62+'Wind Loading'!$P$45*'Combined Stress'!Y63+'Wind Loading'!$P$44*'Combined Stress'!Y64+'Wind Loading'!$P$43*'Combined Stress'!Y65+'Wind Loading'!$P$42*'Combined Stress'!Y66+'Wind Loading'!$P$41*'Combined Stress'!Y67+'Wind Loading'!$P$40*'Combined Stress'!Y68+'Wind Loading'!$P$39*'Combined Stress'!Y69</f>
        <v>9807.5096707410212</v>
      </c>
      <c r="AA39" s="60" t="e">
        <f>((Z39*'Alternative 3'!K40)/'Alternative 3'!L40)/1000000</f>
        <v>#VALUE!</v>
      </c>
      <c r="AB39" s="60">
        <f t="shared" si="19"/>
        <v>31</v>
      </c>
      <c r="AC39" s="14">
        <f>'Alternative 3'!$B$3+'Alternative 3'!$B$5+('Alternative 2'!$B$39*AB39)</f>
        <v>278391.68112709332</v>
      </c>
      <c r="AD39" s="60" t="e">
        <f>'Alternative 3'!M40</f>
        <v>#VALUE!</v>
      </c>
      <c r="AE39" s="60" t="e">
        <f t="shared" si="20"/>
        <v>#VALUE!</v>
      </c>
      <c r="AF39" s="60" t="e">
        <f t="shared" si="21"/>
        <v>#VALUE!</v>
      </c>
    </row>
    <row r="40" spans="1:32" x14ac:dyDescent="0.25">
      <c r="A40" s="13" t="str">
        <f>IF('Alternative 1'!F41&gt;0,'Alternative 1'!F41,"x")</f>
        <v>x</v>
      </c>
      <c r="B40" s="30">
        <f t="shared" si="7"/>
        <v>0</v>
      </c>
      <c r="C40" s="30">
        <f t="shared" si="8"/>
        <v>0</v>
      </c>
      <c r="D40" s="14">
        <f>'Dynamic Loading'!$I$3*'Combined Stress'!B40+'Wind Loading'!$F$69*C40+'Wind Loading'!$F$68*'Combined Stress'!C41+'Wind Loading'!$F$67*'Combined Stress'!C42+'Wind Loading'!$F$66*'Combined Stress'!C43+'Wind Loading'!$F$65*'Combined Stress'!C44+'Wind Loading'!$F$64*'Combined Stress'!C45+'Wind Loading'!$F$63*'Combined Stress'!C46+'Wind Loading'!$F$62*'Combined Stress'!C47+'Wind Loading'!$F$61*'Combined Stress'!C48+'Wind Loading'!$F$60*'Combined Stress'!C49+'Wind Loading'!$F$59*'Combined Stress'!C50+'Wind Loading'!$F$58*'Combined Stress'!C51+'Wind Loading'!$F$57*'Combined Stress'!C52+'Wind Loading'!$F$56*'Combined Stress'!C53+'Wind Loading'!$F$55*'Combined Stress'!C54+'Wind Loading'!$F$54*'Combined Stress'!C55+'Wind Loading'!$F$53*'Combined Stress'!C56+'Wind Loading'!$F$52*'Combined Stress'!C57+'Wind Loading'!$F$51*'Combined Stress'!C58+'Wind Loading'!$F$50*'Combined Stress'!C59+'Wind Loading'!$F$49*'Combined Stress'!C60+'Wind Loading'!$F$48*'Combined Stress'!C61+'Wind Loading'!$F$47*'Combined Stress'!C62+'Wind Loading'!$F$46*'Combined Stress'!C63+'Wind Loading'!$F$45*'Combined Stress'!C64+'Wind Loading'!$F$44*'Combined Stress'!C65+'Wind Loading'!$F$43*'Combined Stress'!C66+'Wind Loading'!$F$42*'Combined Stress'!C67+'Wind Loading'!$F$41*'Combined Stress'!C68+'Wind Loading'!$F$40*'Combined Stress'!C69</f>
        <v>0</v>
      </c>
      <c r="E40" s="14" t="e">
        <f>((D40*'Alternative 1'!K41)/'Alternative 1'!L41)/1000000</f>
        <v>#VALUE!</v>
      </c>
      <c r="F40" s="30">
        <f t="shared" si="9"/>
        <v>0</v>
      </c>
      <c r="G40" s="14">
        <f>IF(F40&gt;0,'Alternative 1'!$B$3+'Alternative 1'!$B$5+('Alternative 1'!$B$39*F40),0)</f>
        <v>0</v>
      </c>
      <c r="H40" s="14" t="e">
        <f>'Alternative 1'!M41</f>
        <v>#VALUE!</v>
      </c>
      <c r="I40" s="14" t="e">
        <f t="shared" si="15"/>
        <v>#VALUE!</v>
      </c>
      <c r="J40" s="14" t="e">
        <f t="shared" si="16"/>
        <v>#VALUE!</v>
      </c>
      <c r="K40" s="286"/>
      <c r="L40" s="13" t="str">
        <f>IF('Alternative 2'!$F41&gt;0,'Alternative 2'!$F41,"x")</f>
        <v>x</v>
      </c>
      <c r="M40" s="30">
        <f t="shared" si="10"/>
        <v>0</v>
      </c>
      <c r="N40" s="30">
        <f t="shared" si="11"/>
        <v>0</v>
      </c>
      <c r="O40" s="14">
        <f>'Dynamic Loading'!$Q$3*'Combined Stress'!M40+'Wind Loading'!$K$69*N40+'Wind Loading'!$K$68*'Combined Stress'!N41+'Wind Loading'!$K$67*'Combined Stress'!N42+'Wind Loading'!$K$66*'Combined Stress'!N43+'Wind Loading'!$K$65*'Combined Stress'!N44+'Wind Loading'!$K$64*'Combined Stress'!N45+'Wind Loading'!$K$63*'Combined Stress'!N46+'Wind Loading'!$K$62*'Combined Stress'!N47+'Wind Loading'!$K$61*'Combined Stress'!N48+'Wind Loading'!$K$60*'Combined Stress'!N49+'Wind Loading'!$K$59*'Combined Stress'!N50+'Wind Loading'!$K$58*'Combined Stress'!N51+'Wind Loading'!$K$57*'Combined Stress'!N52+'Wind Loading'!$K$56*'Combined Stress'!N53+'Wind Loading'!$K$55*'Combined Stress'!N54+'Wind Loading'!$K$54*'Combined Stress'!N55+'Wind Loading'!$K$53*'Combined Stress'!N56+'Wind Loading'!$K$52*'Combined Stress'!N57+'Wind Loading'!$K$51*'Combined Stress'!N58+'Wind Loading'!$K$50*'Combined Stress'!N59+'Wind Loading'!$K$49*'Combined Stress'!N60+'Wind Loading'!$K$48*'Combined Stress'!N61+'Wind Loading'!$K$47*'Combined Stress'!N62+'Wind Loading'!$K$46*'Combined Stress'!N63+'Wind Loading'!$K$45*'Combined Stress'!N64+'Wind Loading'!$K$44*'Combined Stress'!N65+'Wind Loading'!$K$43*'Combined Stress'!N66+'Wind Loading'!$K$42*'Combined Stress'!N67+'Wind Loading'!$K$41*'Combined Stress'!N68+'Wind Loading'!$K$40*'Combined Stress'!N69</f>
        <v>0</v>
      </c>
      <c r="P40" s="14" t="e">
        <f>((O40*'Alternative 2'!K41)/'Alternative 2'!L41)/1000000</f>
        <v>#VALUE!</v>
      </c>
      <c r="Q40" s="30">
        <f t="shared" si="12"/>
        <v>0</v>
      </c>
      <c r="R40" s="14">
        <f>'Alternative 2'!$B$3+'Alternative 2'!$B$5+('Alternative 2'!$B$39*Q40)</f>
        <v>14788.4282</v>
      </c>
      <c r="S40" s="14" t="e">
        <f>'Alternative 2'!M41</f>
        <v>#VALUE!</v>
      </c>
      <c r="T40" s="14" t="e">
        <f t="shared" si="17"/>
        <v>#VALUE!</v>
      </c>
      <c r="U40" s="284" t="e">
        <f t="shared" si="18"/>
        <v>#VALUE!</v>
      </c>
      <c r="V40" s="286"/>
      <c r="W40" s="153" t="str">
        <f>'Alternative 3'!F41</f>
        <v>x</v>
      </c>
      <c r="X40" s="59">
        <f t="shared" si="13"/>
        <v>-0.5</v>
      </c>
      <c r="Y40" s="30">
        <f t="shared" si="14"/>
        <v>0</v>
      </c>
      <c r="Z40" s="60">
        <f>'Dynamic Loading'!$Y$3*'Combined Stress'!X40+'Wind Loading'!$P$69*Y40+'Wind Loading'!$P$68*'Combined Stress'!Y41+'Wind Loading'!$P$67*'Combined Stress'!Y42+'Wind Loading'!$P$66*'Combined Stress'!Y43+'Wind Loading'!$P$65*'Combined Stress'!Y44+'Wind Loading'!$P$64*'Combined Stress'!Y45+'Wind Loading'!$P$63*'Combined Stress'!Y46+'Wind Loading'!$P$62*'Combined Stress'!Y47+'Wind Loading'!$P$61*'Combined Stress'!Y48+'Wind Loading'!$P$60*'Combined Stress'!Y49+'Wind Loading'!$P$59*'Combined Stress'!Y50+'Wind Loading'!$P$58*'Combined Stress'!Y51+'Wind Loading'!$P$57*'Combined Stress'!Y52+'Wind Loading'!$P$56*'Combined Stress'!Y53+'Wind Loading'!$P$55*'Combined Stress'!Y54+'Wind Loading'!$P$54*'Combined Stress'!Y55+'Wind Loading'!$P$53*'Combined Stress'!Y56+'Wind Loading'!$P$52*'Combined Stress'!Y57+'Wind Loading'!$P$51*'Combined Stress'!Y58+'Wind Loading'!$P$50*'Combined Stress'!Y59+'Wind Loading'!$P$49*'Combined Stress'!Y60+'Wind Loading'!$P$48*'Combined Stress'!Y61+'Wind Loading'!$P$47*'Combined Stress'!Y62+'Wind Loading'!$P$46*'Combined Stress'!Y63+'Wind Loading'!$P$45*'Combined Stress'!Y64+'Wind Loading'!$P$44*'Combined Stress'!Y65+'Wind Loading'!$P$43*'Combined Stress'!Y66+'Wind Loading'!$P$42*'Combined Stress'!Y67+'Wind Loading'!$P$41*'Combined Stress'!Y68+'Wind Loading'!$P$40*'Combined Stress'!Y69</f>
        <v>-9807.5096707410212</v>
      </c>
      <c r="AA40" s="60" t="e">
        <f>((Z40*'Alternative 3'!K41)/'Alternative 3'!L41)/1000000</f>
        <v>#VALUE!</v>
      </c>
      <c r="AB40" s="60">
        <f t="shared" si="19"/>
        <v>30</v>
      </c>
      <c r="AC40" s="14">
        <f>'Alternative 3'!$B$3+'Alternative 3'!$B$5+('Alternative 2'!$B$39*AB40)</f>
        <v>269888.35038750962</v>
      </c>
      <c r="AD40" s="60" t="e">
        <f>'Alternative 3'!M41</f>
        <v>#VALUE!</v>
      </c>
      <c r="AE40" s="60" t="e">
        <f t="shared" si="20"/>
        <v>#VALUE!</v>
      </c>
      <c r="AF40" s="60" t="e">
        <f t="shared" si="21"/>
        <v>#VALUE!</v>
      </c>
    </row>
    <row r="41" spans="1:32" x14ac:dyDescent="0.25">
      <c r="A41" s="13" t="str">
        <f>IF('Alternative 1'!F42&gt;0,'Alternative 1'!F42,"x")</f>
        <v>x</v>
      </c>
      <c r="B41" s="30">
        <f t="shared" si="7"/>
        <v>0</v>
      </c>
      <c r="C41" s="30">
        <f t="shared" si="8"/>
        <v>0</v>
      </c>
      <c r="D41" s="14">
        <f>'Dynamic Loading'!$I$3*'Combined Stress'!B41+'Wind Loading'!$F$69*C41+'Wind Loading'!$F$68*'Combined Stress'!C42+'Wind Loading'!$F$67*'Combined Stress'!C43+'Wind Loading'!$F$66*'Combined Stress'!C44+'Wind Loading'!$F$65*'Combined Stress'!C45+'Wind Loading'!$F$64*'Combined Stress'!C46+'Wind Loading'!$F$63*'Combined Stress'!C47+'Wind Loading'!$F$62*'Combined Stress'!C48+'Wind Loading'!$F$61*'Combined Stress'!C49+'Wind Loading'!$F$60*'Combined Stress'!C50+'Wind Loading'!$F$59*'Combined Stress'!C51+'Wind Loading'!$F$58*'Combined Stress'!C52+'Wind Loading'!$F$57*'Combined Stress'!C53+'Wind Loading'!$F$56*'Combined Stress'!C54+'Wind Loading'!$F$55*'Combined Stress'!C55+'Wind Loading'!$F$54*'Combined Stress'!C56+'Wind Loading'!$F$53*'Combined Stress'!C57+'Wind Loading'!$F$52*'Combined Stress'!C58+'Wind Loading'!$F$51*'Combined Stress'!C59+'Wind Loading'!$F$50*'Combined Stress'!C60+'Wind Loading'!$F$49*'Combined Stress'!C61+'Wind Loading'!$F$48*'Combined Stress'!C62+'Wind Loading'!$F$47*'Combined Stress'!C63+'Wind Loading'!$F$46*'Combined Stress'!C64+'Wind Loading'!$F$45*'Combined Stress'!C65+'Wind Loading'!$F$44*'Combined Stress'!C66+'Wind Loading'!$F$43*'Combined Stress'!C67+'Wind Loading'!$F$42*'Combined Stress'!C68+'Wind Loading'!$F$41*'Combined Stress'!C69</f>
        <v>0</v>
      </c>
      <c r="E41" s="14" t="e">
        <f>((D41*'Alternative 1'!K42)/'Alternative 1'!L42)/1000000</f>
        <v>#VALUE!</v>
      </c>
      <c r="F41" s="30">
        <f t="shared" si="9"/>
        <v>0</v>
      </c>
      <c r="G41" s="14">
        <f>IF(F41&gt;0,'Alternative 1'!$B$3+'Alternative 1'!$B$5+('Alternative 1'!$B$39*F41),0)</f>
        <v>0</v>
      </c>
      <c r="H41" s="14" t="e">
        <f>'Alternative 1'!M42</f>
        <v>#VALUE!</v>
      </c>
      <c r="I41" s="14" t="e">
        <f t="shared" si="15"/>
        <v>#VALUE!</v>
      </c>
      <c r="J41" s="14" t="e">
        <f t="shared" si="16"/>
        <v>#VALUE!</v>
      </c>
      <c r="K41" s="286"/>
      <c r="L41" s="13" t="str">
        <f>IF('Alternative 2'!$F42&gt;0,'Alternative 2'!$F42,"x")</f>
        <v>x</v>
      </c>
      <c r="M41" s="30">
        <f t="shared" si="10"/>
        <v>0</v>
      </c>
      <c r="N41" s="30">
        <f t="shared" si="11"/>
        <v>0</v>
      </c>
      <c r="O41" s="14">
        <f>'Dynamic Loading'!$Q$3*'Combined Stress'!M41+'Wind Loading'!$K$69*N41+'Wind Loading'!$K$68*'Combined Stress'!N42+'Wind Loading'!$K$67*'Combined Stress'!N43+'Wind Loading'!$K$66*'Combined Stress'!N44+'Wind Loading'!$K$65*'Combined Stress'!N45+'Wind Loading'!$K$64*'Combined Stress'!N46+'Wind Loading'!$K$63*'Combined Stress'!N47+'Wind Loading'!$K$62*'Combined Stress'!N48+'Wind Loading'!$K$61*'Combined Stress'!N49+'Wind Loading'!$K$60*'Combined Stress'!N50+'Wind Loading'!$K$59*'Combined Stress'!N51+'Wind Loading'!$K$58*'Combined Stress'!N52+'Wind Loading'!$K$57*'Combined Stress'!N53+'Wind Loading'!$K$56*'Combined Stress'!N54+'Wind Loading'!$K$55*'Combined Stress'!N55+'Wind Loading'!$K$54*'Combined Stress'!N56+'Wind Loading'!$K$53*'Combined Stress'!N57+'Wind Loading'!$K$52*'Combined Stress'!N58+'Wind Loading'!$K$51*'Combined Stress'!N59+'Wind Loading'!$K$50*'Combined Stress'!N60+'Wind Loading'!$K$49*'Combined Stress'!N61+'Wind Loading'!$K$48*'Combined Stress'!N62+'Wind Loading'!$K$47*'Combined Stress'!N63+'Wind Loading'!$K$46*'Combined Stress'!N64+'Wind Loading'!$K$45*'Combined Stress'!N65+'Wind Loading'!$K$44*'Combined Stress'!N66+'Wind Loading'!$K$43*'Combined Stress'!N67+'Wind Loading'!$K$42*'Combined Stress'!N68+'Wind Loading'!$K$41*'Combined Stress'!N69</f>
        <v>0</v>
      </c>
      <c r="P41" s="14" t="e">
        <f>((O41*'Alternative 2'!K42)/'Alternative 2'!L42)/1000000</f>
        <v>#VALUE!</v>
      </c>
      <c r="Q41" s="30">
        <f t="shared" si="12"/>
        <v>0</v>
      </c>
      <c r="R41" s="14">
        <f>'Alternative 2'!$B$3+'Alternative 2'!$B$5+('Alternative 2'!$B$39*Q41)</f>
        <v>14788.4282</v>
      </c>
      <c r="S41" s="14" t="e">
        <f>'Alternative 2'!M42</f>
        <v>#VALUE!</v>
      </c>
      <c r="T41" s="14" t="e">
        <f t="shared" si="17"/>
        <v>#VALUE!</v>
      </c>
      <c r="U41" s="284" t="e">
        <f t="shared" si="18"/>
        <v>#VALUE!</v>
      </c>
      <c r="V41" s="286"/>
      <c r="W41" s="153" t="str">
        <f>'Alternative 3'!F42</f>
        <v>x</v>
      </c>
      <c r="X41" s="59">
        <f t="shared" si="13"/>
        <v>-1.5</v>
      </c>
      <c r="Y41" s="30">
        <f t="shared" si="14"/>
        <v>0</v>
      </c>
      <c r="Z41" s="60">
        <f>'Dynamic Loading'!$Y$3*'Combined Stress'!X41+'Wind Loading'!$P$69*Y41+'Wind Loading'!$P$68*'Combined Stress'!Y42+'Wind Loading'!$P$67*'Combined Stress'!Y43+'Wind Loading'!$P$66*'Combined Stress'!Y44+'Wind Loading'!$P$65*'Combined Stress'!Y45+'Wind Loading'!$P$64*'Combined Stress'!Y46+'Wind Loading'!$P$63*'Combined Stress'!Y47+'Wind Loading'!$P$62*'Combined Stress'!Y48+'Wind Loading'!$P$61*'Combined Stress'!Y49+'Wind Loading'!$P$60*'Combined Stress'!Y50+'Wind Loading'!$P$59*'Combined Stress'!Y51+'Wind Loading'!$P$58*'Combined Stress'!Y52+'Wind Loading'!$P$57*'Combined Stress'!Y53+'Wind Loading'!$P$56*'Combined Stress'!Y54+'Wind Loading'!$P$55*'Combined Stress'!Y55+'Wind Loading'!$P$54*'Combined Stress'!Y56+'Wind Loading'!$P$53*'Combined Stress'!Y57+'Wind Loading'!$P$52*'Combined Stress'!Y58+'Wind Loading'!$P$51*'Combined Stress'!Y59+'Wind Loading'!$P$50*'Combined Stress'!Y60+'Wind Loading'!$P$49*'Combined Stress'!Y61+'Wind Loading'!$P$48*'Combined Stress'!Y62+'Wind Loading'!$P$47*'Combined Stress'!Y63+'Wind Loading'!$P$46*'Combined Stress'!Y64+'Wind Loading'!$P$45*'Combined Stress'!Y65+'Wind Loading'!$P$44*'Combined Stress'!Y66+'Wind Loading'!$P$43*'Combined Stress'!Y67+'Wind Loading'!$P$42*'Combined Stress'!Y68+'Wind Loading'!$P$41*'Combined Stress'!Y69</f>
        <v>-29422.529012223065</v>
      </c>
      <c r="AA41" s="60" t="e">
        <f>((Z41*'Alternative 3'!K42)/'Alternative 3'!L42)/1000000</f>
        <v>#VALUE!</v>
      </c>
      <c r="AB41" s="60">
        <f t="shared" si="19"/>
        <v>29</v>
      </c>
      <c r="AC41" s="14">
        <f>'Alternative 3'!$B$3+'Alternative 3'!$B$5+('Alternative 2'!$B$39*AB41)</f>
        <v>261385.01964792598</v>
      </c>
      <c r="AD41" s="60" t="e">
        <f>'Alternative 3'!M42</f>
        <v>#VALUE!</v>
      </c>
      <c r="AE41" s="60" t="e">
        <f t="shared" si="20"/>
        <v>#VALUE!</v>
      </c>
      <c r="AF41" s="60" t="e">
        <f t="shared" si="21"/>
        <v>#VALUE!</v>
      </c>
    </row>
    <row r="42" spans="1:32" x14ac:dyDescent="0.25">
      <c r="A42" s="13" t="str">
        <f>IF('Alternative 1'!F43&gt;0,'Alternative 1'!F43,"x")</f>
        <v>x</v>
      </c>
      <c r="B42" s="30">
        <f t="shared" si="7"/>
        <v>0</v>
      </c>
      <c r="C42" s="30">
        <f t="shared" si="8"/>
        <v>0</v>
      </c>
      <c r="D42" s="14">
        <f>'Dynamic Loading'!$I$3*'Combined Stress'!B42+'Wind Loading'!$F$69*C42+'Wind Loading'!$F$68*'Combined Stress'!C43+'Wind Loading'!$F$67*'Combined Stress'!C44+'Wind Loading'!$F$66*'Combined Stress'!C45+'Wind Loading'!$F$65*'Combined Stress'!C46+'Wind Loading'!$F$64*'Combined Stress'!C47+'Wind Loading'!$F$63*'Combined Stress'!C48+'Wind Loading'!$F$62*'Combined Stress'!C49+'Wind Loading'!$F$61*'Combined Stress'!C50+'Wind Loading'!$F$60*'Combined Stress'!C51+'Wind Loading'!$F$59*'Combined Stress'!C52+'Wind Loading'!$F$58*'Combined Stress'!C53+'Wind Loading'!$F$57*'Combined Stress'!C54+'Wind Loading'!$F$56*'Combined Stress'!C55+'Wind Loading'!$F$55*'Combined Stress'!C56+'Wind Loading'!$F$54*'Combined Stress'!C57+'Wind Loading'!$F$53*'Combined Stress'!C58+'Wind Loading'!$F$52*'Combined Stress'!C59+'Wind Loading'!$F$51*'Combined Stress'!C60+'Wind Loading'!$F$50*'Combined Stress'!C61+'Wind Loading'!$F$49*'Combined Stress'!C62+'Wind Loading'!$F$48*'Combined Stress'!C63+'Wind Loading'!$F$47*'Combined Stress'!C64+'Wind Loading'!$F$46*'Combined Stress'!C65+'Wind Loading'!$F$45*'Combined Stress'!C66+'Wind Loading'!$F$44*'Combined Stress'!C67+'Wind Loading'!$F$43*'Combined Stress'!C68+'Wind Loading'!$F$42*'Combined Stress'!C69</f>
        <v>0</v>
      </c>
      <c r="E42" s="14" t="e">
        <f>((D42*'Alternative 1'!K43)/'Alternative 1'!L43)/1000000</f>
        <v>#VALUE!</v>
      </c>
      <c r="F42" s="30">
        <f t="shared" si="9"/>
        <v>0</v>
      </c>
      <c r="G42" s="14">
        <f>IF(F42&gt;0,'Alternative 1'!$B$3+'Alternative 1'!$B$5+('Alternative 1'!$B$39*F42),0)</f>
        <v>0</v>
      </c>
      <c r="H42" s="14" t="e">
        <f>'Alternative 1'!M43</f>
        <v>#VALUE!</v>
      </c>
      <c r="I42" s="14" t="e">
        <f t="shared" si="15"/>
        <v>#VALUE!</v>
      </c>
      <c r="J42" s="14" t="e">
        <f t="shared" si="16"/>
        <v>#VALUE!</v>
      </c>
      <c r="K42" s="286"/>
      <c r="L42" s="13" t="str">
        <f>IF('Alternative 2'!$F43&gt;0,'Alternative 2'!$F43,"x")</f>
        <v>x</v>
      </c>
      <c r="M42" s="30">
        <f t="shared" si="10"/>
        <v>0</v>
      </c>
      <c r="N42" s="30">
        <f t="shared" si="11"/>
        <v>0</v>
      </c>
      <c r="O42" s="14">
        <f>'Dynamic Loading'!$Q$3*'Combined Stress'!M42+'Wind Loading'!$K$69*N42+'Wind Loading'!$K$68*'Combined Stress'!N43+'Wind Loading'!$K$67*'Combined Stress'!N44+'Wind Loading'!$K$66*'Combined Stress'!N45+'Wind Loading'!$K$65*'Combined Stress'!N46+'Wind Loading'!$K$64*'Combined Stress'!N47+'Wind Loading'!$K$63*'Combined Stress'!N48+'Wind Loading'!$K$62*'Combined Stress'!N49+'Wind Loading'!$K$61*'Combined Stress'!N50+'Wind Loading'!$K$60*'Combined Stress'!N51+'Wind Loading'!$K$59*'Combined Stress'!N52+'Wind Loading'!$K$58*'Combined Stress'!N53+'Wind Loading'!$K$57*'Combined Stress'!N54+'Wind Loading'!$K$56*'Combined Stress'!N55+'Wind Loading'!$K$55*'Combined Stress'!N56+'Wind Loading'!$K$54*'Combined Stress'!N57+'Wind Loading'!$K$53*'Combined Stress'!N58+'Wind Loading'!$K$52*'Combined Stress'!N59+'Wind Loading'!$K$51*'Combined Stress'!N60+'Wind Loading'!$K$50*'Combined Stress'!N61+'Wind Loading'!$K$49*'Combined Stress'!N62+'Wind Loading'!$K$48*'Combined Stress'!N63+'Wind Loading'!$K$47*'Combined Stress'!N64+'Wind Loading'!$K$46*'Combined Stress'!N65+'Wind Loading'!$K$45*'Combined Stress'!N66+'Wind Loading'!$K$44*'Combined Stress'!N67+'Wind Loading'!$K$43*'Combined Stress'!N68+'Wind Loading'!$K$42*'Combined Stress'!N69</f>
        <v>0</v>
      </c>
      <c r="P42" s="14" t="e">
        <f>((O42*'Alternative 2'!K43)/'Alternative 2'!L43)/1000000</f>
        <v>#VALUE!</v>
      </c>
      <c r="Q42" s="30">
        <f t="shared" si="12"/>
        <v>0</v>
      </c>
      <c r="R42" s="14">
        <f>'Alternative 2'!$B$3+'Alternative 2'!$B$5+('Alternative 2'!$B$39*Q42)</f>
        <v>14788.4282</v>
      </c>
      <c r="S42" s="14" t="e">
        <f>'Alternative 2'!M43</f>
        <v>#VALUE!</v>
      </c>
      <c r="T42" s="14" t="e">
        <f t="shared" si="17"/>
        <v>#VALUE!</v>
      </c>
      <c r="U42" s="284" t="e">
        <f t="shared" si="18"/>
        <v>#VALUE!</v>
      </c>
      <c r="V42" s="286"/>
      <c r="W42" s="153" t="str">
        <f>'Alternative 3'!F43</f>
        <v>x</v>
      </c>
      <c r="X42" s="59">
        <f t="shared" si="13"/>
        <v>-2.5</v>
      </c>
      <c r="Y42" s="30">
        <f t="shared" si="14"/>
        <v>0</v>
      </c>
      <c r="Z42" s="60">
        <f>'Dynamic Loading'!$Y$3*'Combined Stress'!X42+'Wind Loading'!$P$69*Y42+'Wind Loading'!$P$68*'Combined Stress'!Y43+'Wind Loading'!$P$67*'Combined Stress'!Y44+'Wind Loading'!$P$66*'Combined Stress'!Y45+'Wind Loading'!$P$65*'Combined Stress'!Y46+'Wind Loading'!$P$64*'Combined Stress'!Y47+'Wind Loading'!$P$63*'Combined Stress'!Y48+'Wind Loading'!$P$62*'Combined Stress'!Y49+'Wind Loading'!$P$61*'Combined Stress'!Y50+'Wind Loading'!$P$60*'Combined Stress'!Y51+'Wind Loading'!$P$59*'Combined Stress'!Y52+'Wind Loading'!$P$58*'Combined Stress'!Y53+'Wind Loading'!$P$57*'Combined Stress'!Y54+'Wind Loading'!$P$56*'Combined Stress'!Y55+'Wind Loading'!$P$55*'Combined Stress'!Y56+'Wind Loading'!$P$54*'Combined Stress'!Y57+'Wind Loading'!$P$53*'Combined Stress'!Y58+'Wind Loading'!$P$52*'Combined Stress'!Y59+'Wind Loading'!$P$51*'Combined Stress'!Y60+'Wind Loading'!$P$50*'Combined Stress'!Y61+'Wind Loading'!$P$49*'Combined Stress'!Y62+'Wind Loading'!$P$48*'Combined Stress'!Y63+'Wind Loading'!$P$47*'Combined Stress'!Y64+'Wind Loading'!$P$46*'Combined Stress'!Y65+'Wind Loading'!$P$45*'Combined Stress'!Y66+'Wind Loading'!$P$44*'Combined Stress'!Y67+'Wind Loading'!$P$43*'Combined Stress'!Y68+'Wind Loading'!$P$42*'Combined Stress'!Y69</f>
        <v>-49037.548353705104</v>
      </c>
      <c r="AA42" s="60" t="e">
        <f>((Z42*'Alternative 3'!K43)/'Alternative 3'!L43)/1000000</f>
        <v>#VALUE!</v>
      </c>
      <c r="AB42" s="60">
        <f t="shared" si="19"/>
        <v>28</v>
      </c>
      <c r="AC42" s="14">
        <f>'Alternative 3'!$B$3+'Alternative 3'!$B$5+('Alternative 2'!$B$39*AB42)</f>
        <v>252881.68890834233</v>
      </c>
      <c r="AD42" s="60" t="e">
        <f>'Alternative 3'!M43</f>
        <v>#VALUE!</v>
      </c>
      <c r="AE42" s="60" t="e">
        <f t="shared" si="20"/>
        <v>#VALUE!</v>
      </c>
      <c r="AF42" s="60" t="e">
        <f t="shared" si="21"/>
        <v>#VALUE!</v>
      </c>
    </row>
    <row r="43" spans="1:32" x14ac:dyDescent="0.25">
      <c r="A43" s="13" t="str">
        <f>IF('Alternative 1'!F44&gt;0,'Alternative 1'!F44,"x")</f>
        <v>x</v>
      </c>
      <c r="B43" s="30">
        <f t="shared" si="7"/>
        <v>0</v>
      </c>
      <c r="C43" s="30">
        <f t="shared" si="8"/>
        <v>0</v>
      </c>
      <c r="D43" s="14">
        <f>'Dynamic Loading'!$I$3*'Combined Stress'!B43+'Wind Loading'!$F$69*C43+'Wind Loading'!$F$68*'Combined Stress'!C44+'Wind Loading'!$F$67*'Combined Stress'!C45+'Wind Loading'!$F$66*'Combined Stress'!C46+'Wind Loading'!$F$65*'Combined Stress'!C47+'Wind Loading'!$F$64*'Combined Stress'!C48+'Wind Loading'!$F$63*'Combined Stress'!C49+'Wind Loading'!$F$62*'Combined Stress'!C50+'Wind Loading'!$F$61*'Combined Stress'!C51+'Wind Loading'!$F$60*'Combined Stress'!C52+'Wind Loading'!$F$59*'Combined Stress'!C53+'Wind Loading'!$F$58*'Combined Stress'!C54+'Wind Loading'!$F$57*'Combined Stress'!C55+'Wind Loading'!$F$56*'Combined Stress'!C56+'Wind Loading'!$F$55*'Combined Stress'!C57+'Wind Loading'!$F$54*'Combined Stress'!C58+'Wind Loading'!$F$53*'Combined Stress'!C59+'Wind Loading'!$F$52*'Combined Stress'!C60+'Wind Loading'!$F$51*'Combined Stress'!C61+'Wind Loading'!$F$50*'Combined Stress'!C62+'Wind Loading'!$F$49*'Combined Stress'!C63+'Wind Loading'!$F$48*'Combined Stress'!C64+'Wind Loading'!$F$47*'Combined Stress'!C65+'Wind Loading'!$F$46*'Combined Stress'!C66+'Wind Loading'!$F$45*'Combined Stress'!C67+'Wind Loading'!$F$44*'Combined Stress'!C68+'Wind Loading'!$F$43*'Combined Stress'!C69</f>
        <v>0</v>
      </c>
      <c r="E43" s="14" t="e">
        <f>((D43*'Alternative 1'!K44)/'Alternative 1'!L44)/1000000</f>
        <v>#VALUE!</v>
      </c>
      <c r="F43" s="30">
        <f t="shared" si="9"/>
        <v>0</v>
      </c>
      <c r="G43" s="14">
        <f>IF(F43&gt;0,'Alternative 1'!$B$3+'Alternative 1'!$B$5+('Alternative 1'!$B$39*F43),0)</f>
        <v>0</v>
      </c>
      <c r="H43" s="14" t="e">
        <f>'Alternative 1'!M44</f>
        <v>#VALUE!</v>
      </c>
      <c r="I43" s="14" t="e">
        <f t="shared" si="15"/>
        <v>#VALUE!</v>
      </c>
      <c r="J43" s="14" t="e">
        <f t="shared" si="16"/>
        <v>#VALUE!</v>
      </c>
      <c r="K43" s="286"/>
      <c r="L43" s="13" t="str">
        <f>IF('Alternative 2'!$F44&gt;0,'Alternative 2'!$F44,"x")</f>
        <v>x</v>
      </c>
      <c r="M43" s="30">
        <f t="shared" si="10"/>
        <v>0</v>
      </c>
      <c r="N43" s="30">
        <f t="shared" si="11"/>
        <v>0</v>
      </c>
      <c r="O43" s="14">
        <f>'Dynamic Loading'!$Q$3*'Combined Stress'!M43+'Wind Loading'!$K$69*N43+'Wind Loading'!$K$68*'Combined Stress'!N44+'Wind Loading'!$K$67*'Combined Stress'!N45+'Wind Loading'!$K$66*'Combined Stress'!N46+'Wind Loading'!$K$65*'Combined Stress'!N47+'Wind Loading'!$K$64*'Combined Stress'!N48+'Wind Loading'!$K$63*'Combined Stress'!N49+'Wind Loading'!$K$62*'Combined Stress'!N50+'Wind Loading'!$K$61*'Combined Stress'!N51+'Wind Loading'!$K$60*'Combined Stress'!N52+'Wind Loading'!$K$59*'Combined Stress'!N53+'Wind Loading'!$K$58*'Combined Stress'!N54+'Wind Loading'!$K$57*'Combined Stress'!N55+'Wind Loading'!$K$56*'Combined Stress'!N56+'Wind Loading'!$K$55*'Combined Stress'!N57+'Wind Loading'!$K$54*'Combined Stress'!N58+'Wind Loading'!$K$53*'Combined Stress'!N59+'Wind Loading'!$K$52*'Combined Stress'!N60+'Wind Loading'!$K$51*'Combined Stress'!N61+'Wind Loading'!$K$50*'Combined Stress'!N62+'Wind Loading'!$K$49*'Combined Stress'!N63+'Wind Loading'!$K$48*'Combined Stress'!N64+'Wind Loading'!$K$47*'Combined Stress'!N65+'Wind Loading'!$K$46*'Combined Stress'!N66+'Wind Loading'!$K$45*'Combined Stress'!N67+'Wind Loading'!$K$44*'Combined Stress'!N68+'Wind Loading'!$K$43*'Combined Stress'!N69</f>
        <v>0</v>
      </c>
      <c r="P43" s="14" t="e">
        <f>((O43*'Alternative 2'!K44)/'Alternative 2'!L44)/1000000</f>
        <v>#VALUE!</v>
      </c>
      <c r="Q43" s="30">
        <f t="shared" si="12"/>
        <v>0</v>
      </c>
      <c r="R43" s="14">
        <f>'Alternative 2'!$B$3+'Alternative 2'!$B$5+('Alternative 2'!$B$39*Q43)</f>
        <v>14788.4282</v>
      </c>
      <c r="S43" s="14" t="e">
        <f>'Alternative 2'!M44</f>
        <v>#VALUE!</v>
      </c>
      <c r="T43" s="14" t="e">
        <f t="shared" si="17"/>
        <v>#VALUE!</v>
      </c>
      <c r="U43" s="284" t="e">
        <f t="shared" si="18"/>
        <v>#VALUE!</v>
      </c>
      <c r="V43" s="286"/>
      <c r="W43" s="153" t="str">
        <f>'Alternative 3'!F44</f>
        <v>x</v>
      </c>
      <c r="X43" s="59">
        <f t="shared" si="13"/>
        <v>-3.5</v>
      </c>
      <c r="Y43" s="30">
        <f t="shared" si="14"/>
        <v>0</v>
      </c>
      <c r="Z43" s="60">
        <f>'Dynamic Loading'!$Y$3*'Combined Stress'!X43+'Wind Loading'!$P$69*Y43+'Wind Loading'!$P$68*'Combined Stress'!Y44+'Wind Loading'!$P$67*'Combined Stress'!Y45+'Wind Loading'!$P$66*'Combined Stress'!Y46+'Wind Loading'!$P$65*'Combined Stress'!Y47+'Wind Loading'!$P$64*'Combined Stress'!Y48+'Wind Loading'!$P$63*'Combined Stress'!Y49+'Wind Loading'!$P$62*'Combined Stress'!Y50+'Wind Loading'!$P$61*'Combined Stress'!Y51+'Wind Loading'!$P$60*'Combined Stress'!Y52+'Wind Loading'!$P$59*'Combined Stress'!Y53+'Wind Loading'!$P$58*'Combined Stress'!Y54+'Wind Loading'!$P$57*'Combined Stress'!Y55+'Wind Loading'!$P$56*'Combined Stress'!Y56+'Wind Loading'!$P$55*'Combined Stress'!Y57+'Wind Loading'!$P$54*'Combined Stress'!Y58+'Wind Loading'!$P$53*'Combined Stress'!Y59+'Wind Loading'!$P$52*'Combined Stress'!Y60+'Wind Loading'!$P$51*'Combined Stress'!Y61+'Wind Loading'!$P$50*'Combined Stress'!Y62+'Wind Loading'!$P$49*'Combined Stress'!Y63+'Wind Loading'!$P$48*'Combined Stress'!Y64+'Wind Loading'!$P$47*'Combined Stress'!Y65+'Wind Loading'!$P$46*'Combined Stress'!Y66+'Wind Loading'!$P$45*'Combined Stress'!Y67+'Wind Loading'!$P$44*'Combined Stress'!Y68+'Wind Loading'!$P$43*'Combined Stress'!Y69</f>
        <v>-68652.567695187143</v>
      </c>
      <c r="AA43" s="60" t="e">
        <f>((Z43*'Alternative 3'!K44)/'Alternative 3'!L44)/1000000</f>
        <v>#VALUE!</v>
      </c>
      <c r="AB43" s="60">
        <f t="shared" si="19"/>
        <v>27</v>
      </c>
      <c r="AC43" s="14">
        <f>'Alternative 3'!$B$3+'Alternative 3'!$B$5+('Alternative 2'!$B$39*AB43)</f>
        <v>244378.35816875866</v>
      </c>
      <c r="AD43" s="60" t="e">
        <f>'Alternative 3'!M44</f>
        <v>#VALUE!</v>
      </c>
      <c r="AE43" s="60" t="e">
        <f t="shared" si="20"/>
        <v>#VALUE!</v>
      </c>
      <c r="AF43" s="60" t="e">
        <f t="shared" si="21"/>
        <v>#VALUE!</v>
      </c>
    </row>
    <row r="44" spans="1:32" x14ac:dyDescent="0.25">
      <c r="A44" s="13" t="str">
        <f>IF('Alternative 1'!F45&gt;0,'Alternative 1'!F45,"x")</f>
        <v>x</v>
      </c>
      <c r="B44" s="30">
        <f t="shared" si="7"/>
        <v>0</v>
      </c>
      <c r="C44" s="30">
        <f t="shared" si="8"/>
        <v>0</v>
      </c>
      <c r="D44" s="14">
        <f>'Dynamic Loading'!$I$3*'Combined Stress'!B44+'Wind Loading'!$F$69*C44+'Wind Loading'!$F$68*'Combined Stress'!C45+'Wind Loading'!$F$67*'Combined Stress'!C46+'Wind Loading'!$F$66*'Combined Stress'!C47+'Wind Loading'!$F$65*'Combined Stress'!C48+'Wind Loading'!$F$64*'Combined Stress'!C49+'Wind Loading'!$F$63*'Combined Stress'!C50+'Wind Loading'!$F$62*'Combined Stress'!C51+'Wind Loading'!$F$61*'Combined Stress'!C52+'Wind Loading'!$F$60*'Combined Stress'!C53+'Wind Loading'!$F$59*'Combined Stress'!C54+'Wind Loading'!$F$58*'Combined Stress'!C55+'Wind Loading'!$F$57*'Combined Stress'!C56+'Wind Loading'!$F$56*'Combined Stress'!C57+'Wind Loading'!$F$55*'Combined Stress'!C58+'Wind Loading'!$F$54*'Combined Stress'!C59+'Wind Loading'!$F$53*'Combined Stress'!C60+'Wind Loading'!$F$52*'Combined Stress'!C61+'Wind Loading'!$F$51*'Combined Stress'!C62+'Wind Loading'!$F$50*'Combined Stress'!C63+'Wind Loading'!$F$49*'Combined Stress'!C64+'Wind Loading'!$F$48*'Combined Stress'!C65+'Wind Loading'!$F$47*'Combined Stress'!C66+'Wind Loading'!$F$46*'Combined Stress'!C67+'Wind Loading'!$F$45*'Combined Stress'!C68+'Wind Loading'!$F$44*'Combined Stress'!C69</f>
        <v>0</v>
      </c>
      <c r="E44" s="14" t="e">
        <f>((D44*'Alternative 1'!K45)/'Alternative 1'!L45)/1000000</f>
        <v>#VALUE!</v>
      </c>
      <c r="F44" s="30">
        <f t="shared" si="9"/>
        <v>0</v>
      </c>
      <c r="G44" s="14">
        <f>IF(F44&gt;0,'Alternative 1'!$B$3+'Alternative 1'!$B$5+('Alternative 1'!$B$39*F44),0)</f>
        <v>0</v>
      </c>
      <c r="H44" s="14" t="e">
        <f>'Alternative 1'!M45</f>
        <v>#VALUE!</v>
      </c>
      <c r="I44" s="14" t="e">
        <f t="shared" si="15"/>
        <v>#VALUE!</v>
      </c>
      <c r="J44" s="14" t="e">
        <f t="shared" si="16"/>
        <v>#VALUE!</v>
      </c>
      <c r="K44" s="286"/>
      <c r="L44" s="13" t="str">
        <f>IF('Alternative 2'!$F45&gt;0,'Alternative 2'!$F45,"x")</f>
        <v>x</v>
      </c>
      <c r="M44" s="30">
        <f t="shared" si="10"/>
        <v>0</v>
      </c>
      <c r="N44" s="30">
        <f t="shared" si="11"/>
        <v>0</v>
      </c>
      <c r="O44" s="14">
        <f>'Dynamic Loading'!$Q$3*'Combined Stress'!M44+'Wind Loading'!$K$69*N44+'Wind Loading'!$K$68*'Combined Stress'!N45+'Wind Loading'!$K$67*'Combined Stress'!N46+'Wind Loading'!$K$66*'Combined Stress'!N47+'Wind Loading'!$K$65*'Combined Stress'!N48+'Wind Loading'!$K$64*'Combined Stress'!N49+'Wind Loading'!$K$63*'Combined Stress'!N50+'Wind Loading'!$K$62*'Combined Stress'!N51+'Wind Loading'!$K$61*'Combined Stress'!N52+'Wind Loading'!$K$60*'Combined Stress'!N53+'Wind Loading'!$K$59*'Combined Stress'!N54+'Wind Loading'!$K$58*'Combined Stress'!N55+'Wind Loading'!$K$57*'Combined Stress'!N56+'Wind Loading'!$K$56*'Combined Stress'!N57+'Wind Loading'!$K$55*'Combined Stress'!N58+'Wind Loading'!$K$54*'Combined Stress'!N59+'Wind Loading'!$K$53*'Combined Stress'!N60+'Wind Loading'!$K$52*'Combined Stress'!N61+'Wind Loading'!$K$51*'Combined Stress'!N62+'Wind Loading'!$K$50*'Combined Stress'!N63+'Wind Loading'!$K$49*'Combined Stress'!N64+'Wind Loading'!$K$48*'Combined Stress'!N65+'Wind Loading'!$K$47*'Combined Stress'!N66+'Wind Loading'!$K$46*'Combined Stress'!N67+'Wind Loading'!$K$45*'Combined Stress'!N68+'Wind Loading'!$K$44*'Combined Stress'!N69</f>
        <v>0</v>
      </c>
      <c r="P44" s="14" t="e">
        <f>((O44*'Alternative 2'!K45)/'Alternative 2'!L45)/1000000</f>
        <v>#VALUE!</v>
      </c>
      <c r="Q44" s="30">
        <f t="shared" si="12"/>
        <v>0</v>
      </c>
      <c r="R44" s="14">
        <f>'Alternative 2'!$B$3+'Alternative 2'!$B$5+('Alternative 2'!$B$39*Q44)</f>
        <v>14788.4282</v>
      </c>
      <c r="S44" s="14" t="e">
        <f>'Alternative 2'!M45</f>
        <v>#VALUE!</v>
      </c>
      <c r="T44" s="14" t="e">
        <f t="shared" si="17"/>
        <v>#VALUE!</v>
      </c>
      <c r="U44" s="284" t="e">
        <f t="shared" si="18"/>
        <v>#VALUE!</v>
      </c>
      <c r="V44" s="286"/>
      <c r="W44" s="153" t="str">
        <f>'Alternative 3'!F45</f>
        <v>x</v>
      </c>
      <c r="X44" s="59">
        <f t="shared" si="13"/>
        <v>-4.5</v>
      </c>
      <c r="Y44" s="30">
        <f t="shared" si="14"/>
        <v>0</v>
      </c>
      <c r="Z44" s="60">
        <f>'Dynamic Loading'!$Y$3*'Combined Stress'!X44+'Wind Loading'!$P$69*Y44+'Wind Loading'!$P$68*'Combined Stress'!Y45+'Wind Loading'!$P$67*'Combined Stress'!Y46+'Wind Loading'!$P$66*'Combined Stress'!Y47+'Wind Loading'!$P$65*'Combined Stress'!Y48+'Wind Loading'!$P$64*'Combined Stress'!Y49+'Wind Loading'!$P$63*'Combined Stress'!Y50+'Wind Loading'!$P$62*'Combined Stress'!Y51+'Wind Loading'!$P$61*'Combined Stress'!Y52+'Wind Loading'!$P$60*'Combined Stress'!Y53+'Wind Loading'!$P$59*'Combined Stress'!Y54+'Wind Loading'!$P$58*'Combined Stress'!Y55+'Wind Loading'!$P$57*'Combined Stress'!Y56+'Wind Loading'!$P$56*'Combined Stress'!Y57+'Wind Loading'!$P$55*'Combined Stress'!Y58+'Wind Loading'!$P$54*'Combined Stress'!Y59+'Wind Loading'!$P$53*'Combined Stress'!Y60+'Wind Loading'!$P$52*'Combined Stress'!Y61+'Wind Loading'!$P$51*'Combined Stress'!Y62+'Wind Loading'!$P$50*'Combined Stress'!Y63+'Wind Loading'!$P$49*'Combined Stress'!Y64+'Wind Loading'!$P$48*'Combined Stress'!Y65+'Wind Loading'!$P$47*'Combined Stress'!Y66+'Wind Loading'!$P$46*'Combined Stress'!Y67+'Wind Loading'!$P$45*'Combined Stress'!Y68+'Wind Loading'!$P$44*'Combined Stress'!Y69</f>
        <v>-88267.587036669196</v>
      </c>
      <c r="AA44" s="60" t="e">
        <f>((Z44*'Alternative 3'!K45)/'Alternative 3'!L45)/1000000</f>
        <v>#VALUE!</v>
      </c>
      <c r="AB44" s="60">
        <f t="shared" si="19"/>
        <v>26</v>
      </c>
      <c r="AC44" s="14">
        <f>'Alternative 3'!$B$3+'Alternative 3'!$B$5+('Alternative 2'!$B$39*AB44)</f>
        <v>235875.02742917501</v>
      </c>
      <c r="AD44" s="60" t="e">
        <f>'Alternative 3'!M45</f>
        <v>#VALUE!</v>
      </c>
      <c r="AE44" s="60" t="e">
        <f t="shared" si="20"/>
        <v>#VALUE!</v>
      </c>
      <c r="AF44" s="60" t="e">
        <f t="shared" si="21"/>
        <v>#VALUE!</v>
      </c>
    </row>
    <row r="45" spans="1:32" x14ac:dyDescent="0.25">
      <c r="A45" s="13" t="str">
        <f>IF('Alternative 1'!F46&gt;0,'Alternative 1'!F46,"x")</f>
        <v>x</v>
      </c>
      <c r="B45" s="30">
        <f t="shared" si="7"/>
        <v>0</v>
      </c>
      <c r="C45" s="30">
        <f t="shared" si="8"/>
        <v>0</v>
      </c>
      <c r="D45" s="14">
        <f>'Dynamic Loading'!$I$3*'Combined Stress'!B45+'Wind Loading'!$F$69*C45+'Wind Loading'!$F$68*'Combined Stress'!C46+'Wind Loading'!$F$67*'Combined Stress'!C47+'Wind Loading'!$F$66*'Combined Stress'!C48+'Wind Loading'!$F$65*'Combined Stress'!C49+'Wind Loading'!$F$64*'Combined Stress'!C50+'Wind Loading'!$F$63*'Combined Stress'!C51+'Wind Loading'!$F$62*'Combined Stress'!C52+'Wind Loading'!$F$61*'Combined Stress'!C53+'Wind Loading'!$F$60*'Combined Stress'!C54+'Wind Loading'!$F$59*'Combined Stress'!C55+'Wind Loading'!$F$58*'Combined Stress'!C56+'Wind Loading'!$F$57*'Combined Stress'!C57+'Wind Loading'!$F$56*'Combined Stress'!C58+'Wind Loading'!$F$55*'Combined Stress'!C59+'Wind Loading'!$F$54*'Combined Stress'!C60+'Wind Loading'!$F$53*'Combined Stress'!C61+'Wind Loading'!$F$52*'Combined Stress'!C62+'Wind Loading'!$F$51*'Combined Stress'!C63+'Wind Loading'!$F$50*'Combined Stress'!C64+'Wind Loading'!$F$49*'Combined Stress'!C65+'Wind Loading'!$F$48*'Combined Stress'!C66+'Wind Loading'!$F$47*'Combined Stress'!C67+'Wind Loading'!$F$46*'Combined Stress'!C68+'Wind Loading'!$F$45*'Combined Stress'!C69</f>
        <v>0</v>
      </c>
      <c r="E45" s="14" t="e">
        <f>((D45*'Alternative 1'!K46)/'Alternative 1'!L46)/1000000</f>
        <v>#VALUE!</v>
      </c>
      <c r="F45" s="30">
        <f t="shared" si="9"/>
        <v>0</v>
      </c>
      <c r="G45" s="14">
        <f>IF(F45&gt;0,'Alternative 1'!$B$3+'Alternative 1'!$B$5+('Alternative 1'!$B$39*F45),0)</f>
        <v>0</v>
      </c>
      <c r="H45" s="14" t="e">
        <f>'Alternative 1'!M46</f>
        <v>#VALUE!</v>
      </c>
      <c r="I45" s="14" t="e">
        <f t="shared" si="15"/>
        <v>#VALUE!</v>
      </c>
      <c r="J45" s="14" t="e">
        <f t="shared" si="16"/>
        <v>#VALUE!</v>
      </c>
      <c r="K45" s="286"/>
      <c r="L45" s="13" t="str">
        <f>IF('Alternative 2'!$F46&gt;0,'Alternative 2'!$F46,"x")</f>
        <v>x</v>
      </c>
      <c r="M45" s="30">
        <f t="shared" si="10"/>
        <v>0</v>
      </c>
      <c r="N45" s="30">
        <f t="shared" si="11"/>
        <v>0</v>
      </c>
      <c r="O45" s="14">
        <f>'Dynamic Loading'!$Q$3*'Combined Stress'!M45+'Wind Loading'!$K$69*N45+'Wind Loading'!$K$68*'Combined Stress'!N46+'Wind Loading'!$K$67*'Combined Stress'!N47+'Wind Loading'!$K$66*'Combined Stress'!N48+'Wind Loading'!$K$65*'Combined Stress'!N49+'Wind Loading'!$K$64*'Combined Stress'!N50+'Wind Loading'!$K$63*'Combined Stress'!N51+'Wind Loading'!$K$62*'Combined Stress'!N52+'Wind Loading'!$K$61*'Combined Stress'!N53+'Wind Loading'!$K$60*'Combined Stress'!N54+'Wind Loading'!$K$59*'Combined Stress'!N55+'Wind Loading'!$K$58*'Combined Stress'!N56+'Wind Loading'!$K$57*'Combined Stress'!N57+'Wind Loading'!$K$56*'Combined Stress'!N58+'Wind Loading'!$K$55*'Combined Stress'!N59+'Wind Loading'!$K$54*'Combined Stress'!N60+'Wind Loading'!$K$53*'Combined Stress'!N61+'Wind Loading'!$K$52*'Combined Stress'!N62+'Wind Loading'!$K$51*'Combined Stress'!N63+'Wind Loading'!$K$50*'Combined Stress'!N64+'Wind Loading'!$K$49*'Combined Stress'!N65+'Wind Loading'!$K$48*'Combined Stress'!N66+'Wind Loading'!$K$47*'Combined Stress'!N67+'Wind Loading'!$K$46*'Combined Stress'!N68+'Wind Loading'!$K$45*'Combined Stress'!N69</f>
        <v>0</v>
      </c>
      <c r="P45" s="14" t="e">
        <f>((O45*'Alternative 2'!K46)/'Alternative 2'!L46)/1000000</f>
        <v>#VALUE!</v>
      </c>
      <c r="Q45" s="30">
        <f t="shared" si="12"/>
        <v>0</v>
      </c>
      <c r="R45" s="14">
        <f>'Alternative 2'!$B$3+'Alternative 2'!$B$5+('Alternative 2'!$B$39*Q45)</f>
        <v>14788.4282</v>
      </c>
      <c r="S45" s="14" t="e">
        <f>'Alternative 2'!M46</f>
        <v>#VALUE!</v>
      </c>
      <c r="T45" s="14" t="e">
        <f t="shared" si="17"/>
        <v>#VALUE!</v>
      </c>
      <c r="U45" s="284" t="e">
        <f t="shared" si="18"/>
        <v>#VALUE!</v>
      </c>
      <c r="V45" s="286"/>
      <c r="W45" s="153" t="str">
        <f>'Alternative 3'!F46</f>
        <v>x</v>
      </c>
      <c r="X45" s="59">
        <f t="shared" si="13"/>
        <v>-5.5</v>
      </c>
      <c r="Y45" s="30">
        <f t="shared" si="14"/>
        <v>0</v>
      </c>
      <c r="Z45" s="60">
        <f>'Dynamic Loading'!$Y$3*'Combined Stress'!X45+'Wind Loading'!$P$69*Y45+'Wind Loading'!$P$68*'Combined Stress'!Y46+'Wind Loading'!$P$67*'Combined Stress'!Y47+'Wind Loading'!$P$66*'Combined Stress'!Y48+'Wind Loading'!$P$65*'Combined Stress'!Y49+'Wind Loading'!$P$64*'Combined Stress'!Y50+'Wind Loading'!$P$63*'Combined Stress'!Y51+'Wind Loading'!$P$62*'Combined Stress'!Y52+'Wind Loading'!$P$61*'Combined Stress'!Y53+'Wind Loading'!$P$60*'Combined Stress'!Y54+'Wind Loading'!$P$59*'Combined Stress'!Y55+'Wind Loading'!$P$58*'Combined Stress'!Y56+'Wind Loading'!$P$57*'Combined Stress'!Y57+'Wind Loading'!$P$56*'Combined Stress'!Y58+'Wind Loading'!$P$55*'Combined Stress'!Y59+'Wind Loading'!$P$54*'Combined Stress'!Y60+'Wind Loading'!$P$53*'Combined Stress'!Y61+'Wind Loading'!$P$52*'Combined Stress'!Y62+'Wind Loading'!$P$51*'Combined Stress'!Y63+'Wind Loading'!$P$50*'Combined Stress'!Y64+'Wind Loading'!$P$49*'Combined Stress'!Y65+'Wind Loading'!$P$48*'Combined Stress'!Y66+'Wind Loading'!$P$47*'Combined Stress'!Y67+'Wind Loading'!$P$46*'Combined Stress'!Y68+'Wind Loading'!$P$45*'Combined Stress'!Y69</f>
        <v>-107882.60637815123</v>
      </c>
      <c r="AA45" s="60" t="e">
        <f>((Z45*'Alternative 3'!K46)/'Alternative 3'!L46)/1000000</f>
        <v>#VALUE!</v>
      </c>
      <c r="AB45" s="60">
        <f t="shared" si="19"/>
        <v>25</v>
      </c>
      <c r="AC45" s="14">
        <f>'Alternative 3'!$B$3+'Alternative 3'!$B$5+('Alternative 2'!$B$39*AB45)</f>
        <v>227371.69668959136</v>
      </c>
      <c r="AD45" s="60" t="e">
        <f>'Alternative 3'!M46</f>
        <v>#VALUE!</v>
      </c>
      <c r="AE45" s="60" t="e">
        <f t="shared" si="20"/>
        <v>#VALUE!</v>
      </c>
      <c r="AF45" s="60" t="e">
        <f t="shared" si="21"/>
        <v>#VALUE!</v>
      </c>
    </row>
    <row r="46" spans="1:32" x14ac:dyDescent="0.25">
      <c r="A46" s="13" t="str">
        <f>IF('Alternative 1'!F47&gt;0,'Alternative 1'!F47,"x")</f>
        <v>x</v>
      </c>
      <c r="B46" s="30">
        <f t="shared" si="7"/>
        <v>0</v>
      </c>
      <c r="C46" s="30">
        <f t="shared" si="8"/>
        <v>0</v>
      </c>
      <c r="D46" s="14">
        <f>'Dynamic Loading'!$I$3*'Combined Stress'!B46+'Wind Loading'!$F$69*C46+'Wind Loading'!$F$68*'Combined Stress'!C47+'Wind Loading'!$F$67*'Combined Stress'!C48+'Wind Loading'!$F$66*'Combined Stress'!C49+'Wind Loading'!$F$65*'Combined Stress'!C50+'Wind Loading'!$F$64*'Combined Stress'!C51+'Wind Loading'!$F$63*'Combined Stress'!C52+'Wind Loading'!$F$62*'Combined Stress'!C53+'Wind Loading'!$F$61*'Combined Stress'!C54+'Wind Loading'!$F$60*'Combined Stress'!C55+'Wind Loading'!$F$59*'Combined Stress'!C56+'Wind Loading'!$F$58*'Combined Stress'!C57+'Wind Loading'!$F$57*'Combined Stress'!C58+'Wind Loading'!$F$56*'Combined Stress'!C59+'Wind Loading'!$F$55*'Combined Stress'!C60+'Wind Loading'!$F$54*'Combined Stress'!C61+'Wind Loading'!$F$53*'Combined Stress'!C62+'Wind Loading'!$F$52*'Combined Stress'!C63+'Wind Loading'!$F$51*'Combined Stress'!C64+'Wind Loading'!$F$50*'Combined Stress'!C65+'Wind Loading'!$F$49*'Combined Stress'!C66+'Wind Loading'!$F$48*'Combined Stress'!C67+'Wind Loading'!$F$47*'Combined Stress'!C68+'Wind Loading'!$F$46*'Combined Stress'!C69</f>
        <v>0</v>
      </c>
      <c r="E46" s="14" t="e">
        <f>((D46*'Alternative 1'!K47)/'Alternative 1'!L47)/1000000</f>
        <v>#VALUE!</v>
      </c>
      <c r="F46" s="30">
        <f t="shared" si="9"/>
        <v>0</v>
      </c>
      <c r="G46" s="14">
        <f>IF(F46&gt;0,'Alternative 1'!$B$3+'Alternative 1'!$B$5+('Alternative 1'!$B$39*F46),0)</f>
        <v>0</v>
      </c>
      <c r="H46" s="14" t="e">
        <f>'Alternative 1'!M47</f>
        <v>#VALUE!</v>
      </c>
      <c r="I46" s="14" t="e">
        <f t="shared" si="15"/>
        <v>#VALUE!</v>
      </c>
      <c r="J46" s="14" t="e">
        <f t="shared" si="16"/>
        <v>#VALUE!</v>
      </c>
      <c r="K46" s="286"/>
      <c r="L46" s="13" t="str">
        <f>IF('Alternative 2'!$F47&gt;0,'Alternative 2'!$F47,"x")</f>
        <v>x</v>
      </c>
      <c r="M46" s="30">
        <f t="shared" si="10"/>
        <v>0</v>
      </c>
      <c r="N46" s="30">
        <f t="shared" si="11"/>
        <v>0</v>
      </c>
      <c r="O46" s="14">
        <f>'Dynamic Loading'!$Q$3*'Combined Stress'!M46+'Wind Loading'!$K$69*N46+'Wind Loading'!$K$68*'Combined Stress'!N47+'Wind Loading'!$K$67*'Combined Stress'!N48+'Wind Loading'!$K$66*'Combined Stress'!N49+'Wind Loading'!$K$65*'Combined Stress'!N50+'Wind Loading'!$K$64*'Combined Stress'!N51+'Wind Loading'!$K$63*'Combined Stress'!N52+'Wind Loading'!$K$62*'Combined Stress'!N53+'Wind Loading'!$K$61*'Combined Stress'!N54+'Wind Loading'!$K$60*'Combined Stress'!N55+'Wind Loading'!$K$59*'Combined Stress'!N56+'Wind Loading'!$K$58*'Combined Stress'!N57+'Wind Loading'!$K$57*'Combined Stress'!N58+'Wind Loading'!$K$56*'Combined Stress'!N59+'Wind Loading'!$K$55*'Combined Stress'!N60+'Wind Loading'!$K$54*'Combined Stress'!N61+'Wind Loading'!$K$53*'Combined Stress'!N62+'Wind Loading'!$K$52*'Combined Stress'!N63+'Wind Loading'!$K$51*'Combined Stress'!N64+'Wind Loading'!$K$50*'Combined Stress'!N65+'Wind Loading'!$K$49*'Combined Stress'!N66+'Wind Loading'!$K$48*'Combined Stress'!N67+'Wind Loading'!$K$47*'Combined Stress'!N68+'Wind Loading'!$K$46*'Combined Stress'!N69</f>
        <v>0</v>
      </c>
      <c r="P46" s="14" t="e">
        <f>((O46*'Alternative 2'!K47)/'Alternative 2'!L47)/1000000</f>
        <v>#VALUE!</v>
      </c>
      <c r="Q46" s="30">
        <f t="shared" si="12"/>
        <v>0</v>
      </c>
      <c r="R46" s="14">
        <f>'Alternative 2'!$B$3+'Alternative 2'!$B$5+('Alternative 2'!$B$39*Q46)</f>
        <v>14788.4282</v>
      </c>
      <c r="S46" s="14" t="e">
        <f>'Alternative 2'!M47</f>
        <v>#VALUE!</v>
      </c>
      <c r="T46" s="14" t="e">
        <f t="shared" si="17"/>
        <v>#VALUE!</v>
      </c>
      <c r="U46" s="284" t="e">
        <f t="shared" si="18"/>
        <v>#VALUE!</v>
      </c>
      <c r="V46" s="286"/>
      <c r="W46" s="153" t="str">
        <f>'Alternative 3'!F47</f>
        <v>x</v>
      </c>
      <c r="X46" s="59">
        <f t="shared" si="13"/>
        <v>-6.5</v>
      </c>
      <c r="Y46" s="30">
        <f t="shared" si="14"/>
        <v>0</v>
      </c>
      <c r="Z46" s="60">
        <f>'Dynamic Loading'!$Y$3*'Combined Stress'!X46+'Wind Loading'!$P$69*Y46+'Wind Loading'!$P$68*'Combined Stress'!Y47+'Wind Loading'!$P$67*'Combined Stress'!Y48+'Wind Loading'!$P$66*'Combined Stress'!Y49+'Wind Loading'!$P$65*'Combined Stress'!Y50+'Wind Loading'!$P$64*'Combined Stress'!Y51+'Wind Loading'!$P$63*'Combined Stress'!Y52+'Wind Loading'!$P$62*'Combined Stress'!Y53+'Wind Loading'!$P$61*'Combined Stress'!Y54+'Wind Loading'!$P$60*'Combined Stress'!Y55+'Wind Loading'!$P$59*'Combined Stress'!Y56+'Wind Loading'!$P$58*'Combined Stress'!Y57+'Wind Loading'!$P$57*'Combined Stress'!Y58+'Wind Loading'!$P$56*'Combined Stress'!Y59+'Wind Loading'!$P$55*'Combined Stress'!Y60+'Wind Loading'!$P$54*'Combined Stress'!Y61+'Wind Loading'!$P$53*'Combined Stress'!Y62+'Wind Loading'!$P$52*'Combined Stress'!Y63+'Wind Loading'!$P$51*'Combined Stress'!Y64+'Wind Loading'!$P$50*'Combined Stress'!Y65+'Wind Loading'!$P$49*'Combined Stress'!Y66+'Wind Loading'!$P$48*'Combined Stress'!Y67+'Wind Loading'!$P$47*'Combined Stress'!Y68+'Wind Loading'!$P$46*'Combined Stress'!Y69</f>
        <v>-127497.62571963327</v>
      </c>
      <c r="AA46" s="60" t="e">
        <f>((Z46*'Alternative 3'!K47)/'Alternative 3'!L47)/1000000</f>
        <v>#VALUE!</v>
      </c>
      <c r="AB46" s="60">
        <f t="shared" si="19"/>
        <v>24</v>
      </c>
      <c r="AC46" s="14">
        <f>'Alternative 3'!$B$3+'Alternative 3'!$B$5+('Alternative 2'!$B$39*AB46)</f>
        <v>218868.36595000772</v>
      </c>
      <c r="AD46" s="60" t="e">
        <f>'Alternative 3'!M47</f>
        <v>#VALUE!</v>
      </c>
      <c r="AE46" s="60" t="e">
        <f t="shared" si="20"/>
        <v>#VALUE!</v>
      </c>
      <c r="AF46" s="60" t="e">
        <f t="shared" si="21"/>
        <v>#VALUE!</v>
      </c>
    </row>
    <row r="47" spans="1:32" x14ac:dyDescent="0.25">
      <c r="A47" s="13" t="str">
        <f>IF('Alternative 1'!F48&gt;0,'Alternative 1'!F48,"x")</f>
        <v>x</v>
      </c>
      <c r="B47" s="30">
        <f t="shared" si="7"/>
        <v>0</v>
      </c>
      <c r="C47" s="30">
        <f t="shared" si="8"/>
        <v>0</v>
      </c>
      <c r="D47" s="14">
        <f>'Dynamic Loading'!$I$3*'Combined Stress'!B47+'Wind Loading'!$F$69*C47+'Wind Loading'!$F$68*'Combined Stress'!C48+'Wind Loading'!$F$67*'Combined Stress'!C49+'Wind Loading'!$F$66*'Combined Stress'!C50+'Wind Loading'!$F$65*'Combined Stress'!C51+'Wind Loading'!$F$64*'Combined Stress'!C52+'Wind Loading'!$F$63*'Combined Stress'!C53+'Wind Loading'!$F$62*'Combined Stress'!C54+'Wind Loading'!$F$61*'Combined Stress'!C55+'Wind Loading'!$F$60*'Combined Stress'!C56+'Wind Loading'!$F$59*'Combined Stress'!C57+'Wind Loading'!$F$58*'Combined Stress'!C58+'Wind Loading'!$F$57*'Combined Stress'!C59+'Wind Loading'!$F$56*'Combined Stress'!C60+'Wind Loading'!$F$55*'Combined Stress'!C61+'Wind Loading'!$F$54*'Combined Stress'!C62+'Wind Loading'!$F$53*'Combined Stress'!C63+'Wind Loading'!$F$52*'Combined Stress'!C64+'Wind Loading'!$F$51*'Combined Stress'!C65+'Wind Loading'!$F$50*'Combined Stress'!C66+'Wind Loading'!$F$49*'Combined Stress'!C67+'Wind Loading'!$F$48*'Combined Stress'!C68+'Wind Loading'!$F$47*'Combined Stress'!C69</f>
        <v>0</v>
      </c>
      <c r="E47" s="14" t="e">
        <f>((D47*'Alternative 1'!K48)/'Alternative 1'!L48)/1000000</f>
        <v>#VALUE!</v>
      </c>
      <c r="F47" s="30">
        <f t="shared" si="9"/>
        <v>0</v>
      </c>
      <c r="G47" s="14">
        <f>IF(F47&gt;0,'Alternative 1'!$B$3+'Alternative 1'!$B$5+('Alternative 1'!$B$39*F47),0)</f>
        <v>0</v>
      </c>
      <c r="H47" s="14" t="e">
        <f>'Alternative 1'!M48</f>
        <v>#VALUE!</v>
      </c>
      <c r="I47" s="14" t="e">
        <f t="shared" si="15"/>
        <v>#VALUE!</v>
      </c>
      <c r="J47" s="14" t="e">
        <f t="shared" si="16"/>
        <v>#VALUE!</v>
      </c>
      <c r="K47" s="286"/>
      <c r="L47" s="13" t="str">
        <f>IF('Alternative 2'!$F48&gt;0,'Alternative 2'!$F48,"x")</f>
        <v>x</v>
      </c>
      <c r="M47" s="30">
        <f t="shared" si="10"/>
        <v>0</v>
      </c>
      <c r="N47" s="30">
        <f t="shared" si="11"/>
        <v>0</v>
      </c>
      <c r="O47" s="14">
        <f>'Dynamic Loading'!$Q$3*'Combined Stress'!M47+'Wind Loading'!$K$69*N47+'Wind Loading'!$K$68*'Combined Stress'!N48+'Wind Loading'!$K$67*'Combined Stress'!N49+'Wind Loading'!$K$66*'Combined Stress'!N50+'Wind Loading'!$K$65*'Combined Stress'!N51+'Wind Loading'!$K$64*'Combined Stress'!N52+'Wind Loading'!$K$63*'Combined Stress'!N53+'Wind Loading'!$K$62*'Combined Stress'!N54+'Wind Loading'!$K$61*'Combined Stress'!N55+'Wind Loading'!$K$60*'Combined Stress'!N56+'Wind Loading'!$K$59*'Combined Stress'!N57+'Wind Loading'!$K$58*'Combined Stress'!N58+'Wind Loading'!$K$57*'Combined Stress'!N59+'Wind Loading'!$K$56*'Combined Stress'!N60+'Wind Loading'!$K$55*'Combined Stress'!N61+'Wind Loading'!$K$54*'Combined Stress'!N62+'Wind Loading'!$K$53*'Combined Stress'!N63+'Wind Loading'!$K$52*'Combined Stress'!N64+'Wind Loading'!$K$51*'Combined Stress'!N65+'Wind Loading'!$K$50*'Combined Stress'!N66+'Wind Loading'!$K$49*'Combined Stress'!N67+'Wind Loading'!$K$48*'Combined Stress'!N68+'Wind Loading'!$K$47*'Combined Stress'!N69</f>
        <v>0</v>
      </c>
      <c r="P47" s="14" t="e">
        <f>((O47*'Alternative 2'!K48)/'Alternative 2'!L48)/1000000</f>
        <v>#VALUE!</v>
      </c>
      <c r="Q47" s="30">
        <f t="shared" si="12"/>
        <v>0</v>
      </c>
      <c r="R47" s="14">
        <f>'Alternative 2'!$B$3+'Alternative 2'!$B$5+('Alternative 2'!$B$39*Q47)</f>
        <v>14788.4282</v>
      </c>
      <c r="S47" s="14" t="e">
        <f>'Alternative 2'!M48</f>
        <v>#VALUE!</v>
      </c>
      <c r="T47" s="14" t="e">
        <f t="shared" si="17"/>
        <v>#VALUE!</v>
      </c>
      <c r="U47" s="284" t="e">
        <f t="shared" si="18"/>
        <v>#VALUE!</v>
      </c>
      <c r="V47" s="286"/>
      <c r="W47" s="153" t="str">
        <f>'Alternative 3'!F48</f>
        <v>x</v>
      </c>
      <c r="X47" s="59">
        <f t="shared" si="13"/>
        <v>-7.5</v>
      </c>
      <c r="Y47" s="30">
        <f t="shared" si="14"/>
        <v>0</v>
      </c>
      <c r="Z47" s="60">
        <f>'Dynamic Loading'!$Y$3*'Combined Stress'!X47+'Wind Loading'!$P$69*Y47+'Wind Loading'!$P$68*'Combined Stress'!Y48+'Wind Loading'!$P$67*'Combined Stress'!Y49+'Wind Loading'!$P$66*'Combined Stress'!Y50+'Wind Loading'!$P$65*'Combined Stress'!Y51+'Wind Loading'!$P$64*'Combined Stress'!Y52+'Wind Loading'!$P$63*'Combined Stress'!Y53+'Wind Loading'!$P$62*'Combined Stress'!Y54+'Wind Loading'!$P$61*'Combined Stress'!Y55+'Wind Loading'!$P$60*'Combined Stress'!Y56+'Wind Loading'!$P$59*'Combined Stress'!Y57+'Wind Loading'!$P$58*'Combined Stress'!Y58+'Wind Loading'!$P$57*'Combined Stress'!Y59+'Wind Loading'!$P$56*'Combined Stress'!Y60+'Wind Loading'!$P$55*'Combined Stress'!Y61+'Wind Loading'!$P$54*'Combined Stress'!Y62+'Wind Loading'!$P$53*'Combined Stress'!Y63+'Wind Loading'!$P$52*'Combined Stress'!Y64+'Wind Loading'!$P$51*'Combined Stress'!Y65+'Wind Loading'!$P$50*'Combined Stress'!Y66+'Wind Loading'!$P$49*'Combined Stress'!Y67+'Wind Loading'!$P$48*'Combined Stress'!Y68+'Wind Loading'!$P$47*'Combined Stress'!Y69</f>
        <v>-147112.64506111533</v>
      </c>
      <c r="AA47" s="60" t="e">
        <f>((Z47*'Alternative 3'!K48)/'Alternative 3'!L48)/1000000</f>
        <v>#VALUE!</v>
      </c>
      <c r="AB47" s="60">
        <f t="shared" si="19"/>
        <v>23</v>
      </c>
      <c r="AC47" s="14">
        <f>'Alternative 3'!$B$3+'Alternative 3'!$B$5+('Alternative 2'!$B$39*AB47)</f>
        <v>210365.03521042404</v>
      </c>
      <c r="AD47" s="60" t="e">
        <f>'Alternative 3'!M48</f>
        <v>#VALUE!</v>
      </c>
      <c r="AE47" s="60" t="e">
        <f t="shared" si="20"/>
        <v>#VALUE!</v>
      </c>
      <c r="AF47" s="60" t="e">
        <f t="shared" si="21"/>
        <v>#VALUE!</v>
      </c>
    </row>
    <row r="48" spans="1:32" x14ac:dyDescent="0.25">
      <c r="A48" s="13" t="str">
        <f>IF('Alternative 1'!F49&gt;0,'Alternative 1'!F49,"x")</f>
        <v>x</v>
      </c>
      <c r="B48" s="30">
        <f t="shared" si="7"/>
        <v>0</v>
      </c>
      <c r="C48" s="30">
        <f t="shared" si="8"/>
        <v>0</v>
      </c>
      <c r="D48" s="14">
        <f>'Dynamic Loading'!$I$3*'Combined Stress'!B48+'Wind Loading'!$F$69*C48+'Wind Loading'!$F$68*'Combined Stress'!C49+'Wind Loading'!$F$67*'Combined Stress'!C50+'Wind Loading'!$F$66*'Combined Stress'!C51+'Wind Loading'!$F$65*'Combined Stress'!C52+'Wind Loading'!$F$64*'Combined Stress'!C53+'Wind Loading'!$F$63*'Combined Stress'!C54+'Wind Loading'!$F$62*'Combined Stress'!C55+'Wind Loading'!$F$61*'Combined Stress'!C56+'Wind Loading'!$F$60*'Combined Stress'!C57+'Wind Loading'!$F$59*'Combined Stress'!C58+'Wind Loading'!$F$58*'Combined Stress'!C59+'Wind Loading'!$F$57*'Combined Stress'!C60+'Wind Loading'!$F$56*'Combined Stress'!C61+'Wind Loading'!$F$55*'Combined Stress'!C62+'Wind Loading'!$F$54*'Combined Stress'!C63+'Wind Loading'!$F$53*'Combined Stress'!C64+'Wind Loading'!$F$52*'Combined Stress'!C65+'Wind Loading'!$F$51*'Combined Stress'!C66+'Wind Loading'!$F$50*'Combined Stress'!C67+'Wind Loading'!$F$49*'Combined Stress'!C68+'Wind Loading'!$F$48*'Combined Stress'!C69</f>
        <v>0</v>
      </c>
      <c r="E48" s="14" t="e">
        <f>((D48*'Alternative 1'!K49)/'Alternative 1'!L49)/1000000</f>
        <v>#VALUE!</v>
      </c>
      <c r="F48" s="30">
        <f t="shared" si="9"/>
        <v>0</v>
      </c>
      <c r="G48" s="14">
        <f>IF(F48&gt;0,'Alternative 1'!$B$3+'Alternative 1'!$B$5+('Alternative 1'!$B$39*F48),0)</f>
        <v>0</v>
      </c>
      <c r="H48" s="14" t="e">
        <f>'Alternative 1'!M49</f>
        <v>#VALUE!</v>
      </c>
      <c r="I48" s="14" t="e">
        <f t="shared" si="15"/>
        <v>#VALUE!</v>
      </c>
      <c r="J48" s="14" t="e">
        <f t="shared" si="16"/>
        <v>#VALUE!</v>
      </c>
      <c r="K48" s="286"/>
      <c r="L48" s="13" t="str">
        <f>IF('Alternative 2'!$F49&gt;0,'Alternative 2'!$F49,"x")</f>
        <v>x</v>
      </c>
      <c r="M48" s="30">
        <f t="shared" si="10"/>
        <v>0</v>
      </c>
      <c r="N48" s="30">
        <f t="shared" si="11"/>
        <v>0</v>
      </c>
      <c r="O48" s="14">
        <f>'Dynamic Loading'!$Q$3*'Combined Stress'!M48+'Wind Loading'!$K$69*N48+'Wind Loading'!$K$68*'Combined Stress'!N49+'Wind Loading'!$K$67*'Combined Stress'!N50+'Wind Loading'!$K$66*'Combined Stress'!N51+'Wind Loading'!$K$65*'Combined Stress'!N52+'Wind Loading'!$K$64*'Combined Stress'!N53+'Wind Loading'!$K$63*'Combined Stress'!N54+'Wind Loading'!$K$62*'Combined Stress'!N55+'Wind Loading'!$K$61*'Combined Stress'!N56+'Wind Loading'!$K$60*'Combined Stress'!N57+'Wind Loading'!$K$59*'Combined Stress'!N58+'Wind Loading'!$K$58*'Combined Stress'!N59+'Wind Loading'!$K$57*'Combined Stress'!N60+'Wind Loading'!$K$56*'Combined Stress'!N61+'Wind Loading'!$K$55*'Combined Stress'!N62+'Wind Loading'!$K$54*'Combined Stress'!N63+'Wind Loading'!$K$53*'Combined Stress'!N64+'Wind Loading'!$K$52*'Combined Stress'!N65+'Wind Loading'!$K$51*'Combined Stress'!N66+'Wind Loading'!$K$50*'Combined Stress'!N67+'Wind Loading'!$K$49*'Combined Stress'!N68+'Wind Loading'!$K$48*'Combined Stress'!N69</f>
        <v>0</v>
      </c>
      <c r="P48" s="14" t="e">
        <f>((O48*'Alternative 2'!K49)/'Alternative 2'!L49)/1000000</f>
        <v>#VALUE!</v>
      </c>
      <c r="Q48" s="30">
        <f t="shared" si="12"/>
        <v>0</v>
      </c>
      <c r="R48" s="14">
        <f>'Alternative 2'!$B$3+'Alternative 2'!$B$5+('Alternative 2'!$B$39*Q48)</f>
        <v>14788.4282</v>
      </c>
      <c r="S48" s="14" t="e">
        <f>'Alternative 2'!M49</f>
        <v>#VALUE!</v>
      </c>
      <c r="T48" s="14" t="e">
        <f t="shared" si="17"/>
        <v>#VALUE!</v>
      </c>
      <c r="U48" s="284" t="e">
        <f t="shared" si="18"/>
        <v>#VALUE!</v>
      </c>
      <c r="V48" s="286"/>
      <c r="W48" s="153" t="str">
        <f>'Alternative 3'!F49</f>
        <v>x</v>
      </c>
      <c r="X48" s="59">
        <f t="shared" si="13"/>
        <v>-8.5</v>
      </c>
      <c r="Y48" s="30">
        <f t="shared" si="14"/>
        <v>0</v>
      </c>
      <c r="Z48" s="60">
        <f>'Dynamic Loading'!$Y$3*'Combined Stress'!X48+'Wind Loading'!$P$69*Y48+'Wind Loading'!$P$68*'Combined Stress'!Y49+'Wind Loading'!$P$67*'Combined Stress'!Y50+'Wind Loading'!$P$66*'Combined Stress'!Y51+'Wind Loading'!$P$65*'Combined Stress'!Y52+'Wind Loading'!$P$64*'Combined Stress'!Y53+'Wind Loading'!$P$63*'Combined Stress'!Y54+'Wind Loading'!$P$62*'Combined Stress'!Y55+'Wind Loading'!$P$61*'Combined Stress'!Y56+'Wind Loading'!$P$60*'Combined Stress'!Y57+'Wind Loading'!$P$59*'Combined Stress'!Y58+'Wind Loading'!$P$58*'Combined Stress'!Y59+'Wind Loading'!$P$57*'Combined Stress'!Y60+'Wind Loading'!$P$56*'Combined Stress'!Y61+'Wind Loading'!$P$55*'Combined Stress'!Y62+'Wind Loading'!$P$54*'Combined Stress'!Y63+'Wind Loading'!$P$53*'Combined Stress'!Y64+'Wind Loading'!$P$52*'Combined Stress'!Y65+'Wind Loading'!$P$51*'Combined Stress'!Y66+'Wind Loading'!$P$50*'Combined Stress'!Y67+'Wind Loading'!$P$49*'Combined Stress'!Y68+'Wind Loading'!$P$48*'Combined Stress'!Y69</f>
        <v>-166727.66440259735</v>
      </c>
      <c r="AA48" s="60" t="e">
        <f>((Z48*'Alternative 3'!K49)/'Alternative 3'!L49)/1000000</f>
        <v>#VALUE!</v>
      </c>
      <c r="AB48" s="60">
        <f t="shared" si="19"/>
        <v>22</v>
      </c>
      <c r="AC48" s="14">
        <f>'Alternative 3'!$B$3+'Alternative 3'!$B$5+('Alternative 2'!$B$39*AB48)</f>
        <v>201861.7044708404</v>
      </c>
      <c r="AD48" s="60" t="e">
        <f>'Alternative 3'!M49</f>
        <v>#VALUE!</v>
      </c>
      <c r="AE48" s="60" t="e">
        <f t="shared" si="20"/>
        <v>#VALUE!</v>
      </c>
      <c r="AF48" s="60" t="e">
        <f t="shared" si="21"/>
        <v>#VALUE!</v>
      </c>
    </row>
    <row r="49" spans="1:32" x14ac:dyDescent="0.25">
      <c r="A49" s="13" t="str">
        <f>IF('Alternative 1'!F50&gt;0,'Alternative 1'!F50,"x")</f>
        <v>x</v>
      </c>
      <c r="B49" s="30">
        <f t="shared" si="7"/>
        <v>0</v>
      </c>
      <c r="C49" s="30">
        <f t="shared" si="8"/>
        <v>0</v>
      </c>
      <c r="D49" s="14">
        <f>'Dynamic Loading'!$I$3*'Combined Stress'!B49+'Wind Loading'!$F$69*C49+'Wind Loading'!$F$68*'Combined Stress'!C50+'Wind Loading'!$F$67*'Combined Stress'!C51+'Wind Loading'!$F$66*'Combined Stress'!C52+'Wind Loading'!$F$65*'Combined Stress'!C53+'Wind Loading'!$F$64*'Combined Stress'!C54+'Wind Loading'!$F$63*'Combined Stress'!C55+'Wind Loading'!$F$62*'Combined Stress'!C56+'Wind Loading'!$F$61*'Combined Stress'!C57+'Wind Loading'!$F$60*'Combined Stress'!C58+'Wind Loading'!$F$59*'Combined Stress'!C59+'Wind Loading'!$F$58*'Combined Stress'!C60+'Wind Loading'!$F$57*'Combined Stress'!C61+'Wind Loading'!$F$56*'Combined Stress'!C62+'Wind Loading'!$F$55*'Combined Stress'!C63+'Wind Loading'!$F$54*'Combined Stress'!C64+'Wind Loading'!$F$53*'Combined Stress'!C65+'Wind Loading'!$F$52*'Combined Stress'!C66+'Wind Loading'!$F$51*'Combined Stress'!C67+'Wind Loading'!$F$50*'Combined Stress'!C68+'Wind Loading'!$F$49*'Combined Stress'!C69</f>
        <v>0</v>
      </c>
      <c r="E49" s="14" t="e">
        <f>((D49*'Alternative 1'!K50)/'Alternative 1'!L50)/1000000</f>
        <v>#VALUE!</v>
      </c>
      <c r="F49" s="30">
        <f t="shared" si="9"/>
        <v>0</v>
      </c>
      <c r="G49" s="14">
        <f>IF(F49&gt;0,'Alternative 1'!$B$3+'Alternative 1'!$B$5+('Alternative 1'!$B$39*F49),0)</f>
        <v>0</v>
      </c>
      <c r="H49" s="14" t="e">
        <f>'Alternative 1'!M50</f>
        <v>#VALUE!</v>
      </c>
      <c r="I49" s="14" t="e">
        <f t="shared" si="15"/>
        <v>#VALUE!</v>
      </c>
      <c r="J49" s="14" t="e">
        <f t="shared" si="16"/>
        <v>#VALUE!</v>
      </c>
      <c r="K49" s="286"/>
      <c r="L49" s="13" t="str">
        <f>IF('Alternative 2'!$F50&gt;0,'Alternative 2'!$F50,"x")</f>
        <v>x</v>
      </c>
      <c r="M49" s="30">
        <f t="shared" si="10"/>
        <v>0</v>
      </c>
      <c r="N49" s="30">
        <f t="shared" si="11"/>
        <v>0</v>
      </c>
      <c r="O49" s="14">
        <f>'Dynamic Loading'!$Q$3*'Combined Stress'!M49+'Wind Loading'!$K$69*N49+'Wind Loading'!$K$68*'Combined Stress'!N50+'Wind Loading'!$K$67*'Combined Stress'!N51+'Wind Loading'!$K$66*'Combined Stress'!N52+'Wind Loading'!$K$65*'Combined Stress'!N53+'Wind Loading'!$K$64*'Combined Stress'!N54+'Wind Loading'!$K$63*'Combined Stress'!N55+'Wind Loading'!$K$62*'Combined Stress'!N56+'Wind Loading'!$K$61*'Combined Stress'!N57+'Wind Loading'!$K$60*'Combined Stress'!N58+'Wind Loading'!$K$59*'Combined Stress'!N59+'Wind Loading'!$K$58*'Combined Stress'!N60+'Wind Loading'!$K$57*'Combined Stress'!N61+'Wind Loading'!$K$56*'Combined Stress'!N62+'Wind Loading'!$K$55*'Combined Stress'!N63+'Wind Loading'!$K$54*'Combined Stress'!N64+'Wind Loading'!$K$53*'Combined Stress'!N65+'Wind Loading'!$K$52*'Combined Stress'!N66+'Wind Loading'!$K$51*'Combined Stress'!N67+'Wind Loading'!$K$50*'Combined Stress'!N68+'Wind Loading'!$K$49*'Combined Stress'!N69</f>
        <v>0</v>
      </c>
      <c r="P49" s="14" t="e">
        <f>((O49*'Alternative 2'!K50)/'Alternative 2'!L50)/1000000</f>
        <v>#VALUE!</v>
      </c>
      <c r="Q49" s="30">
        <f t="shared" si="12"/>
        <v>0</v>
      </c>
      <c r="R49" s="14">
        <f>'Alternative 2'!$B$3+'Alternative 2'!$B$5+('Alternative 2'!$B$39*Q49)</f>
        <v>14788.4282</v>
      </c>
      <c r="S49" s="14" t="e">
        <f>'Alternative 2'!M50</f>
        <v>#VALUE!</v>
      </c>
      <c r="T49" s="14" t="e">
        <f t="shared" si="17"/>
        <v>#VALUE!</v>
      </c>
      <c r="U49" s="284" t="e">
        <f t="shared" si="18"/>
        <v>#VALUE!</v>
      </c>
      <c r="V49" s="286"/>
      <c r="W49" s="153" t="str">
        <f>'Alternative 3'!F50</f>
        <v>x</v>
      </c>
      <c r="X49" s="59">
        <f t="shared" si="13"/>
        <v>-9.5</v>
      </c>
      <c r="Y49" s="30">
        <f t="shared" si="14"/>
        <v>0</v>
      </c>
      <c r="Z49" s="60">
        <f>'Dynamic Loading'!$Y$3*'Combined Stress'!X49+'Wind Loading'!$P$69*Y49+'Wind Loading'!$P$68*'Combined Stress'!Y50+'Wind Loading'!$P$67*'Combined Stress'!Y51+'Wind Loading'!$P$66*'Combined Stress'!Y52+'Wind Loading'!$P$65*'Combined Stress'!Y53+'Wind Loading'!$P$64*'Combined Stress'!Y54+'Wind Loading'!$P$63*'Combined Stress'!Y55+'Wind Loading'!$P$62*'Combined Stress'!Y56+'Wind Loading'!$P$61*'Combined Stress'!Y57+'Wind Loading'!$P$60*'Combined Stress'!Y58+'Wind Loading'!$P$59*'Combined Stress'!Y59+'Wind Loading'!$P$58*'Combined Stress'!Y60+'Wind Loading'!$P$57*'Combined Stress'!Y61+'Wind Loading'!$P$56*'Combined Stress'!Y62+'Wind Loading'!$P$55*'Combined Stress'!Y63+'Wind Loading'!$P$54*'Combined Stress'!Y64+'Wind Loading'!$P$53*'Combined Stress'!Y65+'Wind Loading'!$P$52*'Combined Stress'!Y66+'Wind Loading'!$P$51*'Combined Stress'!Y67+'Wind Loading'!$P$50*'Combined Stress'!Y68+'Wind Loading'!$P$49*'Combined Stress'!Y69</f>
        <v>-186342.6837440794</v>
      </c>
      <c r="AA49" s="60" t="e">
        <f>((Z49*'Alternative 3'!K50)/'Alternative 3'!L50)/1000000</f>
        <v>#VALUE!</v>
      </c>
      <c r="AB49" s="60">
        <f t="shared" si="19"/>
        <v>21</v>
      </c>
      <c r="AC49" s="14">
        <f>'Alternative 3'!$B$3+'Alternative 3'!$B$5+('Alternative 2'!$B$39*AB49)</f>
        <v>193358.37373125675</v>
      </c>
      <c r="AD49" s="60" t="e">
        <f>'Alternative 3'!M50</f>
        <v>#VALUE!</v>
      </c>
      <c r="AE49" s="60" t="e">
        <f t="shared" si="20"/>
        <v>#VALUE!</v>
      </c>
      <c r="AF49" s="60" t="e">
        <f t="shared" si="21"/>
        <v>#VALUE!</v>
      </c>
    </row>
    <row r="50" spans="1:32" x14ac:dyDescent="0.25">
      <c r="A50" s="13" t="str">
        <f>IF('Alternative 1'!F51&gt;0,'Alternative 1'!F51,"x")</f>
        <v>x</v>
      </c>
      <c r="B50" s="30">
        <f t="shared" si="7"/>
        <v>0</v>
      </c>
      <c r="C50" s="30">
        <f t="shared" si="8"/>
        <v>0</v>
      </c>
      <c r="D50" s="14">
        <f>'Dynamic Loading'!$I$3*'Combined Stress'!B50+'Wind Loading'!$F$69*C50+'Wind Loading'!$F$68*'Combined Stress'!C51+'Wind Loading'!$F$67*'Combined Stress'!C52+'Wind Loading'!$F$66*'Combined Stress'!C53+'Wind Loading'!$F$65*'Combined Stress'!C54+'Wind Loading'!$F$64*'Combined Stress'!C55+'Wind Loading'!$F$63*'Combined Stress'!C56+'Wind Loading'!$F$62*'Combined Stress'!C57+'Wind Loading'!$F$61*'Combined Stress'!C58+'Wind Loading'!$F$60*'Combined Stress'!C59+'Wind Loading'!$F$59*'Combined Stress'!C60+'Wind Loading'!$F$58*'Combined Stress'!C61+'Wind Loading'!$F$57*'Combined Stress'!C62+'Wind Loading'!$F$56*'Combined Stress'!C63+'Wind Loading'!$F$55*'Combined Stress'!C64+'Wind Loading'!$F$54*'Combined Stress'!C65+'Wind Loading'!$F$53*'Combined Stress'!C66+'Wind Loading'!$F$52*'Combined Stress'!C67+'Wind Loading'!$F$51*'Combined Stress'!C68+'Wind Loading'!$F$50*'Combined Stress'!C69</f>
        <v>0</v>
      </c>
      <c r="E50" s="14" t="e">
        <f>((D50*'Alternative 1'!K51)/'Alternative 1'!L51)/1000000</f>
        <v>#VALUE!</v>
      </c>
      <c r="F50" s="30">
        <f t="shared" si="9"/>
        <v>0</v>
      </c>
      <c r="G50" s="14">
        <f>IF(F50&gt;0,'Alternative 1'!$B$3+'Alternative 1'!$B$5+('Alternative 1'!$B$39*F50),0)</f>
        <v>0</v>
      </c>
      <c r="H50" s="14" t="e">
        <f>'Alternative 1'!M51</f>
        <v>#VALUE!</v>
      </c>
      <c r="I50" s="14" t="e">
        <f t="shared" si="15"/>
        <v>#VALUE!</v>
      </c>
      <c r="J50" s="14" t="e">
        <f t="shared" si="16"/>
        <v>#VALUE!</v>
      </c>
      <c r="K50" s="286"/>
      <c r="L50" s="13" t="str">
        <f>IF('Alternative 2'!$F51&gt;0,'Alternative 2'!$F51,"x")</f>
        <v>x</v>
      </c>
      <c r="M50" s="30">
        <f t="shared" si="10"/>
        <v>0</v>
      </c>
      <c r="N50" s="30">
        <f t="shared" si="11"/>
        <v>0</v>
      </c>
      <c r="O50" s="14">
        <f>'Dynamic Loading'!$Q$3*'Combined Stress'!M50+'Wind Loading'!$K$69*N50+'Wind Loading'!$K$68*'Combined Stress'!N51+'Wind Loading'!$K$67*'Combined Stress'!N52+'Wind Loading'!$K$66*'Combined Stress'!N53+'Wind Loading'!$K$65*'Combined Stress'!N54+'Wind Loading'!$K$64*'Combined Stress'!N55+'Wind Loading'!$K$63*'Combined Stress'!N56+'Wind Loading'!$K$62*'Combined Stress'!N57+'Wind Loading'!$K$61*'Combined Stress'!N58+'Wind Loading'!$K$60*'Combined Stress'!N59+'Wind Loading'!$K$59*'Combined Stress'!N60+'Wind Loading'!$K$58*'Combined Stress'!N61+'Wind Loading'!$K$57*'Combined Stress'!N62+'Wind Loading'!$K$56*'Combined Stress'!N63+'Wind Loading'!$K$55*'Combined Stress'!N64+'Wind Loading'!$K$54*'Combined Stress'!N65+'Wind Loading'!$K$53*'Combined Stress'!N66+'Wind Loading'!$K$52*'Combined Stress'!N67+'Wind Loading'!$K$51*'Combined Stress'!N68+'Wind Loading'!$K$50*'Combined Stress'!N69</f>
        <v>0</v>
      </c>
      <c r="P50" s="14" t="e">
        <f>((O50*'Alternative 2'!K51)/'Alternative 2'!L51)/1000000</f>
        <v>#VALUE!</v>
      </c>
      <c r="Q50" s="30">
        <f t="shared" si="12"/>
        <v>0</v>
      </c>
      <c r="R50" s="14">
        <f>'Alternative 2'!$B$3+'Alternative 2'!$B$5+('Alternative 2'!$B$39*Q50)</f>
        <v>14788.4282</v>
      </c>
      <c r="S50" s="14" t="e">
        <f>'Alternative 2'!M51</f>
        <v>#VALUE!</v>
      </c>
      <c r="T50" s="14" t="e">
        <f t="shared" si="17"/>
        <v>#VALUE!</v>
      </c>
      <c r="U50" s="284" t="e">
        <f t="shared" si="18"/>
        <v>#VALUE!</v>
      </c>
      <c r="V50" s="286"/>
      <c r="W50" s="153" t="str">
        <f>'Alternative 3'!F51</f>
        <v>x</v>
      </c>
      <c r="X50" s="59">
        <f t="shared" si="13"/>
        <v>-10.5</v>
      </c>
      <c r="Y50" s="30">
        <f t="shared" si="14"/>
        <v>0</v>
      </c>
      <c r="Z50" s="60">
        <f>'Dynamic Loading'!$Y$3*'Combined Stress'!X50+'Wind Loading'!$P$69*Y50+'Wind Loading'!$P$68*'Combined Stress'!Y51+'Wind Loading'!$P$67*'Combined Stress'!Y52+'Wind Loading'!$P$66*'Combined Stress'!Y53+'Wind Loading'!$P$65*'Combined Stress'!Y54+'Wind Loading'!$P$64*'Combined Stress'!Y55+'Wind Loading'!$P$63*'Combined Stress'!Y56+'Wind Loading'!$P$62*'Combined Stress'!Y57+'Wind Loading'!$P$61*'Combined Stress'!Y58+'Wind Loading'!$P$60*'Combined Stress'!Y59+'Wind Loading'!$P$59*'Combined Stress'!Y60+'Wind Loading'!$P$58*'Combined Stress'!Y61+'Wind Loading'!$P$57*'Combined Stress'!Y62+'Wind Loading'!$P$56*'Combined Stress'!Y63+'Wind Loading'!$P$55*'Combined Stress'!Y64+'Wind Loading'!$P$54*'Combined Stress'!Y65+'Wind Loading'!$P$53*'Combined Stress'!Y66+'Wind Loading'!$P$52*'Combined Stress'!Y67+'Wind Loading'!$P$51*'Combined Stress'!Y68+'Wind Loading'!$P$50*'Combined Stress'!Y69</f>
        <v>-205957.70308556146</v>
      </c>
      <c r="AA50" s="60" t="e">
        <f>((Z50*'Alternative 3'!K51)/'Alternative 3'!L51)/1000000</f>
        <v>#VALUE!</v>
      </c>
      <c r="AB50" s="60">
        <f t="shared" si="19"/>
        <v>20</v>
      </c>
      <c r="AC50" s="14">
        <f>'Alternative 3'!$B$3+'Alternative 3'!$B$5+('Alternative 2'!$B$39*AB50)</f>
        <v>184855.04299167308</v>
      </c>
      <c r="AD50" s="60" t="e">
        <f>'Alternative 3'!M51</f>
        <v>#VALUE!</v>
      </c>
      <c r="AE50" s="60" t="e">
        <f t="shared" si="20"/>
        <v>#VALUE!</v>
      </c>
      <c r="AF50" s="60" t="e">
        <f t="shared" si="21"/>
        <v>#VALUE!</v>
      </c>
    </row>
    <row r="51" spans="1:32" x14ac:dyDescent="0.25">
      <c r="A51" s="13" t="str">
        <f>IF('Alternative 1'!F52&gt;0,'Alternative 1'!F52,"x")</f>
        <v>x</v>
      </c>
      <c r="B51" s="30">
        <f t="shared" si="7"/>
        <v>0</v>
      </c>
      <c r="C51" s="30">
        <f t="shared" si="8"/>
        <v>0</v>
      </c>
      <c r="D51" s="14">
        <f>'Dynamic Loading'!$I$3*'Combined Stress'!B51+'Wind Loading'!$F$69*C51+'Wind Loading'!$F$68*'Combined Stress'!C52+'Wind Loading'!$F$67*'Combined Stress'!C53+'Wind Loading'!$F$66*'Combined Stress'!C54+'Wind Loading'!$F$65*'Combined Stress'!C55+'Wind Loading'!$F$64*'Combined Stress'!C56+'Wind Loading'!$F$63*'Combined Stress'!C57+'Wind Loading'!$F$62*'Combined Stress'!C58+'Wind Loading'!$F$61*'Combined Stress'!C59+'Wind Loading'!$F$60*'Combined Stress'!C60+'Wind Loading'!$F$59*'Combined Stress'!C61+'Wind Loading'!$F$58*'Combined Stress'!C62+'Wind Loading'!$F$57*'Combined Stress'!C63+'Wind Loading'!$F$56*'Combined Stress'!C64+'Wind Loading'!$F$55*'Combined Stress'!C65+'Wind Loading'!$F$54*'Combined Stress'!C66+'Wind Loading'!$F$53*'Combined Stress'!C67+'Wind Loading'!$F$52*'Combined Stress'!C68+'Wind Loading'!$F$51*'Combined Stress'!C69</f>
        <v>0</v>
      </c>
      <c r="E51" s="14" t="e">
        <f>((D51*'Alternative 1'!K52)/'Alternative 1'!L52)/1000000</f>
        <v>#VALUE!</v>
      </c>
      <c r="F51" s="30">
        <f t="shared" si="9"/>
        <v>0</v>
      </c>
      <c r="G51" s="14">
        <f>IF(F51&gt;0,'Alternative 1'!$B$3+'Alternative 1'!$B$5+('Alternative 1'!$B$39*F51),0)</f>
        <v>0</v>
      </c>
      <c r="H51" s="14" t="e">
        <f>'Alternative 1'!M52</f>
        <v>#VALUE!</v>
      </c>
      <c r="I51" s="14" t="e">
        <f t="shared" si="15"/>
        <v>#VALUE!</v>
      </c>
      <c r="J51" s="14" t="e">
        <f t="shared" si="16"/>
        <v>#VALUE!</v>
      </c>
      <c r="K51" s="286"/>
      <c r="L51" s="13" t="str">
        <f>IF('Alternative 2'!$F52&gt;0,'Alternative 2'!$F52,"x")</f>
        <v>x</v>
      </c>
      <c r="M51" s="30">
        <f t="shared" si="10"/>
        <v>0</v>
      </c>
      <c r="N51" s="30">
        <f t="shared" si="11"/>
        <v>0</v>
      </c>
      <c r="O51" s="14">
        <f>'Dynamic Loading'!$Q$3*'Combined Stress'!M51+'Wind Loading'!$K$69*N51+'Wind Loading'!$K$68*'Combined Stress'!N52+'Wind Loading'!$K$67*'Combined Stress'!N53+'Wind Loading'!$K$66*'Combined Stress'!N54+'Wind Loading'!$K$65*'Combined Stress'!N55+'Wind Loading'!$K$64*'Combined Stress'!N56+'Wind Loading'!$K$63*'Combined Stress'!N57+'Wind Loading'!$K$62*'Combined Stress'!N58+'Wind Loading'!$K$61*'Combined Stress'!N59+'Wind Loading'!$K$60*'Combined Stress'!N60+'Wind Loading'!$K$59*'Combined Stress'!N61+'Wind Loading'!$K$58*'Combined Stress'!N62+'Wind Loading'!$K$57*'Combined Stress'!N63+'Wind Loading'!$K$56*'Combined Stress'!N64+'Wind Loading'!$K$55*'Combined Stress'!N65+'Wind Loading'!$K$54*'Combined Stress'!N66+'Wind Loading'!$K$53*'Combined Stress'!N67+'Wind Loading'!$K$52*'Combined Stress'!N68+'Wind Loading'!$K$51*'Combined Stress'!N69</f>
        <v>0</v>
      </c>
      <c r="P51" s="14" t="e">
        <f>((O51*'Alternative 2'!K52)/'Alternative 2'!L52)/1000000</f>
        <v>#VALUE!</v>
      </c>
      <c r="Q51" s="30">
        <f t="shared" si="12"/>
        <v>0</v>
      </c>
      <c r="R51" s="14">
        <f>'Alternative 2'!$B$3+'Alternative 2'!$B$5+('Alternative 2'!$B$39*Q51)</f>
        <v>14788.4282</v>
      </c>
      <c r="S51" s="14" t="e">
        <f>'Alternative 2'!M52</f>
        <v>#VALUE!</v>
      </c>
      <c r="T51" s="14" t="e">
        <f t="shared" si="17"/>
        <v>#VALUE!</v>
      </c>
      <c r="U51" s="284" t="e">
        <f t="shared" si="18"/>
        <v>#VALUE!</v>
      </c>
      <c r="V51" s="286"/>
      <c r="W51" s="153" t="str">
        <f>'Alternative 3'!F52</f>
        <v>x</v>
      </c>
      <c r="X51" s="59">
        <f t="shared" si="13"/>
        <v>-11.5</v>
      </c>
      <c r="Y51" s="30">
        <f t="shared" si="14"/>
        <v>0</v>
      </c>
      <c r="Z51" s="60">
        <f>'Dynamic Loading'!$Y$3*'Combined Stress'!X51+'Wind Loading'!$P$69*Y51+'Wind Loading'!$P$68*'Combined Stress'!Y52+'Wind Loading'!$P$67*'Combined Stress'!Y53+'Wind Loading'!$P$66*'Combined Stress'!Y54+'Wind Loading'!$P$65*'Combined Stress'!Y55+'Wind Loading'!$P$64*'Combined Stress'!Y56+'Wind Loading'!$P$63*'Combined Stress'!Y57+'Wind Loading'!$P$62*'Combined Stress'!Y58+'Wind Loading'!$P$61*'Combined Stress'!Y59+'Wind Loading'!$P$60*'Combined Stress'!Y60+'Wind Loading'!$P$59*'Combined Stress'!Y61+'Wind Loading'!$P$58*'Combined Stress'!Y62+'Wind Loading'!$P$57*'Combined Stress'!Y63+'Wind Loading'!$P$56*'Combined Stress'!Y64+'Wind Loading'!$P$55*'Combined Stress'!Y65+'Wind Loading'!$P$54*'Combined Stress'!Y66+'Wind Loading'!$P$53*'Combined Stress'!Y67+'Wind Loading'!$P$52*'Combined Stress'!Y68+'Wind Loading'!$P$51*'Combined Stress'!Y69</f>
        <v>-225572.72242704348</v>
      </c>
      <c r="AA51" s="60" t="e">
        <f>((Z51*'Alternative 3'!K52)/'Alternative 3'!L52)/1000000</f>
        <v>#VALUE!</v>
      </c>
      <c r="AB51" s="60">
        <f t="shared" si="19"/>
        <v>19</v>
      </c>
      <c r="AC51" s="14">
        <f>'Alternative 3'!$B$3+'Alternative 3'!$B$5+('Alternative 2'!$B$39*AB51)</f>
        <v>176351.71225208943</v>
      </c>
      <c r="AD51" s="60" t="e">
        <f>'Alternative 3'!M52</f>
        <v>#VALUE!</v>
      </c>
      <c r="AE51" s="60" t="e">
        <f t="shared" si="20"/>
        <v>#VALUE!</v>
      </c>
      <c r="AF51" s="60" t="e">
        <f t="shared" si="21"/>
        <v>#VALUE!</v>
      </c>
    </row>
    <row r="52" spans="1:32" x14ac:dyDescent="0.25">
      <c r="A52" s="13" t="str">
        <f>IF('Alternative 1'!F53&gt;0,'Alternative 1'!F53,"x")</f>
        <v>x</v>
      </c>
      <c r="B52" s="30">
        <f t="shared" si="7"/>
        <v>0</v>
      </c>
      <c r="C52" s="30">
        <f t="shared" si="8"/>
        <v>0</v>
      </c>
      <c r="D52" s="14">
        <f>'Dynamic Loading'!$I$3*'Combined Stress'!B52+'Wind Loading'!$F$69*C52+'Wind Loading'!$F$68*'Combined Stress'!C53+'Wind Loading'!$F$67*'Combined Stress'!C54+'Wind Loading'!$F$66*'Combined Stress'!C55+'Wind Loading'!$F$65*'Combined Stress'!C56+'Wind Loading'!$F$64*'Combined Stress'!C57+'Wind Loading'!$F$63*'Combined Stress'!C58+'Wind Loading'!$F$62*'Combined Stress'!C59+'Wind Loading'!$F$61*'Combined Stress'!C60+'Wind Loading'!$F$60*'Combined Stress'!C61+'Wind Loading'!$F$59*'Combined Stress'!C62+'Wind Loading'!$F$58*'Combined Stress'!C63+'Wind Loading'!$F$57*'Combined Stress'!C64+'Wind Loading'!$F$56*'Combined Stress'!C65+'Wind Loading'!$F$55*'Combined Stress'!C66+'Wind Loading'!$F$54*'Combined Stress'!C67+'Wind Loading'!$F$53*'Combined Stress'!C68+'Wind Loading'!$F$52*'Combined Stress'!C69</f>
        <v>0</v>
      </c>
      <c r="E52" s="14" t="e">
        <f>((D52*'Alternative 1'!K53)/'Alternative 1'!L53)/1000000</f>
        <v>#VALUE!</v>
      </c>
      <c r="F52" s="30">
        <f t="shared" si="9"/>
        <v>0</v>
      </c>
      <c r="G52" s="14">
        <f>IF(F52&gt;0,'Alternative 1'!$B$3+'Alternative 1'!$B$5+('Alternative 1'!$B$39*F52),0)</f>
        <v>0</v>
      </c>
      <c r="H52" s="14" t="e">
        <f>'Alternative 1'!M53</f>
        <v>#VALUE!</v>
      </c>
      <c r="I52" s="14" t="e">
        <f t="shared" si="15"/>
        <v>#VALUE!</v>
      </c>
      <c r="J52" s="14" t="e">
        <f t="shared" si="16"/>
        <v>#VALUE!</v>
      </c>
      <c r="K52" s="286"/>
      <c r="L52" s="13" t="str">
        <f>IF('Alternative 2'!$F53&gt;0,'Alternative 2'!$F53,"x")</f>
        <v>x</v>
      </c>
      <c r="M52" s="30">
        <f t="shared" si="10"/>
        <v>0</v>
      </c>
      <c r="N52" s="30">
        <f t="shared" si="11"/>
        <v>0</v>
      </c>
      <c r="O52" s="14">
        <f>'Dynamic Loading'!$Q$3*'Combined Stress'!M52+'Wind Loading'!$K$69*N52+'Wind Loading'!$K$68*'Combined Stress'!N53+'Wind Loading'!$K$67*'Combined Stress'!N54+'Wind Loading'!$K$66*'Combined Stress'!N55+'Wind Loading'!$K$65*'Combined Stress'!N56+'Wind Loading'!$K$64*'Combined Stress'!N57+'Wind Loading'!$K$63*'Combined Stress'!N58+'Wind Loading'!$K$62*'Combined Stress'!N59+'Wind Loading'!$K$61*'Combined Stress'!N60+'Wind Loading'!$K$60*'Combined Stress'!N61+'Wind Loading'!$K$59*'Combined Stress'!N62+'Wind Loading'!$K$58*'Combined Stress'!N63+'Wind Loading'!$K$57*'Combined Stress'!N64+'Wind Loading'!$K$56*'Combined Stress'!N65+'Wind Loading'!$K$55*'Combined Stress'!N66+'Wind Loading'!$K$54*'Combined Stress'!N67+'Wind Loading'!$K$53*'Combined Stress'!N68+'Wind Loading'!$K$52*'Combined Stress'!N69</f>
        <v>0</v>
      </c>
      <c r="P52" s="14" t="e">
        <f>((O52*'Alternative 2'!K53)/'Alternative 2'!L53)/1000000</f>
        <v>#VALUE!</v>
      </c>
      <c r="Q52" s="30">
        <f t="shared" si="12"/>
        <v>0</v>
      </c>
      <c r="R52" s="14">
        <f>'Alternative 2'!$B$3+'Alternative 2'!$B$5+('Alternative 2'!$B$39*Q52)</f>
        <v>14788.4282</v>
      </c>
      <c r="S52" s="14" t="e">
        <f>'Alternative 2'!M53</f>
        <v>#VALUE!</v>
      </c>
      <c r="T52" s="14" t="e">
        <f t="shared" si="17"/>
        <v>#VALUE!</v>
      </c>
      <c r="U52" s="284" t="e">
        <f t="shared" si="18"/>
        <v>#VALUE!</v>
      </c>
      <c r="V52" s="286"/>
      <c r="W52" s="153" t="str">
        <f>'Alternative 3'!F53</f>
        <v>x</v>
      </c>
      <c r="X52" s="59">
        <f t="shared" si="13"/>
        <v>-12.5</v>
      </c>
      <c r="Y52" s="30">
        <f t="shared" si="14"/>
        <v>0</v>
      </c>
      <c r="Z52" s="60">
        <f>'Dynamic Loading'!$Y$3*'Combined Stress'!X52+'Wind Loading'!$P$69*Y52+'Wind Loading'!$P$68*'Combined Stress'!Y53+'Wind Loading'!$P$67*'Combined Stress'!Y54+'Wind Loading'!$P$66*'Combined Stress'!Y55+'Wind Loading'!$P$65*'Combined Stress'!Y56+'Wind Loading'!$P$64*'Combined Stress'!Y57+'Wind Loading'!$P$63*'Combined Stress'!Y58+'Wind Loading'!$P$62*'Combined Stress'!Y59+'Wind Loading'!$P$61*'Combined Stress'!Y60+'Wind Loading'!$P$60*'Combined Stress'!Y61+'Wind Loading'!$P$59*'Combined Stress'!Y62+'Wind Loading'!$P$58*'Combined Stress'!Y63+'Wind Loading'!$P$57*'Combined Stress'!Y64+'Wind Loading'!$P$56*'Combined Stress'!Y65+'Wind Loading'!$P$55*'Combined Stress'!Y66+'Wind Loading'!$P$54*'Combined Stress'!Y67+'Wind Loading'!$P$53*'Combined Stress'!Y68+'Wind Loading'!$P$52*'Combined Stress'!Y69</f>
        <v>-245187.74176852554</v>
      </c>
      <c r="AA52" s="60" t="e">
        <f>((Z52*'Alternative 3'!K53)/'Alternative 3'!L53)/1000000</f>
        <v>#VALUE!</v>
      </c>
      <c r="AB52" s="60">
        <f t="shared" si="19"/>
        <v>18</v>
      </c>
      <c r="AC52" s="14">
        <f>'Alternative 3'!$B$3+'Alternative 3'!$B$5+('Alternative 2'!$B$39*AB52)</f>
        <v>167848.38151250579</v>
      </c>
      <c r="AD52" s="60" t="e">
        <f>'Alternative 3'!M53</f>
        <v>#VALUE!</v>
      </c>
      <c r="AE52" s="60" t="e">
        <f t="shared" si="20"/>
        <v>#VALUE!</v>
      </c>
      <c r="AF52" s="60" t="e">
        <f t="shared" si="21"/>
        <v>#VALUE!</v>
      </c>
    </row>
    <row r="53" spans="1:32" x14ac:dyDescent="0.25">
      <c r="A53" s="13" t="str">
        <f>IF('Alternative 1'!F54&gt;0,'Alternative 1'!F54,"x")</f>
        <v>x</v>
      </c>
      <c r="B53" s="30">
        <f t="shared" si="7"/>
        <v>0</v>
      </c>
      <c r="C53" s="30">
        <f t="shared" si="8"/>
        <v>0</v>
      </c>
      <c r="D53" s="14">
        <f>'Dynamic Loading'!$I$3*'Combined Stress'!B53+'Wind Loading'!$F$69*C53+'Wind Loading'!$F$68*'Combined Stress'!C54+'Wind Loading'!$F$67*'Combined Stress'!C55+'Wind Loading'!$F$66*'Combined Stress'!C56+'Wind Loading'!$F$65*'Combined Stress'!C57+'Wind Loading'!$F$64*'Combined Stress'!C58+'Wind Loading'!$F$63*'Combined Stress'!C59+'Wind Loading'!$F$62*'Combined Stress'!C60+'Wind Loading'!$F$61*'Combined Stress'!C61+'Wind Loading'!$F$60*'Combined Stress'!C62+'Wind Loading'!$F$59*'Combined Stress'!C63+'Wind Loading'!$F$58*'Combined Stress'!C64+'Wind Loading'!$F$57*'Combined Stress'!C65+'Wind Loading'!$F$56*'Combined Stress'!C66+'Wind Loading'!$F$55*'Combined Stress'!C67+'Wind Loading'!$F$54*'Combined Stress'!C68+'Wind Loading'!$F$53*'Combined Stress'!C69</f>
        <v>0</v>
      </c>
      <c r="E53" s="14" t="e">
        <f>((D53*'Alternative 1'!K54)/'Alternative 1'!L54)/1000000</f>
        <v>#VALUE!</v>
      </c>
      <c r="F53" s="30">
        <f t="shared" si="9"/>
        <v>0</v>
      </c>
      <c r="G53" s="14">
        <f>IF(F53&gt;0,'Alternative 1'!$B$3+'Alternative 1'!$B$5+('Alternative 1'!$B$39*F53),0)</f>
        <v>0</v>
      </c>
      <c r="H53" s="14" t="e">
        <f>'Alternative 1'!M54</f>
        <v>#VALUE!</v>
      </c>
      <c r="I53" s="14" t="e">
        <f t="shared" si="15"/>
        <v>#VALUE!</v>
      </c>
      <c r="J53" s="14" t="e">
        <f t="shared" si="16"/>
        <v>#VALUE!</v>
      </c>
      <c r="K53" s="286"/>
      <c r="L53" s="13" t="str">
        <f>IF('Alternative 2'!$F54&gt;0,'Alternative 2'!$F54,"x")</f>
        <v>x</v>
      </c>
      <c r="M53" s="30">
        <f t="shared" si="10"/>
        <v>0</v>
      </c>
      <c r="N53" s="30">
        <f t="shared" si="11"/>
        <v>0</v>
      </c>
      <c r="O53" s="14">
        <f>'Dynamic Loading'!$Q$3*'Combined Stress'!M53+'Wind Loading'!$K$69*N53+'Wind Loading'!$K$68*'Combined Stress'!N54+'Wind Loading'!$K$67*'Combined Stress'!N55+'Wind Loading'!$K$66*'Combined Stress'!N56+'Wind Loading'!$K$65*'Combined Stress'!N57+'Wind Loading'!$K$64*'Combined Stress'!N58+'Wind Loading'!$K$63*'Combined Stress'!N59+'Wind Loading'!$K$62*'Combined Stress'!N60+'Wind Loading'!$K$61*'Combined Stress'!N61+'Wind Loading'!$K$60*'Combined Stress'!N62+'Wind Loading'!$K$59*'Combined Stress'!N63+'Wind Loading'!$K$58*'Combined Stress'!N64+'Wind Loading'!$K$57*'Combined Stress'!N65+'Wind Loading'!$K$56*'Combined Stress'!N66+'Wind Loading'!$K$55*'Combined Stress'!N67+'Wind Loading'!$K$54*'Combined Stress'!N68+'Wind Loading'!$K$53*'Combined Stress'!N69</f>
        <v>0</v>
      </c>
      <c r="P53" s="14" t="e">
        <f>((O53*'Alternative 2'!K54)/'Alternative 2'!L54)/1000000</f>
        <v>#VALUE!</v>
      </c>
      <c r="Q53" s="30">
        <f t="shared" si="12"/>
        <v>0</v>
      </c>
      <c r="R53" s="14">
        <f>'Alternative 2'!$B$3+'Alternative 2'!$B$5+('Alternative 2'!$B$39*Q53)</f>
        <v>14788.4282</v>
      </c>
      <c r="S53" s="14" t="e">
        <f>'Alternative 2'!M54</f>
        <v>#VALUE!</v>
      </c>
      <c r="T53" s="14" t="e">
        <f t="shared" si="17"/>
        <v>#VALUE!</v>
      </c>
      <c r="U53" s="284" t="e">
        <f t="shared" si="18"/>
        <v>#VALUE!</v>
      </c>
      <c r="V53" s="286"/>
      <c r="W53" s="153" t="str">
        <f>'Alternative 3'!F54</f>
        <v>x</v>
      </c>
      <c r="X53" s="59">
        <f t="shared" si="13"/>
        <v>-13.5</v>
      </c>
      <c r="Y53" s="30">
        <f t="shared" si="14"/>
        <v>0</v>
      </c>
      <c r="Z53" s="60">
        <f>'Dynamic Loading'!$Y$3*'Combined Stress'!X53+'Wind Loading'!$P$69*Y53+'Wind Loading'!$P$68*'Combined Stress'!Y54+'Wind Loading'!$P$67*'Combined Stress'!Y55+'Wind Loading'!$P$66*'Combined Stress'!Y56+'Wind Loading'!$P$65*'Combined Stress'!Y57+'Wind Loading'!$P$64*'Combined Stress'!Y58+'Wind Loading'!$P$63*'Combined Stress'!Y59+'Wind Loading'!$P$62*'Combined Stress'!Y60+'Wind Loading'!$P$61*'Combined Stress'!Y61+'Wind Loading'!$P$60*'Combined Stress'!Y62+'Wind Loading'!$P$59*'Combined Stress'!Y63+'Wind Loading'!$P$58*'Combined Stress'!Y64+'Wind Loading'!$P$57*'Combined Stress'!Y65+'Wind Loading'!$P$56*'Combined Stress'!Y66+'Wind Loading'!$P$55*'Combined Stress'!Y67+'Wind Loading'!$P$54*'Combined Stress'!Y68+'Wind Loading'!$P$53*'Combined Stress'!Y69</f>
        <v>-264802.76111000759</v>
      </c>
      <c r="AA53" s="60" t="e">
        <f>((Z53*'Alternative 3'!K54)/'Alternative 3'!L54)/1000000</f>
        <v>#VALUE!</v>
      </c>
      <c r="AB53" s="60">
        <f t="shared" si="19"/>
        <v>17</v>
      </c>
      <c r="AC53" s="14">
        <f>'Alternative 3'!$B$3+'Alternative 3'!$B$5+('Alternative 2'!$B$39*AB53)</f>
        <v>159345.05077292211</v>
      </c>
      <c r="AD53" s="60" t="e">
        <f>'Alternative 3'!M54</f>
        <v>#VALUE!</v>
      </c>
      <c r="AE53" s="60" t="e">
        <f t="shared" si="20"/>
        <v>#VALUE!</v>
      </c>
      <c r="AF53" s="60" t="e">
        <f t="shared" si="21"/>
        <v>#VALUE!</v>
      </c>
    </row>
    <row r="54" spans="1:32" x14ac:dyDescent="0.25">
      <c r="A54" s="13" t="str">
        <f>IF('Alternative 1'!F55&gt;0,'Alternative 1'!F55,"x")</f>
        <v>x</v>
      </c>
      <c r="B54" s="30">
        <f t="shared" si="7"/>
        <v>0</v>
      </c>
      <c r="C54" s="30">
        <f t="shared" si="8"/>
        <v>0</v>
      </c>
      <c r="D54" s="14">
        <f>'Dynamic Loading'!$I$3*'Combined Stress'!B54+'Wind Loading'!$F$69*C54+'Wind Loading'!$F$68*'Combined Stress'!C55+'Wind Loading'!$F$67*'Combined Stress'!C56+'Wind Loading'!$F$66*'Combined Stress'!C57+'Wind Loading'!$F$65*'Combined Stress'!C58+'Wind Loading'!$F$64*'Combined Stress'!C59+'Wind Loading'!$F$63*'Combined Stress'!C60+'Wind Loading'!$F$62*'Combined Stress'!C61+'Wind Loading'!$F$61*'Combined Stress'!C62+'Wind Loading'!$F$60*'Combined Stress'!C63+'Wind Loading'!$F$59*'Combined Stress'!C64+'Wind Loading'!$F$58*'Combined Stress'!C65+'Wind Loading'!$F$57*'Combined Stress'!C66+'Wind Loading'!$F$56*'Combined Stress'!C67+'Wind Loading'!$F$55*'Combined Stress'!C68+'Wind Loading'!$F$54*'Combined Stress'!C69</f>
        <v>0</v>
      </c>
      <c r="E54" s="14" t="e">
        <f>((D54*'Alternative 1'!K55)/'Alternative 1'!L55)/1000000</f>
        <v>#VALUE!</v>
      </c>
      <c r="F54" s="30">
        <f t="shared" si="9"/>
        <v>0</v>
      </c>
      <c r="G54" s="14">
        <f>IF(F54&gt;0,'Alternative 1'!$B$3+'Alternative 1'!$B$5+('Alternative 1'!$B$39*F54),0)</f>
        <v>0</v>
      </c>
      <c r="H54" s="14" t="e">
        <f>'Alternative 1'!M55</f>
        <v>#VALUE!</v>
      </c>
      <c r="I54" s="14" t="e">
        <f t="shared" si="15"/>
        <v>#VALUE!</v>
      </c>
      <c r="J54" s="14" t="e">
        <f t="shared" si="16"/>
        <v>#VALUE!</v>
      </c>
      <c r="K54" s="286"/>
      <c r="L54" s="13" t="str">
        <f>IF('Alternative 2'!$F55&gt;0,'Alternative 2'!$F55,"x")</f>
        <v>x</v>
      </c>
      <c r="M54" s="30">
        <f t="shared" si="10"/>
        <v>0</v>
      </c>
      <c r="N54" s="30">
        <f t="shared" si="11"/>
        <v>0</v>
      </c>
      <c r="O54" s="14">
        <f>'Dynamic Loading'!$Q$3*'Combined Stress'!M54+'Wind Loading'!$K$69*N54+'Wind Loading'!$K$68*'Combined Stress'!N55+'Wind Loading'!$K$67*'Combined Stress'!N56+'Wind Loading'!$K$66*'Combined Stress'!N57+'Wind Loading'!$K$65*'Combined Stress'!N58+'Wind Loading'!$K$64*'Combined Stress'!N59+'Wind Loading'!$K$63*'Combined Stress'!N60+'Wind Loading'!$K$62*'Combined Stress'!N61+'Wind Loading'!$K$61*'Combined Stress'!N62+'Wind Loading'!$K$60*'Combined Stress'!N63+'Wind Loading'!$K$59*'Combined Stress'!N64+'Wind Loading'!$K$58*'Combined Stress'!N65+'Wind Loading'!$K$57*'Combined Stress'!N66+'Wind Loading'!$K$56*'Combined Stress'!N67+'Wind Loading'!$K$55*'Combined Stress'!N68+'Wind Loading'!$K$54*'Combined Stress'!N69</f>
        <v>0</v>
      </c>
      <c r="P54" s="14" t="e">
        <f>((O54*'Alternative 2'!K55)/'Alternative 2'!L55)/1000000</f>
        <v>#VALUE!</v>
      </c>
      <c r="Q54" s="30">
        <f t="shared" si="12"/>
        <v>0</v>
      </c>
      <c r="R54" s="14">
        <f>'Alternative 2'!$B$3+'Alternative 2'!$B$5+('Alternative 2'!$B$39*Q54)</f>
        <v>14788.4282</v>
      </c>
      <c r="S54" s="14" t="e">
        <f>'Alternative 2'!M55</f>
        <v>#VALUE!</v>
      </c>
      <c r="T54" s="14" t="e">
        <f t="shared" si="17"/>
        <v>#VALUE!</v>
      </c>
      <c r="U54" s="284" t="e">
        <f t="shared" si="18"/>
        <v>#VALUE!</v>
      </c>
      <c r="V54" s="286"/>
      <c r="W54" s="153" t="str">
        <f>'Alternative 3'!F55</f>
        <v>x</v>
      </c>
      <c r="X54" s="59">
        <f t="shared" si="13"/>
        <v>-14.5</v>
      </c>
      <c r="Y54" s="30">
        <f t="shared" si="14"/>
        <v>0</v>
      </c>
      <c r="Z54" s="60">
        <f>'Dynamic Loading'!$Y$3*'Combined Stress'!X54+'Wind Loading'!$P$69*Y54+'Wind Loading'!$P$68*'Combined Stress'!Y55+'Wind Loading'!$P$67*'Combined Stress'!Y56+'Wind Loading'!$P$66*'Combined Stress'!Y57+'Wind Loading'!$P$65*'Combined Stress'!Y58+'Wind Loading'!$P$64*'Combined Stress'!Y59+'Wind Loading'!$P$63*'Combined Stress'!Y60+'Wind Loading'!$P$62*'Combined Stress'!Y61+'Wind Loading'!$P$61*'Combined Stress'!Y62+'Wind Loading'!$P$60*'Combined Stress'!Y63+'Wind Loading'!$P$59*'Combined Stress'!Y64+'Wind Loading'!$P$58*'Combined Stress'!Y65+'Wind Loading'!$P$57*'Combined Stress'!Y66+'Wind Loading'!$P$56*'Combined Stress'!Y67+'Wind Loading'!$P$55*'Combined Stress'!Y68+'Wind Loading'!$P$54*'Combined Stress'!Y69</f>
        <v>-284417.78045148961</v>
      </c>
      <c r="AA54" s="60" t="e">
        <f>((Z54*'Alternative 3'!K55)/'Alternative 3'!L55)/1000000</f>
        <v>#VALUE!</v>
      </c>
      <c r="AB54" s="60">
        <f t="shared" si="19"/>
        <v>16</v>
      </c>
      <c r="AC54" s="14">
        <f>'Alternative 3'!$B$3+'Alternative 3'!$B$5+('Alternative 2'!$B$39*AB54)</f>
        <v>150841.72003333847</v>
      </c>
      <c r="AD54" s="60" t="e">
        <f>'Alternative 3'!M55</f>
        <v>#VALUE!</v>
      </c>
      <c r="AE54" s="60" t="e">
        <f t="shared" si="20"/>
        <v>#VALUE!</v>
      </c>
      <c r="AF54" s="60" t="e">
        <f t="shared" si="21"/>
        <v>#VALUE!</v>
      </c>
    </row>
    <row r="55" spans="1:32" x14ac:dyDescent="0.25">
      <c r="A55" s="13" t="str">
        <f>IF('Alternative 1'!F56&gt;0,'Alternative 1'!F56,"x")</f>
        <v>x</v>
      </c>
      <c r="B55" s="30">
        <f t="shared" si="7"/>
        <v>0</v>
      </c>
      <c r="C55" s="30">
        <f t="shared" si="8"/>
        <v>0</v>
      </c>
      <c r="D55" s="14">
        <f>'Dynamic Loading'!$I$3*'Combined Stress'!B55+'Wind Loading'!$F$69*C55+'Wind Loading'!$F$68*'Combined Stress'!C56+'Wind Loading'!$F$67*'Combined Stress'!C57+'Wind Loading'!$F$66*'Combined Stress'!C58+'Wind Loading'!$F$65*'Combined Stress'!C59+'Wind Loading'!$F$64*'Combined Stress'!C60+'Wind Loading'!$F$63*'Combined Stress'!C61+'Wind Loading'!$F$62*'Combined Stress'!C62+'Wind Loading'!$F$61*'Combined Stress'!C63+'Wind Loading'!$F$60*'Combined Stress'!C64+'Wind Loading'!$F$59*'Combined Stress'!C65+'Wind Loading'!$F$58*'Combined Stress'!C66+'Wind Loading'!$F$57*'Combined Stress'!C67+'Wind Loading'!$F$56*'Combined Stress'!C68+'Wind Loading'!$F$55*'Combined Stress'!C69</f>
        <v>0</v>
      </c>
      <c r="E55" s="14" t="e">
        <f>((D55*'Alternative 1'!K56)/'Alternative 1'!L56)/1000000</f>
        <v>#VALUE!</v>
      </c>
      <c r="F55" s="30">
        <f t="shared" si="9"/>
        <v>0</v>
      </c>
      <c r="G55" s="14">
        <f>IF(F55&gt;0,'Alternative 1'!$B$3+'Alternative 1'!$B$5+('Alternative 1'!$B$39*F55),0)</f>
        <v>0</v>
      </c>
      <c r="H55" s="14" t="e">
        <f>'Alternative 1'!M56</f>
        <v>#VALUE!</v>
      </c>
      <c r="I55" s="14" t="e">
        <f t="shared" si="15"/>
        <v>#VALUE!</v>
      </c>
      <c r="J55" s="14" t="e">
        <f t="shared" si="16"/>
        <v>#VALUE!</v>
      </c>
      <c r="K55" s="286"/>
      <c r="L55" s="13" t="str">
        <f>IF('Alternative 2'!$F56&gt;0,'Alternative 2'!$F56,"x")</f>
        <v>x</v>
      </c>
      <c r="M55" s="30">
        <f t="shared" si="10"/>
        <v>0</v>
      </c>
      <c r="N55" s="30">
        <f t="shared" si="11"/>
        <v>0</v>
      </c>
      <c r="O55" s="14">
        <f>'Dynamic Loading'!$Q$3*'Combined Stress'!M55+'Wind Loading'!$K$69*N55+'Wind Loading'!$K$68*'Combined Stress'!N56+'Wind Loading'!$K$67*'Combined Stress'!N57+'Wind Loading'!$K$66*'Combined Stress'!N58+'Wind Loading'!$K$65*'Combined Stress'!N59+'Wind Loading'!$K$64*'Combined Stress'!N60+'Wind Loading'!$K$63*'Combined Stress'!N61+'Wind Loading'!$K$62*'Combined Stress'!N62+'Wind Loading'!$K$61*'Combined Stress'!N63+'Wind Loading'!$K$60*'Combined Stress'!N64+'Wind Loading'!$K$59*'Combined Stress'!N65+'Wind Loading'!$K$58*'Combined Stress'!N66+'Wind Loading'!$K$57*'Combined Stress'!N67+'Wind Loading'!$K$56*'Combined Stress'!N68+'Wind Loading'!$K$55*'Combined Stress'!N69</f>
        <v>0</v>
      </c>
      <c r="P55" s="14" t="e">
        <f>((O55*'Alternative 2'!K56)/'Alternative 2'!L56)/1000000</f>
        <v>#VALUE!</v>
      </c>
      <c r="Q55" s="30">
        <f t="shared" si="12"/>
        <v>0</v>
      </c>
      <c r="R55" s="14">
        <f>'Alternative 2'!$B$3+'Alternative 2'!$B$5+('Alternative 2'!$B$39*Q55)</f>
        <v>14788.4282</v>
      </c>
      <c r="S55" s="14" t="e">
        <f>'Alternative 2'!M56</f>
        <v>#VALUE!</v>
      </c>
      <c r="T55" s="14" t="e">
        <f t="shared" si="17"/>
        <v>#VALUE!</v>
      </c>
      <c r="U55" s="284" t="e">
        <f t="shared" si="18"/>
        <v>#VALUE!</v>
      </c>
      <c r="V55" s="286"/>
      <c r="W55" s="153" t="str">
        <f>'Alternative 3'!F56</f>
        <v>x</v>
      </c>
      <c r="X55" s="59">
        <f t="shared" si="13"/>
        <v>-15.5</v>
      </c>
      <c r="Y55" s="30">
        <f t="shared" si="14"/>
        <v>0</v>
      </c>
      <c r="Z55" s="60">
        <f>'Dynamic Loading'!$Y$3*'Combined Stress'!X55+'Wind Loading'!$P$69*Y55+'Wind Loading'!$P$68*'Combined Stress'!Y56+'Wind Loading'!$P$67*'Combined Stress'!Y57+'Wind Loading'!$P$66*'Combined Stress'!Y58+'Wind Loading'!$P$65*'Combined Stress'!Y59+'Wind Loading'!$P$64*'Combined Stress'!Y60+'Wind Loading'!$P$63*'Combined Stress'!Y61+'Wind Loading'!$P$62*'Combined Stress'!Y62+'Wind Loading'!$P$61*'Combined Stress'!Y63+'Wind Loading'!$P$60*'Combined Stress'!Y64+'Wind Loading'!$P$59*'Combined Stress'!Y65+'Wind Loading'!$P$58*'Combined Stress'!Y66+'Wind Loading'!$P$57*'Combined Stress'!Y67+'Wind Loading'!$P$56*'Combined Stress'!Y68+'Wind Loading'!$P$55*'Combined Stress'!Y69</f>
        <v>-304032.79979297164</v>
      </c>
      <c r="AA55" s="60" t="e">
        <f>((Z55*'Alternative 3'!K56)/'Alternative 3'!L56)/1000000</f>
        <v>#VALUE!</v>
      </c>
      <c r="AB55" s="60">
        <f t="shared" si="19"/>
        <v>15</v>
      </c>
      <c r="AC55" s="14">
        <f>'Alternative 3'!$B$3+'Alternative 3'!$B$5+('Alternative 2'!$B$39*AB55)</f>
        <v>142338.38929375482</v>
      </c>
      <c r="AD55" s="60" t="e">
        <f>'Alternative 3'!M56</f>
        <v>#VALUE!</v>
      </c>
      <c r="AE55" s="60" t="e">
        <f t="shared" si="20"/>
        <v>#VALUE!</v>
      </c>
      <c r="AF55" s="60" t="e">
        <f t="shared" si="21"/>
        <v>#VALUE!</v>
      </c>
    </row>
    <row r="56" spans="1:32" x14ac:dyDescent="0.25">
      <c r="A56" s="13" t="str">
        <f>IF('Alternative 1'!F57&gt;0,'Alternative 1'!F57,"x")</f>
        <v>x</v>
      </c>
      <c r="B56" s="30">
        <f t="shared" si="7"/>
        <v>0</v>
      </c>
      <c r="C56" s="30">
        <f t="shared" si="8"/>
        <v>0</v>
      </c>
      <c r="D56" s="14">
        <f>'Dynamic Loading'!$I$3*'Combined Stress'!B56+'Wind Loading'!$F$69*C56+'Wind Loading'!$F$68*'Combined Stress'!C57+'Wind Loading'!$F$67*'Combined Stress'!C58+'Wind Loading'!$F$66*'Combined Stress'!C59+'Wind Loading'!$F$65*'Combined Stress'!C60+'Wind Loading'!$F$64*'Combined Stress'!C61+'Wind Loading'!$F$63*'Combined Stress'!C62+'Wind Loading'!$F$62*'Combined Stress'!C63+'Wind Loading'!$F$61*'Combined Stress'!C64+'Wind Loading'!$F$60*'Combined Stress'!C65+'Wind Loading'!$F$59*'Combined Stress'!C66+'Wind Loading'!$F$58*'Combined Stress'!C67+'Wind Loading'!$F$57*'Combined Stress'!C68+'Wind Loading'!$F$56*'Combined Stress'!C69</f>
        <v>0</v>
      </c>
      <c r="E56" s="14" t="e">
        <f>((D56*'Alternative 1'!K57)/'Alternative 1'!L57)/1000000</f>
        <v>#VALUE!</v>
      </c>
      <c r="F56" s="30">
        <f t="shared" si="9"/>
        <v>0</v>
      </c>
      <c r="G56" s="14">
        <f>IF(F56&gt;0,'Alternative 1'!$B$3+'Alternative 1'!$B$5+('Alternative 1'!$B$39*F56),0)</f>
        <v>0</v>
      </c>
      <c r="H56" s="14" t="e">
        <f>'Alternative 1'!M57</f>
        <v>#VALUE!</v>
      </c>
      <c r="I56" s="14" t="e">
        <f t="shared" si="15"/>
        <v>#VALUE!</v>
      </c>
      <c r="J56" s="14" t="e">
        <f t="shared" si="16"/>
        <v>#VALUE!</v>
      </c>
      <c r="K56" s="286"/>
      <c r="L56" s="13" t="str">
        <f>IF('Alternative 2'!$F57&gt;0,'Alternative 2'!$F57,"x")</f>
        <v>x</v>
      </c>
      <c r="M56" s="30">
        <f t="shared" si="10"/>
        <v>0</v>
      </c>
      <c r="N56" s="30">
        <f t="shared" si="11"/>
        <v>0</v>
      </c>
      <c r="O56" s="14">
        <f>'Dynamic Loading'!$Q$3*'Combined Stress'!M56+'Wind Loading'!$K$69*N56+'Wind Loading'!$K$68*'Combined Stress'!N57+'Wind Loading'!$K$67*'Combined Stress'!N58+'Wind Loading'!$K$66*'Combined Stress'!N59+'Wind Loading'!$K$65*'Combined Stress'!N60+'Wind Loading'!$K$64*'Combined Stress'!N61+'Wind Loading'!$K$63*'Combined Stress'!N62+'Wind Loading'!$K$62*'Combined Stress'!N63+'Wind Loading'!$K$61*'Combined Stress'!N64+'Wind Loading'!$K$60*'Combined Stress'!N65+'Wind Loading'!$K$59*'Combined Stress'!N66+'Wind Loading'!$K$58*'Combined Stress'!N67+'Wind Loading'!$K$57*'Combined Stress'!N68+'Wind Loading'!$K$56*'Combined Stress'!N69</f>
        <v>0</v>
      </c>
      <c r="P56" s="14" t="e">
        <f>((O56*'Alternative 2'!K57)/'Alternative 2'!L57)/1000000</f>
        <v>#VALUE!</v>
      </c>
      <c r="Q56" s="30">
        <f t="shared" si="12"/>
        <v>0</v>
      </c>
      <c r="R56" s="14">
        <f>'Alternative 2'!$B$3+'Alternative 2'!$B$5+('Alternative 2'!$B$39*Q56)</f>
        <v>14788.4282</v>
      </c>
      <c r="S56" s="14" t="e">
        <f>'Alternative 2'!M57</f>
        <v>#VALUE!</v>
      </c>
      <c r="T56" s="14" t="e">
        <f t="shared" si="17"/>
        <v>#VALUE!</v>
      </c>
      <c r="U56" s="284" t="e">
        <f t="shared" si="18"/>
        <v>#VALUE!</v>
      </c>
      <c r="V56" s="286"/>
      <c r="W56" s="153" t="str">
        <f>'Alternative 3'!F57</f>
        <v>x</v>
      </c>
      <c r="X56" s="59">
        <f t="shared" si="13"/>
        <v>-16.5</v>
      </c>
      <c r="Y56" s="30">
        <f t="shared" si="14"/>
        <v>0</v>
      </c>
      <c r="Z56" s="60">
        <f>'Dynamic Loading'!$Y$3*'Combined Stress'!X56+'Wind Loading'!$P$69*Y56+'Wind Loading'!$P$68*'Combined Stress'!Y57+'Wind Loading'!$P$67*'Combined Stress'!Y58+'Wind Loading'!$P$66*'Combined Stress'!Y59+'Wind Loading'!$P$65*'Combined Stress'!Y60+'Wind Loading'!$P$64*'Combined Stress'!Y61+'Wind Loading'!$P$63*'Combined Stress'!Y62+'Wind Loading'!$P$62*'Combined Stress'!Y63+'Wind Loading'!$P$61*'Combined Stress'!Y64+'Wind Loading'!$P$60*'Combined Stress'!Y65+'Wind Loading'!$P$59*'Combined Stress'!Y66+'Wind Loading'!$P$58*'Combined Stress'!Y67+'Wind Loading'!$P$57*'Combined Stress'!Y68+'Wind Loading'!$P$56*'Combined Stress'!Y69</f>
        <v>-323647.81913445372</v>
      </c>
      <c r="AA56" s="60" t="e">
        <f>((Z56*'Alternative 3'!K57)/'Alternative 3'!L57)/1000000</f>
        <v>#VALUE!</v>
      </c>
      <c r="AB56" s="60">
        <f t="shared" si="19"/>
        <v>14</v>
      </c>
      <c r="AC56" s="14">
        <f>'Alternative 3'!$B$3+'Alternative 3'!$B$5+('Alternative 2'!$B$39*AB56)</f>
        <v>133835.05855417118</v>
      </c>
      <c r="AD56" s="60" t="e">
        <f>'Alternative 3'!M57</f>
        <v>#VALUE!</v>
      </c>
      <c r="AE56" s="60" t="e">
        <f t="shared" si="20"/>
        <v>#VALUE!</v>
      </c>
      <c r="AF56" s="60" t="e">
        <f t="shared" si="21"/>
        <v>#VALUE!</v>
      </c>
    </row>
    <row r="57" spans="1:32" x14ac:dyDescent="0.25">
      <c r="A57" s="13" t="str">
        <f>IF('Alternative 1'!F58&gt;0,'Alternative 1'!F58,"x")</f>
        <v>x</v>
      </c>
      <c r="B57" s="30">
        <f t="shared" si="7"/>
        <v>0</v>
      </c>
      <c r="C57" s="30">
        <f t="shared" si="8"/>
        <v>0</v>
      </c>
      <c r="D57" s="14">
        <f>'Dynamic Loading'!$I$3*'Combined Stress'!B57+'Wind Loading'!$F$69*C57+'Wind Loading'!$F$68*'Combined Stress'!C58+'Wind Loading'!$F$67*'Combined Stress'!C59+'Wind Loading'!$F$66*'Combined Stress'!C60+'Wind Loading'!$F$65*'Combined Stress'!C61+'Wind Loading'!$F$64*'Combined Stress'!C62+'Wind Loading'!$F$63*'Combined Stress'!C63+'Wind Loading'!$F$62*'Combined Stress'!C64+'Wind Loading'!$F$61*'Combined Stress'!C65+'Wind Loading'!$F$60*'Combined Stress'!C66+'Wind Loading'!$F$59*'Combined Stress'!C67+'Wind Loading'!$F$58*'Combined Stress'!C68+'Wind Loading'!$F$57*'Combined Stress'!C69</f>
        <v>0</v>
      </c>
      <c r="E57" s="14" t="e">
        <f>((D57*'Alternative 1'!K58)/'Alternative 1'!L58)/1000000</f>
        <v>#VALUE!</v>
      </c>
      <c r="F57" s="30">
        <f t="shared" si="9"/>
        <v>0</v>
      </c>
      <c r="G57" s="14">
        <f>IF(F57&gt;0,'Alternative 1'!$B$3+'Alternative 1'!$B$5+('Alternative 1'!$B$39*F57),0)</f>
        <v>0</v>
      </c>
      <c r="H57" s="14" t="e">
        <f>'Alternative 1'!M58</f>
        <v>#VALUE!</v>
      </c>
      <c r="I57" s="14" t="e">
        <f t="shared" si="15"/>
        <v>#VALUE!</v>
      </c>
      <c r="J57" s="14" t="e">
        <f t="shared" si="16"/>
        <v>#VALUE!</v>
      </c>
      <c r="K57" s="286"/>
      <c r="L57" s="13" t="str">
        <f>IF('Alternative 2'!$F58&gt;0,'Alternative 2'!$F58,"x")</f>
        <v>x</v>
      </c>
      <c r="M57" s="30">
        <f t="shared" si="10"/>
        <v>0</v>
      </c>
      <c r="N57" s="30">
        <f t="shared" si="11"/>
        <v>0</v>
      </c>
      <c r="O57" s="14">
        <f>'Dynamic Loading'!$Q$3*'Combined Stress'!M57+'Wind Loading'!$K$69*N57+'Wind Loading'!$K$68*'Combined Stress'!N58+'Wind Loading'!$K$67*'Combined Stress'!N59+'Wind Loading'!$K$66*'Combined Stress'!N60+'Wind Loading'!$K$65*'Combined Stress'!N61+'Wind Loading'!$K$64*'Combined Stress'!N62+'Wind Loading'!$K$63*'Combined Stress'!N63+'Wind Loading'!$K$62*'Combined Stress'!N64+'Wind Loading'!$K$61*'Combined Stress'!N65+'Wind Loading'!$K$60*'Combined Stress'!N66+'Wind Loading'!$K$59*'Combined Stress'!N67+'Wind Loading'!$K$58*'Combined Stress'!N68+'Wind Loading'!$K$57*'Combined Stress'!N69</f>
        <v>0</v>
      </c>
      <c r="P57" s="14" t="e">
        <f>((O57*'Alternative 2'!K58)/'Alternative 2'!L58)/1000000</f>
        <v>#VALUE!</v>
      </c>
      <c r="Q57" s="30">
        <f t="shared" si="12"/>
        <v>0</v>
      </c>
      <c r="R57" s="14">
        <f>'Alternative 2'!$B$3+'Alternative 2'!$B$5+('Alternative 2'!$B$39*Q57)</f>
        <v>14788.4282</v>
      </c>
      <c r="S57" s="14" t="e">
        <f>'Alternative 2'!M58</f>
        <v>#VALUE!</v>
      </c>
      <c r="T57" s="14" t="e">
        <f t="shared" si="17"/>
        <v>#VALUE!</v>
      </c>
      <c r="U57" s="284" t="e">
        <f t="shared" si="18"/>
        <v>#VALUE!</v>
      </c>
      <c r="V57" s="286"/>
      <c r="W57" s="153" t="str">
        <f>'Alternative 3'!F58</f>
        <v>x</v>
      </c>
      <c r="X57" s="59">
        <f t="shared" si="13"/>
        <v>-17.5</v>
      </c>
      <c r="Y57" s="30">
        <f t="shared" si="14"/>
        <v>0</v>
      </c>
      <c r="Z57" s="60">
        <f>'Dynamic Loading'!$Y$3*'Combined Stress'!X57+'Wind Loading'!$P$69*Y57+'Wind Loading'!$P$68*'Combined Stress'!Y58+'Wind Loading'!$P$67*'Combined Stress'!Y59+'Wind Loading'!$P$66*'Combined Stress'!Y60+'Wind Loading'!$P$65*'Combined Stress'!Y61+'Wind Loading'!$P$64*'Combined Stress'!Y62+'Wind Loading'!$P$63*'Combined Stress'!Y63+'Wind Loading'!$P$62*'Combined Stress'!Y64+'Wind Loading'!$P$61*'Combined Stress'!Y65+'Wind Loading'!$P$60*'Combined Stress'!Y66+'Wind Loading'!$P$59*'Combined Stress'!Y67+'Wind Loading'!$P$58*'Combined Stress'!Y68+'Wind Loading'!$P$57*'Combined Stress'!Y69</f>
        <v>-343262.83847593574</v>
      </c>
      <c r="AA57" s="60" t="e">
        <f>((Z57*'Alternative 3'!K58)/'Alternative 3'!L58)/1000000</f>
        <v>#VALUE!</v>
      </c>
      <c r="AB57" s="60">
        <f t="shared" si="19"/>
        <v>13</v>
      </c>
      <c r="AC57" s="14">
        <f>'Alternative 3'!$B$3+'Alternative 3'!$B$5+('Alternative 2'!$B$39*AB57)</f>
        <v>125331.7278145875</v>
      </c>
      <c r="AD57" s="60" t="e">
        <f>'Alternative 3'!M58</f>
        <v>#VALUE!</v>
      </c>
      <c r="AE57" s="60" t="e">
        <f t="shared" si="20"/>
        <v>#VALUE!</v>
      </c>
      <c r="AF57" s="60" t="e">
        <f t="shared" si="21"/>
        <v>#VALUE!</v>
      </c>
    </row>
    <row r="58" spans="1:32" x14ac:dyDescent="0.25">
      <c r="A58" s="13" t="str">
        <f>IF('Alternative 1'!F59&gt;0,'Alternative 1'!F59,"x")</f>
        <v>x</v>
      </c>
      <c r="B58" s="30">
        <f t="shared" si="7"/>
        <v>0</v>
      </c>
      <c r="C58" s="30">
        <f t="shared" si="8"/>
        <v>0</v>
      </c>
      <c r="D58" s="14">
        <f>'Dynamic Loading'!$I$3*'Combined Stress'!B58+'Wind Loading'!$F$69*C58+'Wind Loading'!$F$68*'Combined Stress'!C59+'Wind Loading'!$F$67*'Combined Stress'!C60+'Wind Loading'!$F$66*'Combined Stress'!C61+'Wind Loading'!$F$65*'Combined Stress'!C62+'Wind Loading'!$F$64*'Combined Stress'!C63+'Wind Loading'!$F$63*'Combined Stress'!C64+'Wind Loading'!$F$62*'Combined Stress'!C65+'Wind Loading'!$F$61*'Combined Stress'!C66+'Wind Loading'!$F$60*'Combined Stress'!C67+'Wind Loading'!$F$59*'Combined Stress'!C68+'Wind Loading'!$F$58*'Combined Stress'!C69</f>
        <v>0</v>
      </c>
      <c r="E58" s="14" t="e">
        <f>((D58*'Alternative 1'!K59)/'Alternative 1'!L59)/1000000</f>
        <v>#VALUE!</v>
      </c>
      <c r="F58" s="30">
        <f t="shared" si="9"/>
        <v>0</v>
      </c>
      <c r="G58" s="14">
        <f>IF(F58&gt;0,'Alternative 1'!$B$3+'Alternative 1'!$B$5+('Alternative 1'!$B$39*F58),0)</f>
        <v>0</v>
      </c>
      <c r="H58" s="14" t="e">
        <f>'Alternative 1'!M59</f>
        <v>#VALUE!</v>
      </c>
      <c r="I58" s="14" t="e">
        <f t="shared" si="15"/>
        <v>#VALUE!</v>
      </c>
      <c r="J58" s="14" t="e">
        <f t="shared" si="16"/>
        <v>#VALUE!</v>
      </c>
      <c r="K58" s="286"/>
      <c r="L58" s="13" t="str">
        <f>IF('Alternative 2'!$F59&gt;0,'Alternative 2'!$F59,"x")</f>
        <v>x</v>
      </c>
      <c r="M58" s="30">
        <f t="shared" si="10"/>
        <v>0</v>
      </c>
      <c r="N58" s="30">
        <f t="shared" si="11"/>
        <v>0</v>
      </c>
      <c r="O58" s="14">
        <f>'Dynamic Loading'!$Q$3*'Combined Stress'!M58+'Wind Loading'!$K$69*N58+'Wind Loading'!$K$68*'Combined Stress'!N59+'Wind Loading'!$K$67*'Combined Stress'!N60+'Wind Loading'!$K$66*'Combined Stress'!N61+'Wind Loading'!$K$65*'Combined Stress'!N62+'Wind Loading'!$K$64*'Combined Stress'!N63+'Wind Loading'!$K$63*'Combined Stress'!N64+'Wind Loading'!$K$62*'Combined Stress'!N65+'Wind Loading'!$K$61*'Combined Stress'!N66+'Wind Loading'!$K$60*'Combined Stress'!N67+'Wind Loading'!$K$59*'Combined Stress'!N68+'Wind Loading'!$K$58*'Combined Stress'!N69</f>
        <v>0</v>
      </c>
      <c r="P58" s="14" t="e">
        <f>((O58*'Alternative 2'!K59)/'Alternative 2'!L59)/1000000</f>
        <v>#VALUE!</v>
      </c>
      <c r="Q58" s="30">
        <f t="shared" si="12"/>
        <v>0</v>
      </c>
      <c r="R58" s="14">
        <f>'Alternative 2'!$B$3+'Alternative 2'!$B$5+('Alternative 2'!$B$39*Q58)</f>
        <v>14788.4282</v>
      </c>
      <c r="S58" s="14" t="e">
        <f>'Alternative 2'!M59</f>
        <v>#VALUE!</v>
      </c>
      <c r="T58" s="14" t="e">
        <f t="shared" si="17"/>
        <v>#VALUE!</v>
      </c>
      <c r="U58" s="284" t="e">
        <f t="shared" si="18"/>
        <v>#VALUE!</v>
      </c>
      <c r="V58" s="286"/>
      <c r="W58" s="153" t="str">
        <f>'Alternative 3'!F59</f>
        <v>x</v>
      </c>
      <c r="X58" s="59">
        <f t="shared" si="13"/>
        <v>-18.5</v>
      </c>
      <c r="Y58" s="30">
        <f t="shared" si="14"/>
        <v>0</v>
      </c>
      <c r="Z58" s="60">
        <f>'Dynamic Loading'!$Y$3*'Combined Stress'!X58+'Wind Loading'!$P$69*Y58+'Wind Loading'!$P$68*'Combined Stress'!Y59+'Wind Loading'!$P$67*'Combined Stress'!Y60+'Wind Loading'!$P$66*'Combined Stress'!Y61+'Wind Loading'!$P$65*'Combined Stress'!Y62+'Wind Loading'!$P$64*'Combined Stress'!Y63+'Wind Loading'!$P$63*'Combined Stress'!Y64+'Wind Loading'!$P$62*'Combined Stress'!Y65+'Wind Loading'!$P$61*'Combined Stress'!Y66+'Wind Loading'!$P$60*'Combined Stress'!Y67+'Wind Loading'!$P$59*'Combined Stress'!Y68+'Wind Loading'!$P$58*'Combined Stress'!Y69</f>
        <v>-362877.85781741777</v>
      </c>
      <c r="AA58" s="60" t="e">
        <f>((Z58*'Alternative 3'!K59)/'Alternative 3'!L59)/1000000</f>
        <v>#VALUE!</v>
      </c>
      <c r="AB58" s="60">
        <f t="shared" si="19"/>
        <v>12</v>
      </c>
      <c r="AC58" s="14">
        <f>'Alternative 3'!$B$3+'Alternative 3'!$B$5+('Alternative 2'!$B$39*AB58)</f>
        <v>116828.39707500386</v>
      </c>
      <c r="AD58" s="60" t="e">
        <f>'Alternative 3'!M59</f>
        <v>#VALUE!</v>
      </c>
      <c r="AE58" s="60" t="e">
        <f t="shared" si="20"/>
        <v>#VALUE!</v>
      </c>
      <c r="AF58" s="60" t="e">
        <f t="shared" si="21"/>
        <v>#VALUE!</v>
      </c>
    </row>
    <row r="59" spans="1:32" x14ac:dyDescent="0.25">
      <c r="A59" s="13" t="str">
        <f>IF('Alternative 1'!F60&gt;0,'Alternative 1'!F60,"x")</f>
        <v>x</v>
      </c>
      <c r="B59" s="30">
        <f t="shared" si="7"/>
        <v>0</v>
      </c>
      <c r="C59" s="30">
        <f t="shared" si="8"/>
        <v>0</v>
      </c>
      <c r="D59" s="14">
        <f>'Dynamic Loading'!$I$3*'Combined Stress'!B59+'Wind Loading'!$F$69*C59+'Wind Loading'!$F$68*'Combined Stress'!C60+'Wind Loading'!$F$67*'Combined Stress'!C61+'Wind Loading'!$F$66*'Combined Stress'!C62+'Wind Loading'!$F$65*'Combined Stress'!C63+'Wind Loading'!$F$64*'Combined Stress'!C64+'Wind Loading'!$F$63*'Combined Stress'!C65+'Wind Loading'!$F$62*'Combined Stress'!C66+'Wind Loading'!$F$61*'Combined Stress'!C67+'Wind Loading'!$F$60*'Combined Stress'!C68+'Wind Loading'!$F$59*'Combined Stress'!C69</f>
        <v>0</v>
      </c>
      <c r="E59" s="14" t="e">
        <f>((D59*'Alternative 1'!K60)/'Alternative 1'!L60)/1000000</f>
        <v>#VALUE!</v>
      </c>
      <c r="F59" s="30">
        <f t="shared" si="9"/>
        <v>0</v>
      </c>
      <c r="G59" s="14">
        <f>IF(F59&gt;0,'Alternative 1'!$B$3+'Alternative 1'!$B$5+('Alternative 1'!$B$39*F59),0)</f>
        <v>0</v>
      </c>
      <c r="H59" s="14" t="e">
        <f>'Alternative 1'!M60</f>
        <v>#VALUE!</v>
      </c>
      <c r="I59" s="14" t="e">
        <f t="shared" si="15"/>
        <v>#VALUE!</v>
      </c>
      <c r="J59" s="14" t="e">
        <f t="shared" si="16"/>
        <v>#VALUE!</v>
      </c>
      <c r="K59" s="286"/>
      <c r="L59" s="13" t="str">
        <f>IF('Alternative 2'!$F60&gt;0,'Alternative 2'!$F60,"x")</f>
        <v>x</v>
      </c>
      <c r="M59" s="30">
        <f t="shared" si="10"/>
        <v>0</v>
      </c>
      <c r="N59" s="30">
        <f t="shared" si="11"/>
        <v>0</v>
      </c>
      <c r="O59" s="14">
        <f>'Dynamic Loading'!$Q$3*'Combined Stress'!M59+'Wind Loading'!$K$69*N59+'Wind Loading'!$K$68*'Combined Stress'!N60+'Wind Loading'!$K$67*'Combined Stress'!N61+'Wind Loading'!$K$66*'Combined Stress'!N62+'Wind Loading'!$K$65*'Combined Stress'!N63+'Wind Loading'!$K$64*'Combined Stress'!N64+'Wind Loading'!$K$63*'Combined Stress'!N65+'Wind Loading'!$K$62*'Combined Stress'!N66+'Wind Loading'!$K$61*'Combined Stress'!N67+'Wind Loading'!$K$60*'Combined Stress'!N68+'Wind Loading'!$K$59*'Combined Stress'!N69</f>
        <v>0</v>
      </c>
      <c r="P59" s="14" t="e">
        <f>((O59*'Alternative 2'!K60)/'Alternative 2'!L60)/1000000</f>
        <v>#VALUE!</v>
      </c>
      <c r="Q59" s="30">
        <f t="shared" si="12"/>
        <v>0</v>
      </c>
      <c r="R59" s="14">
        <f>'Alternative 2'!$B$3+'Alternative 2'!$B$5+('Alternative 2'!$B$39*Q59)</f>
        <v>14788.4282</v>
      </c>
      <c r="S59" s="14" t="e">
        <f>'Alternative 2'!M60</f>
        <v>#VALUE!</v>
      </c>
      <c r="T59" s="14" t="e">
        <f t="shared" si="17"/>
        <v>#VALUE!</v>
      </c>
      <c r="U59" s="284" t="e">
        <f t="shared" si="18"/>
        <v>#VALUE!</v>
      </c>
      <c r="V59" s="286"/>
      <c r="W59" s="153" t="str">
        <f>'Alternative 3'!F60</f>
        <v>x</v>
      </c>
      <c r="X59" s="59">
        <f t="shared" si="13"/>
        <v>-19.5</v>
      </c>
      <c r="Y59" s="30">
        <f t="shared" si="14"/>
        <v>0</v>
      </c>
      <c r="Z59" s="60">
        <f>'Dynamic Loading'!$Y$3*'Combined Stress'!X59+'Wind Loading'!$P$69*Y59+'Wind Loading'!$P$68*'Combined Stress'!Y60+'Wind Loading'!$P$67*'Combined Stress'!Y61+'Wind Loading'!$P$66*'Combined Stress'!Y62+'Wind Loading'!$P$65*'Combined Stress'!Y63+'Wind Loading'!$P$64*'Combined Stress'!Y64+'Wind Loading'!$P$63*'Combined Stress'!Y65+'Wind Loading'!$P$62*'Combined Stress'!Y66+'Wind Loading'!$P$61*'Combined Stress'!Y67+'Wind Loading'!$P$60*'Combined Stress'!Y68+'Wind Loading'!$P$59*'Combined Stress'!Y69</f>
        <v>-382492.87715889985</v>
      </c>
      <c r="AA59" s="60" t="e">
        <f>((Z59*'Alternative 3'!K60)/'Alternative 3'!L60)/1000000</f>
        <v>#VALUE!</v>
      </c>
      <c r="AB59" s="60">
        <f t="shared" si="19"/>
        <v>11</v>
      </c>
      <c r="AC59" s="14">
        <f>'Alternative 3'!$B$3+'Alternative 3'!$B$5+('Alternative 2'!$B$39*AB59)</f>
        <v>108325.0663354202</v>
      </c>
      <c r="AD59" s="60" t="e">
        <f>'Alternative 3'!M60</f>
        <v>#VALUE!</v>
      </c>
      <c r="AE59" s="60" t="e">
        <f t="shared" si="20"/>
        <v>#VALUE!</v>
      </c>
      <c r="AF59" s="60" t="e">
        <f t="shared" si="21"/>
        <v>#VALUE!</v>
      </c>
    </row>
    <row r="60" spans="1:32" x14ac:dyDescent="0.25">
      <c r="A60" s="13" t="str">
        <f>IF('Alternative 1'!F61&gt;0,'Alternative 1'!F61,"x")</f>
        <v>x</v>
      </c>
      <c r="B60" s="30">
        <f t="shared" si="7"/>
        <v>0</v>
      </c>
      <c r="C60" s="30">
        <f t="shared" si="8"/>
        <v>0</v>
      </c>
      <c r="D60" s="14">
        <f>'Dynamic Loading'!$I$3*'Combined Stress'!B60+'Wind Loading'!$F$69*C60+'Wind Loading'!$F$68*'Combined Stress'!C61+'Wind Loading'!$F$67*'Combined Stress'!C62+'Wind Loading'!$F$66*'Combined Stress'!C63+'Wind Loading'!$F$65*'Combined Stress'!C64+'Wind Loading'!$F$64*'Combined Stress'!C65+'Wind Loading'!$F$63*'Combined Stress'!C66+'Wind Loading'!$F$62*'Combined Stress'!C67+'Wind Loading'!$F$61*'Combined Stress'!C68+'Wind Loading'!$F$60*'Combined Stress'!C69</f>
        <v>0</v>
      </c>
      <c r="E60" s="14" t="e">
        <f>((D60*'Alternative 1'!K61)/'Alternative 1'!L61)/1000000</f>
        <v>#VALUE!</v>
      </c>
      <c r="F60" s="30">
        <f t="shared" si="9"/>
        <v>0</v>
      </c>
      <c r="G60" s="14">
        <f>IF(F60&gt;0,'Alternative 1'!$B$3+'Alternative 1'!$B$5+('Alternative 1'!$B$39*F60),0)</f>
        <v>0</v>
      </c>
      <c r="H60" s="14" t="e">
        <f>'Alternative 1'!M61</f>
        <v>#VALUE!</v>
      </c>
      <c r="I60" s="14" t="e">
        <f t="shared" si="15"/>
        <v>#VALUE!</v>
      </c>
      <c r="J60" s="14" t="e">
        <f t="shared" si="16"/>
        <v>#VALUE!</v>
      </c>
      <c r="K60" s="286"/>
      <c r="L60" s="13" t="str">
        <f>IF('Alternative 2'!$F61&gt;0,'Alternative 2'!$F61,"x")</f>
        <v>x</v>
      </c>
      <c r="M60" s="30">
        <f t="shared" si="10"/>
        <v>0</v>
      </c>
      <c r="N60" s="30">
        <f t="shared" si="11"/>
        <v>0</v>
      </c>
      <c r="O60" s="14">
        <f>'Dynamic Loading'!$Q$3*'Combined Stress'!M60+'Wind Loading'!$K$69*N60+'Wind Loading'!$K$68*'Combined Stress'!N61+'Wind Loading'!$K$67*'Combined Stress'!N62+'Wind Loading'!$K$66*'Combined Stress'!N63+'Wind Loading'!$K$65*'Combined Stress'!N64+'Wind Loading'!$K$64*'Combined Stress'!N65+'Wind Loading'!$K$63*'Combined Stress'!N66+'Wind Loading'!$K$62*'Combined Stress'!N67+'Wind Loading'!$K$61*'Combined Stress'!N68+'Wind Loading'!$K$60*'Combined Stress'!N69</f>
        <v>0</v>
      </c>
      <c r="P60" s="14" t="e">
        <f>((O60*'Alternative 2'!K61)/'Alternative 2'!L61)/1000000</f>
        <v>#VALUE!</v>
      </c>
      <c r="Q60" s="30">
        <f t="shared" si="12"/>
        <v>0</v>
      </c>
      <c r="R60" s="14">
        <f>'Alternative 2'!$B$3+'Alternative 2'!$B$5+('Alternative 2'!$B$39*Q60)</f>
        <v>14788.4282</v>
      </c>
      <c r="S60" s="14" t="e">
        <f>'Alternative 2'!M61</f>
        <v>#VALUE!</v>
      </c>
      <c r="T60" s="14" t="e">
        <f t="shared" si="17"/>
        <v>#VALUE!</v>
      </c>
      <c r="U60" s="284" t="e">
        <f t="shared" si="18"/>
        <v>#VALUE!</v>
      </c>
      <c r="V60" s="286"/>
      <c r="W60" s="153" t="str">
        <f>'Alternative 3'!F61</f>
        <v>x</v>
      </c>
      <c r="X60" s="59">
        <f t="shared" si="13"/>
        <v>-20.5</v>
      </c>
      <c r="Y60" s="30">
        <f t="shared" si="14"/>
        <v>0</v>
      </c>
      <c r="Z60" s="60">
        <f>'Dynamic Loading'!$Y$3*'Combined Stress'!X60+'Wind Loading'!$P$69*Y60+'Wind Loading'!$P$68*'Combined Stress'!Y61+'Wind Loading'!$P$67*'Combined Stress'!Y62+'Wind Loading'!$P$66*'Combined Stress'!Y63+'Wind Loading'!$P$65*'Combined Stress'!Y64+'Wind Loading'!$P$64*'Combined Stress'!Y65+'Wind Loading'!$P$63*'Combined Stress'!Y66+'Wind Loading'!$P$62*'Combined Stress'!Y67+'Wind Loading'!$P$61*'Combined Stress'!Y68+'Wind Loading'!$P$60*'Combined Stress'!Y69</f>
        <v>-402107.89650038187</v>
      </c>
      <c r="AA60" s="60" t="e">
        <f>((Z60*'Alternative 3'!K61)/'Alternative 3'!L61)/1000000</f>
        <v>#VALUE!</v>
      </c>
      <c r="AB60" s="60">
        <f t="shared" si="19"/>
        <v>10</v>
      </c>
      <c r="AC60" s="14">
        <f>'Alternative 3'!$B$3+'Alternative 3'!$B$5+('Alternative 2'!$B$39*AB60)</f>
        <v>99821.735595836537</v>
      </c>
      <c r="AD60" s="60" t="e">
        <f>'Alternative 3'!M61</f>
        <v>#VALUE!</v>
      </c>
      <c r="AE60" s="60" t="e">
        <f t="shared" si="20"/>
        <v>#VALUE!</v>
      </c>
      <c r="AF60" s="60" t="e">
        <f t="shared" si="21"/>
        <v>#VALUE!</v>
      </c>
    </row>
    <row r="61" spans="1:32" x14ac:dyDescent="0.25">
      <c r="A61" s="13" t="str">
        <f>IF('Alternative 1'!F62&gt;0,'Alternative 1'!F62,"x")</f>
        <v>x</v>
      </c>
      <c r="B61" s="30">
        <f t="shared" si="7"/>
        <v>0</v>
      </c>
      <c r="C61" s="30">
        <f t="shared" si="8"/>
        <v>0</v>
      </c>
      <c r="D61" s="14">
        <f>'Dynamic Loading'!$I$3*'Combined Stress'!B61+'Wind Loading'!$F$69*C61+'Wind Loading'!$F$68*'Combined Stress'!C62+'Wind Loading'!$F$67*'Combined Stress'!C63+'Wind Loading'!$F$66*'Combined Stress'!C64+'Wind Loading'!$F$65*'Combined Stress'!C65+'Wind Loading'!$F$64*'Combined Stress'!C66+'Wind Loading'!$F$63*'Combined Stress'!C67+'Wind Loading'!$F$62*'Combined Stress'!C68+'Wind Loading'!$F$61*'Combined Stress'!C69</f>
        <v>0</v>
      </c>
      <c r="E61" s="14" t="e">
        <f>((D61*'Alternative 1'!K62)/'Alternative 1'!L62)/1000000</f>
        <v>#VALUE!</v>
      </c>
      <c r="F61" s="30">
        <f t="shared" si="9"/>
        <v>0</v>
      </c>
      <c r="G61" s="14">
        <f>IF(F61&gt;0,'Alternative 1'!$B$3+'Alternative 1'!$B$5+('Alternative 1'!$B$39*F61),0)</f>
        <v>0</v>
      </c>
      <c r="H61" s="14" t="e">
        <f>'Alternative 1'!M62</f>
        <v>#VALUE!</v>
      </c>
      <c r="I61" s="14" t="e">
        <f t="shared" si="15"/>
        <v>#VALUE!</v>
      </c>
      <c r="J61" s="14" t="e">
        <f t="shared" si="16"/>
        <v>#VALUE!</v>
      </c>
      <c r="K61" s="286"/>
      <c r="L61" s="13" t="str">
        <f>IF('Alternative 2'!$F62&gt;0,'Alternative 2'!$F62,"x")</f>
        <v>x</v>
      </c>
      <c r="M61" s="30">
        <f t="shared" si="10"/>
        <v>0</v>
      </c>
      <c r="N61" s="30">
        <f t="shared" si="11"/>
        <v>0</v>
      </c>
      <c r="O61" s="14">
        <f>'Dynamic Loading'!$Q$3*'Combined Stress'!M61+'Wind Loading'!$K$69*N61+'Wind Loading'!$K$68*'Combined Stress'!N62+'Wind Loading'!$K$67*'Combined Stress'!N63+'Wind Loading'!$K$66*'Combined Stress'!N64+'Wind Loading'!$K$65*'Combined Stress'!N65+'Wind Loading'!$K$64*'Combined Stress'!N66+'Wind Loading'!$K$63*'Combined Stress'!N67+'Wind Loading'!$K$62*'Combined Stress'!N68+'Wind Loading'!$K$61*'Combined Stress'!N69</f>
        <v>0</v>
      </c>
      <c r="P61" s="14" t="e">
        <f>((O61*'Alternative 2'!K62)/'Alternative 2'!L62)/1000000</f>
        <v>#VALUE!</v>
      </c>
      <c r="Q61" s="30">
        <f t="shared" si="12"/>
        <v>0</v>
      </c>
      <c r="R61" s="14">
        <f>'Alternative 2'!$B$3+'Alternative 2'!$B$5+('Alternative 2'!$B$39*Q61)</f>
        <v>14788.4282</v>
      </c>
      <c r="S61" s="14" t="e">
        <f>'Alternative 2'!M62</f>
        <v>#VALUE!</v>
      </c>
      <c r="T61" s="14" t="e">
        <f t="shared" si="17"/>
        <v>#VALUE!</v>
      </c>
      <c r="U61" s="284" t="e">
        <f t="shared" si="18"/>
        <v>#VALUE!</v>
      </c>
      <c r="V61" s="286"/>
      <c r="W61" s="153" t="str">
        <f>'Alternative 3'!F62</f>
        <v>x</v>
      </c>
      <c r="X61" s="59">
        <f t="shared" si="13"/>
        <v>-21.5</v>
      </c>
      <c r="Y61" s="30">
        <f t="shared" si="14"/>
        <v>0</v>
      </c>
      <c r="Z61" s="60">
        <f>'Dynamic Loading'!$Y$3*'Combined Stress'!X61+'Wind Loading'!$P$69*Y61+'Wind Loading'!$P$68*'Combined Stress'!Y62+'Wind Loading'!$P$67*'Combined Stress'!Y63+'Wind Loading'!$P$66*'Combined Stress'!Y64+'Wind Loading'!$P$65*'Combined Stress'!Y65+'Wind Loading'!$P$64*'Combined Stress'!Y66+'Wind Loading'!$P$63*'Combined Stress'!Y67+'Wind Loading'!$P$62*'Combined Stress'!Y68+'Wind Loading'!$P$61*'Combined Stress'!Y69</f>
        <v>-421722.9158418639</v>
      </c>
      <c r="AA61" s="60" t="e">
        <f>((Z61*'Alternative 3'!K62)/'Alternative 3'!L62)/1000000</f>
        <v>#VALUE!</v>
      </c>
      <c r="AB61" s="60">
        <f t="shared" si="19"/>
        <v>9</v>
      </c>
      <c r="AC61" s="14">
        <f>'Alternative 3'!$B$3+'Alternative 3'!$B$5+('Alternative 2'!$B$39*AB61)</f>
        <v>91318.404856252891</v>
      </c>
      <c r="AD61" s="60" t="e">
        <f>'Alternative 3'!M62</f>
        <v>#VALUE!</v>
      </c>
      <c r="AE61" s="60" t="e">
        <f t="shared" si="20"/>
        <v>#VALUE!</v>
      </c>
      <c r="AF61" s="60" t="e">
        <f t="shared" si="21"/>
        <v>#VALUE!</v>
      </c>
    </row>
    <row r="62" spans="1:32" x14ac:dyDescent="0.25">
      <c r="A62" s="13" t="str">
        <f>IF('Alternative 1'!F63&gt;0,'Alternative 1'!F63,"x")</f>
        <v>x</v>
      </c>
      <c r="B62" s="30">
        <f t="shared" si="7"/>
        <v>0</v>
      </c>
      <c r="C62" s="30">
        <f t="shared" si="8"/>
        <v>0</v>
      </c>
      <c r="D62" s="14">
        <f>'Dynamic Loading'!$I$3*'Combined Stress'!B62+'Wind Loading'!$F$69*C62+'Wind Loading'!$F$68*'Combined Stress'!C63+'Wind Loading'!$F$67*'Combined Stress'!C64+'Wind Loading'!$F$66*'Combined Stress'!C65+'Wind Loading'!$F$65*'Combined Stress'!C66+'Wind Loading'!$F$64*'Combined Stress'!C67+'Wind Loading'!$F$63*'Combined Stress'!C68+'Wind Loading'!$F$62*'Combined Stress'!C69</f>
        <v>0</v>
      </c>
      <c r="E62" s="14" t="e">
        <f>((D62*'Alternative 1'!K63)/'Alternative 1'!L63)/1000000</f>
        <v>#VALUE!</v>
      </c>
      <c r="F62" s="30">
        <f t="shared" si="9"/>
        <v>0</v>
      </c>
      <c r="G62" s="14">
        <f>IF(F62&gt;0,'Alternative 1'!$B$3+'Alternative 1'!$B$5+('Alternative 1'!$B$39*F62),0)</f>
        <v>0</v>
      </c>
      <c r="H62" s="14" t="e">
        <f>'Alternative 1'!M63</f>
        <v>#VALUE!</v>
      </c>
      <c r="I62" s="14" t="e">
        <f t="shared" si="15"/>
        <v>#VALUE!</v>
      </c>
      <c r="J62" s="14" t="e">
        <f t="shared" si="16"/>
        <v>#VALUE!</v>
      </c>
      <c r="K62" s="286"/>
      <c r="L62" s="13" t="str">
        <f>IF('Alternative 2'!$F63&gt;0,'Alternative 2'!$F63,"x")</f>
        <v>x</v>
      </c>
      <c r="M62" s="30">
        <f t="shared" si="10"/>
        <v>0</v>
      </c>
      <c r="N62" s="30">
        <f t="shared" si="11"/>
        <v>0</v>
      </c>
      <c r="O62" s="14">
        <f>'Dynamic Loading'!$Q$3*'Combined Stress'!M62+'Wind Loading'!$K$69*N62+'Wind Loading'!$K$68*'Combined Stress'!N63+'Wind Loading'!$K$67*'Combined Stress'!N64+'Wind Loading'!$K$66*'Combined Stress'!N65+'Wind Loading'!$K$65*'Combined Stress'!N66+'Wind Loading'!$K$64*'Combined Stress'!N67+'Wind Loading'!$K$63*'Combined Stress'!N68+'Wind Loading'!$K$62*'Combined Stress'!N69</f>
        <v>0</v>
      </c>
      <c r="P62" s="14" t="e">
        <f>((O62*'Alternative 2'!K63)/'Alternative 2'!L63)/1000000</f>
        <v>#VALUE!</v>
      </c>
      <c r="Q62" s="30">
        <f t="shared" si="12"/>
        <v>0</v>
      </c>
      <c r="R62" s="14">
        <f>'Alternative 2'!$B$3+'Alternative 2'!$B$5+('Alternative 2'!$B$39*Q62)</f>
        <v>14788.4282</v>
      </c>
      <c r="S62" s="14" t="e">
        <f>'Alternative 2'!M63</f>
        <v>#VALUE!</v>
      </c>
      <c r="T62" s="14" t="e">
        <f t="shared" si="17"/>
        <v>#VALUE!</v>
      </c>
      <c r="U62" s="284" t="e">
        <f t="shared" si="18"/>
        <v>#VALUE!</v>
      </c>
      <c r="V62" s="286"/>
      <c r="W62" s="153" t="str">
        <f>'Alternative 3'!F63</f>
        <v>x</v>
      </c>
      <c r="X62" s="59">
        <f t="shared" si="13"/>
        <v>-22.5</v>
      </c>
      <c r="Y62" s="30">
        <f t="shared" si="14"/>
        <v>0</v>
      </c>
      <c r="Z62" s="60">
        <f>'Dynamic Loading'!$Y$3*'Combined Stress'!X62+'Wind Loading'!$P$69*Y62+'Wind Loading'!$P$68*'Combined Stress'!Y63+'Wind Loading'!$P$67*'Combined Stress'!Y64+'Wind Loading'!$P$66*'Combined Stress'!Y65+'Wind Loading'!$P$65*'Combined Stress'!Y66+'Wind Loading'!$P$64*'Combined Stress'!Y67+'Wind Loading'!$P$63*'Combined Stress'!Y68+'Wind Loading'!$P$62*'Combined Stress'!Y69</f>
        <v>-441337.93518334598</v>
      </c>
      <c r="AA62" s="60" t="e">
        <f>((Z62*'Alternative 3'!K63)/'Alternative 3'!L63)/1000000</f>
        <v>#VALUE!</v>
      </c>
      <c r="AB62" s="60">
        <f t="shared" si="19"/>
        <v>8</v>
      </c>
      <c r="AC62" s="14">
        <f>'Alternative 3'!$B$3+'Alternative 3'!$B$5+('Alternative 2'!$B$39*AB62)</f>
        <v>82815.074116669231</v>
      </c>
      <c r="AD62" s="60" t="e">
        <f>'Alternative 3'!M63</f>
        <v>#VALUE!</v>
      </c>
      <c r="AE62" s="60" t="e">
        <f t="shared" si="20"/>
        <v>#VALUE!</v>
      </c>
      <c r="AF62" s="60" t="e">
        <f t="shared" si="21"/>
        <v>#VALUE!</v>
      </c>
    </row>
    <row r="63" spans="1:32" x14ac:dyDescent="0.25">
      <c r="A63" s="13" t="str">
        <f>IF('Alternative 1'!F64&gt;0,'Alternative 1'!F64,"x")</f>
        <v>x</v>
      </c>
      <c r="B63" s="30">
        <f t="shared" si="7"/>
        <v>0</v>
      </c>
      <c r="C63" s="30">
        <f t="shared" si="8"/>
        <v>0</v>
      </c>
      <c r="D63" s="14">
        <f>'Dynamic Loading'!$I$3*'Combined Stress'!B63+'Wind Loading'!$F$69*C63+'Wind Loading'!$F$68*'Combined Stress'!C64+'Wind Loading'!$F$67*'Combined Stress'!C65+'Wind Loading'!$F$66*'Combined Stress'!C66+'Wind Loading'!$F$65*'Combined Stress'!C67+'Wind Loading'!$F$64*'Combined Stress'!C68+'Wind Loading'!$F$63*'Combined Stress'!C69</f>
        <v>0</v>
      </c>
      <c r="E63" s="14" t="e">
        <f>((D63*'Alternative 1'!K64)/'Alternative 1'!L64)/1000000</f>
        <v>#VALUE!</v>
      </c>
      <c r="F63" s="30">
        <f t="shared" si="9"/>
        <v>0</v>
      </c>
      <c r="G63" s="14">
        <f>IF(F63&gt;0,'Alternative 1'!$B$3+'Alternative 1'!$B$5+('Alternative 1'!$B$39*F63),0)</f>
        <v>0</v>
      </c>
      <c r="H63" s="14" t="e">
        <f>'Alternative 1'!M64</f>
        <v>#VALUE!</v>
      </c>
      <c r="I63" s="14" t="e">
        <f t="shared" si="15"/>
        <v>#VALUE!</v>
      </c>
      <c r="J63" s="14" t="e">
        <f t="shared" si="16"/>
        <v>#VALUE!</v>
      </c>
      <c r="K63" s="286"/>
      <c r="L63" s="13" t="str">
        <f>IF('Alternative 2'!$F64&gt;0,'Alternative 2'!$F64,"x")</f>
        <v>x</v>
      </c>
      <c r="M63" s="30">
        <f t="shared" si="10"/>
        <v>0</v>
      </c>
      <c r="N63" s="30">
        <f t="shared" si="11"/>
        <v>0</v>
      </c>
      <c r="O63" s="14">
        <f>'Dynamic Loading'!$Q$3*'Combined Stress'!M63+'Wind Loading'!$K$69*N63+'Wind Loading'!$K$68*'Combined Stress'!N64+'Wind Loading'!$K$67*'Combined Stress'!N65+'Wind Loading'!$K$66*'Combined Stress'!N66+'Wind Loading'!$K$65*'Combined Stress'!N67+'Wind Loading'!$K$64*'Combined Stress'!N68+'Wind Loading'!$K$63*'Combined Stress'!N69</f>
        <v>0</v>
      </c>
      <c r="P63" s="14" t="e">
        <f>((O63*'Alternative 2'!K64)/'Alternative 2'!L64)/1000000</f>
        <v>#VALUE!</v>
      </c>
      <c r="Q63" s="30">
        <f t="shared" si="12"/>
        <v>0</v>
      </c>
      <c r="R63" s="14">
        <f>'Alternative 2'!$B$3+'Alternative 2'!$B$5+('Alternative 2'!$B$39*Q63)</f>
        <v>14788.4282</v>
      </c>
      <c r="S63" s="14" t="e">
        <f>'Alternative 2'!M64</f>
        <v>#VALUE!</v>
      </c>
      <c r="T63" s="14" t="e">
        <f t="shared" si="17"/>
        <v>#VALUE!</v>
      </c>
      <c r="U63" s="284" t="e">
        <f t="shared" si="18"/>
        <v>#VALUE!</v>
      </c>
      <c r="V63" s="286"/>
      <c r="W63" s="153" t="str">
        <f>'Alternative 3'!F64</f>
        <v>x</v>
      </c>
      <c r="X63" s="59">
        <f t="shared" si="13"/>
        <v>-23.5</v>
      </c>
      <c r="Y63" s="30">
        <f t="shared" si="14"/>
        <v>0</v>
      </c>
      <c r="Z63" s="60">
        <f>'Dynamic Loading'!$Y$3*'Combined Stress'!X63+'Wind Loading'!$P$69*Y63+'Wind Loading'!$P$68*'Combined Stress'!Y64+'Wind Loading'!$P$67*'Combined Stress'!Y65+'Wind Loading'!$P$66*'Combined Stress'!Y66+'Wind Loading'!$P$65*'Combined Stress'!Y67+'Wind Loading'!$P$64*'Combined Stress'!Y68+'Wind Loading'!$P$63*'Combined Stress'!Y69</f>
        <v>-460952.954524828</v>
      </c>
      <c r="AA63" s="60" t="e">
        <f>((Z63*'Alternative 3'!K64)/'Alternative 3'!L64)/1000000</f>
        <v>#VALUE!</v>
      </c>
      <c r="AB63" s="60">
        <f t="shared" si="19"/>
        <v>7</v>
      </c>
      <c r="AC63" s="14">
        <f>'Alternative 3'!$B$3+'Alternative 3'!$B$5+('Alternative 2'!$B$39*AB63)</f>
        <v>74311.743377085586</v>
      </c>
      <c r="AD63" s="60" t="e">
        <f>'Alternative 3'!M64</f>
        <v>#VALUE!</v>
      </c>
      <c r="AE63" s="60" t="e">
        <f t="shared" si="20"/>
        <v>#VALUE!</v>
      </c>
      <c r="AF63" s="60" t="e">
        <f t="shared" si="21"/>
        <v>#VALUE!</v>
      </c>
    </row>
    <row r="64" spans="1:32" x14ac:dyDescent="0.25">
      <c r="A64" s="13" t="str">
        <f>IF('Alternative 1'!F65&gt;0,'Alternative 1'!F65,"x")</f>
        <v>x</v>
      </c>
      <c r="B64" s="30">
        <f t="shared" si="7"/>
        <v>0</v>
      </c>
      <c r="C64" s="30">
        <f t="shared" si="8"/>
        <v>0</v>
      </c>
      <c r="D64" s="14">
        <f>'Dynamic Loading'!$I$3*'Combined Stress'!B64+'Wind Loading'!$F$69*C64+'Wind Loading'!$F$68*'Combined Stress'!C65+'Wind Loading'!$F$67*'Combined Stress'!C66+'Wind Loading'!$F$66*'Combined Stress'!C67+'Wind Loading'!$F$65*'Combined Stress'!C68+'Wind Loading'!$F$64*'Combined Stress'!C69</f>
        <v>0</v>
      </c>
      <c r="E64" s="14" t="e">
        <f>((D64*'Alternative 1'!K65)/'Alternative 1'!L65)/1000000</f>
        <v>#VALUE!</v>
      </c>
      <c r="F64" s="30">
        <f t="shared" si="9"/>
        <v>0</v>
      </c>
      <c r="G64" s="14">
        <f>IF(F64&gt;0,'Alternative 1'!$B$3+'Alternative 1'!$B$5+('Alternative 1'!$B$39*F64),0)</f>
        <v>0</v>
      </c>
      <c r="H64" s="14" t="e">
        <f>'Alternative 1'!M65</f>
        <v>#VALUE!</v>
      </c>
      <c r="I64" s="14" t="e">
        <f t="shared" si="15"/>
        <v>#VALUE!</v>
      </c>
      <c r="J64" s="14" t="e">
        <f t="shared" si="16"/>
        <v>#VALUE!</v>
      </c>
      <c r="K64" s="286"/>
      <c r="L64" s="13" t="str">
        <f>IF('Alternative 2'!$F65&gt;0,'Alternative 2'!$F65,"x")</f>
        <v>x</v>
      </c>
      <c r="M64" s="30">
        <f t="shared" si="10"/>
        <v>0</v>
      </c>
      <c r="N64" s="30">
        <f t="shared" si="11"/>
        <v>0</v>
      </c>
      <c r="O64" s="14">
        <f>'Dynamic Loading'!$Q$3*'Combined Stress'!M64+'Wind Loading'!$K$69*N64+'Wind Loading'!$K$68*'Combined Stress'!N65+'Wind Loading'!$K$67*'Combined Stress'!N66+'Wind Loading'!$K$66*'Combined Stress'!N67+'Wind Loading'!$K$65*'Combined Stress'!N68+'Wind Loading'!$K$64*'Combined Stress'!N69</f>
        <v>0</v>
      </c>
      <c r="P64" s="14" t="e">
        <f>((O64*'Alternative 2'!K65)/'Alternative 2'!L65)/1000000</f>
        <v>#VALUE!</v>
      </c>
      <c r="Q64" s="30">
        <f t="shared" si="12"/>
        <v>0</v>
      </c>
      <c r="R64" s="14">
        <f>'Alternative 2'!$B$3+'Alternative 2'!$B$5+('Alternative 2'!$B$39*Q64)</f>
        <v>14788.4282</v>
      </c>
      <c r="S64" s="14" t="e">
        <f>'Alternative 2'!M65</f>
        <v>#VALUE!</v>
      </c>
      <c r="T64" s="14" t="e">
        <f t="shared" si="17"/>
        <v>#VALUE!</v>
      </c>
      <c r="U64" s="284" t="e">
        <f t="shared" si="18"/>
        <v>#VALUE!</v>
      </c>
      <c r="V64" s="286"/>
      <c r="W64" s="153" t="str">
        <f>'Alternative 3'!F65</f>
        <v>x</v>
      </c>
      <c r="X64" s="59">
        <f t="shared" si="13"/>
        <v>-24.5</v>
      </c>
      <c r="Y64" s="30">
        <f t="shared" si="14"/>
        <v>0</v>
      </c>
      <c r="Z64" s="60">
        <f>'Dynamic Loading'!$Y$3*'Combined Stress'!X64+'Wind Loading'!$P$69*Y64+'Wind Loading'!$P$68*'Combined Stress'!Y65+'Wind Loading'!$P$67*'Combined Stress'!Y66+'Wind Loading'!$P$66*'Combined Stress'!Y67+'Wind Loading'!$P$65*'Combined Stress'!Y68+'Wind Loading'!$P$64*'Combined Stress'!Y69</f>
        <v>-480567.97386631003</v>
      </c>
      <c r="AA64" s="60" t="e">
        <f>((Z64*'Alternative 3'!K65)/'Alternative 3'!L65)/1000000</f>
        <v>#VALUE!</v>
      </c>
      <c r="AB64" s="60">
        <f t="shared" si="19"/>
        <v>6</v>
      </c>
      <c r="AC64" s="14">
        <f>'Alternative 3'!$B$3+'Alternative 3'!$B$5+('Alternative 2'!$B$39*AB64)</f>
        <v>65808.412637501926</v>
      </c>
      <c r="AD64" s="60" t="e">
        <f>'Alternative 3'!M65</f>
        <v>#VALUE!</v>
      </c>
      <c r="AE64" s="60" t="e">
        <f t="shared" si="20"/>
        <v>#VALUE!</v>
      </c>
      <c r="AF64" s="60" t="e">
        <f t="shared" si="21"/>
        <v>#VALUE!</v>
      </c>
    </row>
    <row r="65" spans="1:32" x14ac:dyDescent="0.25">
      <c r="A65" s="13" t="str">
        <f>IF('Alternative 1'!F66&gt;0,'Alternative 1'!F66,"x")</f>
        <v>x</v>
      </c>
      <c r="B65" s="30">
        <f t="shared" si="7"/>
        <v>0</v>
      </c>
      <c r="C65" s="30">
        <f t="shared" si="8"/>
        <v>0</v>
      </c>
      <c r="D65" s="14">
        <f>'Dynamic Loading'!$I$3*'Combined Stress'!B65+'Wind Loading'!$F$69*C65+'Wind Loading'!$F$68*'Combined Stress'!C66+'Wind Loading'!$F$67*'Combined Stress'!C67+'Wind Loading'!$F$66*'Combined Stress'!C68+'Wind Loading'!$F$65*'Combined Stress'!C69</f>
        <v>0</v>
      </c>
      <c r="E65" s="14" t="e">
        <f>((D65*'Alternative 1'!K66)/'Alternative 1'!L66)/1000000</f>
        <v>#VALUE!</v>
      </c>
      <c r="F65" s="30">
        <f t="shared" si="9"/>
        <v>0</v>
      </c>
      <c r="G65" s="14">
        <f>IF(F65&gt;0,'Alternative 1'!$B$3+'Alternative 1'!$B$5+('Alternative 1'!$B$39*F65),0)</f>
        <v>0</v>
      </c>
      <c r="H65" s="14" t="e">
        <f>'Alternative 1'!M66</f>
        <v>#VALUE!</v>
      </c>
      <c r="I65" s="14" t="e">
        <f t="shared" si="15"/>
        <v>#VALUE!</v>
      </c>
      <c r="J65" s="14" t="e">
        <f t="shared" si="16"/>
        <v>#VALUE!</v>
      </c>
      <c r="K65" s="286"/>
      <c r="L65" s="13" t="str">
        <f>IF('Alternative 2'!$F66&gt;0,'Alternative 2'!$F66,"x")</f>
        <v>x</v>
      </c>
      <c r="M65" s="30">
        <f t="shared" si="10"/>
        <v>0</v>
      </c>
      <c r="N65" s="30">
        <f t="shared" si="11"/>
        <v>0</v>
      </c>
      <c r="O65" s="14">
        <f>'Dynamic Loading'!$Q$3*'Combined Stress'!M65+'Wind Loading'!$K$69*N65+'Wind Loading'!$K$68*'Combined Stress'!N66+'Wind Loading'!$K$67*'Combined Stress'!N67+'Wind Loading'!$K$66*'Combined Stress'!N68+'Wind Loading'!$K$65*'Combined Stress'!N69</f>
        <v>0</v>
      </c>
      <c r="P65" s="14" t="e">
        <f>((O65*'Alternative 2'!K66)/'Alternative 2'!L66)/1000000</f>
        <v>#VALUE!</v>
      </c>
      <c r="Q65" s="30">
        <f t="shared" si="12"/>
        <v>0</v>
      </c>
      <c r="R65" s="14">
        <f>'Alternative 2'!$B$3+'Alternative 2'!$B$5+('Alternative 2'!$B$39*Q65)</f>
        <v>14788.4282</v>
      </c>
      <c r="S65" s="14" t="e">
        <f>'Alternative 2'!M66</f>
        <v>#VALUE!</v>
      </c>
      <c r="T65" s="14" t="e">
        <f t="shared" si="17"/>
        <v>#VALUE!</v>
      </c>
      <c r="U65" s="284" t="e">
        <f t="shared" si="18"/>
        <v>#VALUE!</v>
      </c>
      <c r="V65" s="286"/>
      <c r="W65" s="153" t="str">
        <f>'Alternative 3'!F66</f>
        <v>x</v>
      </c>
      <c r="X65" s="59">
        <f t="shared" si="13"/>
        <v>-25.5</v>
      </c>
      <c r="Y65" s="30">
        <f t="shared" si="14"/>
        <v>0</v>
      </c>
      <c r="Z65" s="60">
        <f>'Dynamic Loading'!$Y$3*'Combined Stress'!X65+'Wind Loading'!$P$69*Y65+'Wind Loading'!$P$68*'Combined Stress'!Y66+'Wind Loading'!$P$67*'Combined Stress'!Y67+'Wind Loading'!$P$66*'Combined Stress'!Y68+'Wind Loading'!$P$65*'Combined Stress'!Y69</f>
        <v>-500182.99320779205</v>
      </c>
      <c r="AA65" s="60" t="e">
        <f>((Z65*'Alternative 3'!K66)/'Alternative 3'!L66)/1000000</f>
        <v>#VALUE!</v>
      </c>
      <c r="AB65" s="60">
        <f t="shared" si="19"/>
        <v>5</v>
      </c>
      <c r="AC65" s="14">
        <f>'Alternative 3'!$B$3+'Alternative 3'!$B$5+('Alternative 2'!$B$39*AB65)</f>
        <v>57305.081897918273</v>
      </c>
      <c r="AD65" s="60" t="e">
        <f>'Alternative 3'!M66</f>
        <v>#VALUE!</v>
      </c>
      <c r="AE65" s="60" t="e">
        <f t="shared" si="20"/>
        <v>#VALUE!</v>
      </c>
      <c r="AF65" s="60" t="e">
        <f t="shared" si="21"/>
        <v>#VALUE!</v>
      </c>
    </row>
    <row r="66" spans="1:32" x14ac:dyDescent="0.25">
      <c r="A66" s="13" t="str">
        <f>IF('Alternative 1'!F67&gt;0,'Alternative 1'!F67,"x")</f>
        <v>x</v>
      </c>
      <c r="B66" s="30">
        <f t="shared" si="7"/>
        <v>0</v>
      </c>
      <c r="C66" s="30">
        <f t="shared" si="8"/>
        <v>0</v>
      </c>
      <c r="D66" s="14">
        <f>'Dynamic Loading'!$I$3*'Combined Stress'!B66+'Wind Loading'!$F$69*C66+'Wind Loading'!$F$68*'Combined Stress'!C67+'Wind Loading'!$F$67*'Combined Stress'!C68+'Wind Loading'!$F$66*'Combined Stress'!C69</f>
        <v>0</v>
      </c>
      <c r="E66" s="14" t="e">
        <f>((D66*'Alternative 1'!K67)/'Alternative 1'!L67)/1000000</f>
        <v>#VALUE!</v>
      </c>
      <c r="F66" s="30">
        <f t="shared" si="9"/>
        <v>0</v>
      </c>
      <c r="G66" s="14">
        <f>IF(F66&gt;0,'Alternative 1'!$B$3+'Alternative 1'!$B$5+('Alternative 1'!$B$39*F66),0)</f>
        <v>0</v>
      </c>
      <c r="H66" s="14" t="e">
        <f>'Alternative 1'!M67</f>
        <v>#VALUE!</v>
      </c>
      <c r="I66" s="14" t="e">
        <f t="shared" si="15"/>
        <v>#VALUE!</v>
      </c>
      <c r="J66" s="14" t="e">
        <f t="shared" si="16"/>
        <v>#VALUE!</v>
      </c>
      <c r="K66" s="286"/>
      <c r="L66" s="13" t="str">
        <f>IF('Alternative 2'!$F67&gt;0,'Alternative 2'!$F67,"x")</f>
        <v>x</v>
      </c>
      <c r="M66" s="30">
        <f t="shared" si="10"/>
        <v>0</v>
      </c>
      <c r="N66" s="30">
        <f t="shared" si="11"/>
        <v>0</v>
      </c>
      <c r="O66" s="14">
        <f>'Dynamic Loading'!$Q$3*'Combined Stress'!M66+'Wind Loading'!$K$69*N66+'Wind Loading'!$K$68*'Combined Stress'!N67+'Wind Loading'!$K$67*'Combined Stress'!N68+'Wind Loading'!$K$66*'Combined Stress'!N69</f>
        <v>0</v>
      </c>
      <c r="P66" s="14" t="e">
        <f>((O66*'Alternative 2'!K67)/'Alternative 2'!L67)/1000000</f>
        <v>#VALUE!</v>
      </c>
      <c r="Q66" s="30">
        <f t="shared" si="12"/>
        <v>0</v>
      </c>
      <c r="R66" s="14">
        <f>'Alternative 2'!$B$3+'Alternative 2'!$B$5+('Alternative 2'!$B$39*Q66)</f>
        <v>14788.4282</v>
      </c>
      <c r="S66" s="14" t="e">
        <f>'Alternative 2'!M67</f>
        <v>#VALUE!</v>
      </c>
      <c r="T66" s="14" t="e">
        <f t="shared" si="17"/>
        <v>#VALUE!</v>
      </c>
      <c r="U66" s="284" t="e">
        <f t="shared" si="18"/>
        <v>#VALUE!</v>
      </c>
      <c r="V66" s="286"/>
      <c r="W66" s="153" t="str">
        <f>'Alternative 3'!F67</f>
        <v>x</v>
      </c>
      <c r="X66" s="59">
        <f t="shared" si="13"/>
        <v>-26.5</v>
      </c>
      <c r="Y66" s="30">
        <f t="shared" si="14"/>
        <v>0</v>
      </c>
      <c r="Z66" s="60">
        <f>'Dynamic Loading'!$Y$3*'Combined Stress'!X66+'Wind Loading'!$P$69*Y66+'Wind Loading'!$P$68*'Combined Stress'!Y67+'Wind Loading'!$P$67*'Combined Stress'!Y68+'Wind Loading'!$P$66*'Combined Stress'!Y69</f>
        <v>-519798.01254927414</v>
      </c>
      <c r="AA66" s="60" t="e">
        <f>((Z66*'Alternative 3'!K67)/'Alternative 3'!L67)/1000000</f>
        <v>#VALUE!</v>
      </c>
      <c r="AB66" s="60">
        <f t="shared" si="19"/>
        <v>4</v>
      </c>
      <c r="AC66" s="14">
        <f>'Alternative 3'!$B$3+'Alternative 3'!$B$5+('Alternative 2'!$B$39*AB66)</f>
        <v>48801.75115833462</v>
      </c>
      <c r="AD66" s="60" t="e">
        <f>'Alternative 3'!M67</f>
        <v>#VALUE!</v>
      </c>
      <c r="AE66" s="60" t="e">
        <f t="shared" si="20"/>
        <v>#VALUE!</v>
      </c>
      <c r="AF66" s="60" t="e">
        <f t="shared" si="21"/>
        <v>#VALUE!</v>
      </c>
    </row>
    <row r="67" spans="1:32" x14ac:dyDescent="0.25">
      <c r="A67" s="13" t="str">
        <f>IF('Alternative 1'!F68&gt;0,'Alternative 1'!F68,"x")</f>
        <v>x</v>
      </c>
      <c r="B67" s="30">
        <f t="shared" si="7"/>
        <v>0</v>
      </c>
      <c r="C67" s="30">
        <f t="shared" si="8"/>
        <v>0</v>
      </c>
      <c r="D67" s="14">
        <f>'Dynamic Loading'!$I$3*'Combined Stress'!B67+'Wind Loading'!$F$69*C67+'Wind Loading'!$F$68*'Combined Stress'!C68+'Wind Loading'!$F$67*'Combined Stress'!C69</f>
        <v>0</v>
      </c>
      <c r="E67" s="14" t="e">
        <f>((D67*'Alternative 1'!K68)/'Alternative 1'!L68)/1000000</f>
        <v>#VALUE!</v>
      </c>
      <c r="F67" s="30">
        <f t="shared" si="9"/>
        <v>0</v>
      </c>
      <c r="G67" s="14">
        <f>IF(F67&gt;0,'Alternative 1'!$B$3+'Alternative 1'!$B$5+('Alternative 1'!$B$39*F67),0)</f>
        <v>0</v>
      </c>
      <c r="H67" s="14" t="e">
        <f>'Alternative 1'!M68</f>
        <v>#VALUE!</v>
      </c>
      <c r="I67" s="14" t="e">
        <f>(G67/H67)/1000000</f>
        <v>#VALUE!</v>
      </c>
      <c r="J67" s="14" t="e">
        <f>I67+E67</f>
        <v>#VALUE!</v>
      </c>
      <c r="K67" s="286"/>
      <c r="L67" s="13" t="str">
        <f>IF('Alternative 2'!$F68&gt;0,'Alternative 2'!$F68,"x")</f>
        <v>x</v>
      </c>
      <c r="M67" s="30">
        <f t="shared" si="10"/>
        <v>0</v>
      </c>
      <c r="N67" s="30">
        <f t="shared" si="11"/>
        <v>0</v>
      </c>
      <c r="O67" s="14">
        <f>'Dynamic Loading'!$Q$3*'Combined Stress'!M67+'Wind Loading'!$K$69*N67+'Wind Loading'!$K$68*'Combined Stress'!N68+'Wind Loading'!$K$67*'Combined Stress'!N69</f>
        <v>0</v>
      </c>
      <c r="P67" s="14" t="e">
        <f>((O67*'Alternative 2'!K68)/'Alternative 2'!L68)/1000000</f>
        <v>#VALUE!</v>
      </c>
      <c r="Q67" s="30">
        <f t="shared" si="12"/>
        <v>0</v>
      </c>
      <c r="R67" s="14">
        <f>'Alternative 2'!$B$3+'Alternative 2'!$B$5+('Alternative 2'!$B$39*Q67)</f>
        <v>14788.4282</v>
      </c>
      <c r="S67" s="14" t="e">
        <f>'Alternative 2'!M68</f>
        <v>#VALUE!</v>
      </c>
      <c r="T67" s="14" t="e">
        <f>(R67/S67)/1000000</f>
        <v>#VALUE!</v>
      </c>
      <c r="U67" s="284" t="e">
        <f>T67+P67</f>
        <v>#VALUE!</v>
      </c>
      <c r="V67" s="286"/>
      <c r="W67" s="153" t="str">
        <f>'Alternative 3'!F68</f>
        <v>x</v>
      </c>
      <c r="X67" s="59">
        <f t="shared" si="13"/>
        <v>-27.5</v>
      </c>
      <c r="Y67" s="30">
        <f t="shared" si="14"/>
        <v>0</v>
      </c>
      <c r="Z67" s="60">
        <f>'Dynamic Loading'!$Y$3*'Combined Stress'!X67+'Wind Loading'!$P$69*Y67+'Wind Loading'!$P$68*'Combined Stress'!Y68+'Wind Loading'!$P$67*'Combined Stress'!Y69</f>
        <v>-539413.03189075622</v>
      </c>
      <c r="AA67" s="60" t="e">
        <f>((Z67*'Alternative 3'!K68)/'Alternative 3'!L68)/1000000</f>
        <v>#VALUE!</v>
      </c>
      <c r="AB67" s="60">
        <f t="shared" si="19"/>
        <v>3</v>
      </c>
      <c r="AC67" s="14">
        <f>'Alternative 3'!$B$3+'Alternative 3'!$B$5+('Alternative 2'!$B$39*AB67)</f>
        <v>40298.420418750968</v>
      </c>
      <c r="AD67" s="60" t="e">
        <f>'Alternative 3'!M68</f>
        <v>#VALUE!</v>
      </c>
      <c r="AE67" s="60" t="e">
        <f>(AC67/AD67)/1000000</f>
        <v>#VALUE!</v>
      </c>
      <c r="AF67" s="60" t="e">
        <f>AE67+AA67</f>
        <v>#VALUE!</v>
      </c>
    </row>
    <row r="68" spans="1:32" x14ac:dyDescent="0.25">
      <c r="A68" s="13" t="str">
        <f>IF('Alternative 1'!F69&gt;0,'Alternative 1'!F69,"x")</f>
        <v>x</v>
      </c>
      <c r="B68" s="30">
        <f t="shared" si="7"/>
        <v>0</v>
      </c>
      <c r="C68" s="30">
        <f t="shared" si="8"/>
        <v>0</v>
      </c>
      <c r="D68" s="14">
        <f>'Dynamic Loading'!$I$3*'Combined Stress'!B68+'Wind Loading'!$F$69*C68+'Wind Loading'!$F$68*'Combined Stress'!C69</f>
        <v>0</v>
      </c>
      <c r="E68" s="14" t="e">
        <f>((D68*'Alternative 1'!K69)/'Alternative 1'!L69)/1000000</f>
        <v>#VALUE!</v>
      </c>
      <c r="F68" s="30">
        <f t="shared" si="9"/>
        <v>0</v>
      </c>
      <c r="G68" s="14">
        <f>IF(F68&gt;0,'Alternative 1'!$B$3+'Alternative 1'!$B$5+('Alternative 1'!$B$39*F68),0)</f>
        <v>0</v>
      </c>
      <c r="H68" s="14" t="e">
        <f>'Alternative 1'!M69</f>
        <v>#VALUE!</v>
      </c>
      <c r="I68" s="14" t="e">
        <f>(G68/H68)/1000000</f>
        <v>#VALUE!</v>
      </c>
      <c r="J68" s="14" t="e">
        <f>I68+E68</f>
        <v>#VALUE!</v>
      </c>
      <c r="K68" s="286"/>
      <c r="L68" s="13" t="str">
        <f>IF('Alternative 2'!$F69&gt;0,'Alternative 2'!$F69,"x")</f>
        <v>x</v>
      </c>
      <c r="M68" s="30">
        <f t="shared" si="10"/>
        <v>0</v>
      </c>
      <c r="N68" s="30">
        <f t="shared" si="11"/>
        <v>0</v>
      </c>
      <c r="O68" s="14">
        <f>'Dynamic Loading'!$Q$3*'Combined Stress'!M68+'Wind Loading'!$K$69*N68+'Wind Loading'!$K$68*'Combined Stress'!N69</f>
        <v>0</v>
      </c>
      <c r="P68" s="14" t="e">
        <f>((O68*'Alternative 2'!K69)/'Alternative 2'!L69)/1000000</f>
        <v>#VALUE!</v>
      </c>
      <c r="Q68" s="30">
        <f t="shared" si="12"/>
        <v>0</v>
      </c>
      <c r="R68" s="14">
        <f>'Alternative 2'!$B$3+'Alternative 2'!$B$5+('Alternative 2'!$B$39*Q68)</f>
        <v>14788.4282</v>
      </c>
      <c r="S68" s="14" t="e">
        <f>'Alternative 2'!M69</f>
        <v>#VALUE!</v>
      </c>
      <c r="T68" s="14" t="e">
        <f>(R68/S68)/1000000</f>
        <v>#VALUE!</v>
      </c>
      <c r="U68" s="284" t="e">
        <f>T68+P68</f>
        <v>#VALUE!</v>
      </c>
      <c r="V68" s="286"/>
      <c r="W68" s="153" t="str">
        <f>'Alternative 3'!F69</f>
        <v>x</v>
      </c>
      <c r="X68" s="59">
        <f t="shared" si="13"/>
        <v>-28.5</v>
      </c>
      <c r="Y68" s="30">
        <f t="shared" si="14"/>
        <v>0</v>
      </c>
      <c r="Z68" s="60">
        <f>'Dynamic Loading'!$Y$3*'Combined Stress'!X68+'Wind Loading'!$P$69*Y68+'Wind Loading'!$P$68*'Combined Stress'!Y69</f>
        <v>-559028.05123223818</v>
      </c>
      <c r="AA68" s="60" t="e">
        <f>((Z68*'Alternative 3'!K69)/'Alternative 3'!L69)/1000000</f>
        <v>#VALUE!</v>
      </c>
      <c r="AB68" s="60">
        <f t="shared" si="19"/>
        <v>2</v>
      </c>
      <c r="AC68" s="14">
        <f>'Alternative 3'!$B$3+'Alternative 3'!$B$5+('Alternative 2'!$B$39*AB68)</f>
        <v>31795.089679167308</v>
      </c>
      <c r="AD68" s="60" t="e">
        <f>'Alternative 3'!M69</f>
        <v>#VALUE!</v>
      </c>
      <c r="AE68" s="60" t="e">
        <f>(AC68/AD68)/1000000</f>
        <v>#VALUE!</v>
      </c>
      <c r="AF68" s="60" t="e">
        <f>AE68+AA68</f>
        <v>#VALUE!</v>
      </c>
    </row>
    <row r="69" spans="1:32" x14ac:dyDescent="0.25">
      <c r="A69" s="13" t="str">
        <f>IF('Alternative 1'!F70&gt;0,'Alternative 1'!F70,"x")</f>
        <v>x</v>
      </c>
      <c r="B69" s="30">
        <f t="shared" ref="B69:B92" si="22">IF(B68-1&gt;1,B68-1,0)</f>
        <v>0</v>
      </c>
      <c r="C69" s="30">
        <f t="shared" ref="C69:C92" si="23">IF(C68-1&gt;0,C68-1,0)</f>
        <v>0</v>
      </c>
      <c r="D69" s="14">
        <f>'Dynamic Loading'!$I$3*'Combined Stress'!B69+'Wind Loading'!$F$69*C69</f>
        <v>0</v>
      </c>
      <c r="E69" s="14" t="e">
        <f>((D69*'Alternative 1'!K70)/'Alternative 1'!L70)/1000000</f>
        <v>#VALUE!</v>
      </c>
      <c r="F69" s="30">
        <f t="shared" ref="F69:F92" si="24">IF(F68-1&gt;0,F68-1,0)</f>
        <v>0</v>
      </c>
      <c r="G69" s="14">
        <f>IF(F69&gt;0,'Alternative 1'!$B$3+'Alternative 1'!$B$5+('Alternative 1'!$B$39*F69),0)</f>
        <v>0</v>
      </c>
      <c r="H69" s="14" t="e">
        <f>'Alternative 1'!M70</f>
        <v>#VALUE!</v>
      </c>
      <c r="I69" s="14" t="e">
        <f>(G69/H69)/1000000</f>
        <v>#VALUE!</v>
      </c>
      <c r="J69" s="14" t="e">
        <f>I69+E69</f>
        <v>#VALUE!</v>
      </c>
      <c r="K69" s="286"/>
      <c r="L69" s="13" t="str">
        <f>IF('Alternative 2'!$F70&gt;0,'Alternative 2'!$F70,"x")</f>
        <v>x</v>
      </c>
      <c r="M69" s="30">
        <f t="shared" ref="M69:M92" si="25">IF(M68-1&gt;1,M68-1,0)</f>
        <v>0</v>
      </c>
      <c r="N69" s="30">
        <f t="shared" ref="N69:N92" si="26">IF(N68-1&gt;0,N68-1,0)</f>
        <v>0</v>
      </c>
      <c r="O69" s="14">
        <f>'Dynamic Loading'!$Q$3*'Combined Stress'!M69+'Wind Loading'!$K$69*N69</f>
        <v>0</v>
      </c>
      <c r="P69" s="14" t="e">
        <f>((O69*'Alternative 2'!K70)/'Alternative 2'!L70)/1000000</f>
        <v>#VALUE!</v>
      </c>
      <c r="Q69" s="30">
        <f t="shared" ref="Q69:Q92" si="27">IF(Q68-1&gt;0,Q68-1,0)</f>
        <v>0</v>
      </c>
      <c r="R69" s="14">
        <f>'Alternative 2'!$B$3+'Alternative 2'!$B$5+('Alternative 2'!$B$39*Q69)</f>
        <v>14788.4282</v>
      </c>
      <c r="S69" s="14" t="e">
        <f>'Alternative 2'!M70</f>
        <v>#VALUE!</v>
      </c>
      <c r="T69" s="14" t="e">
        <f>(R69/S69)/1000000</f>
        <v>#VALUE!</v>
      </c>
      <c r="U69" s="284" t="e">
        <f>T69+P69</f>
        <v>#VALUE!</v>
      </c>
      <c r="V69" s="286"/>
      <c r="W69" s="153" t="str">
        <f>'Alternative 3'!F70</f>
        <v>x</v>
      </c>
      <c r="X69" s="59">
        <f t="shared" ref="X69:X92" si="28">IF(W69&gt;0,X68-1,0)</f>
        <v>-29.5</v>
      </c>
      <c r="Y69" s="30">
        <f t="shared" ref="Y69:Y92" si="29">IF(Y68-1&gt;0,Y68-1,0)</f>
        <v>0</v>
      </c>
      <c r="Z69" s="60">
        <f>'Dynamic Loading'!$Y$3*'Combined Stress'!X69+'Wind Loading'!$P$69*Y69</f>
        <v>-578643.07057372027</v>
      </c>
      <c r="AA69" s="60" t="e">
        <f>((Z69*'Alternative 3'!K70)/'Alternative 3'!L70)/1000000</f>
        <v>#VALUE!</v>
      </c>
      <c r="AB69" s="60">
        <v>1</v>
      </c>
      <c r="AC69" s="14">
        <f>'Alternative 3'!$B$3+'Alternative 3'!$B$5+('Alternative 2'!$B$39*AB69)</f>
        <v>23291.758939583655</v>
      </c>
      <c r="AD69" s="60" t="e">
        <f>'Alternative 3'!M70</f>
        <v>#VALUE!</v>
      </c>
      <c r="AE69" s="60" t="e">
        <f>(AC69/AD69)/1000000</f>
        <v>#VALUE!</v>
      </c>
      <c r="AF69" s="60" t="e">
        <f>AE69+AA69</f>
        <v>#VALUE!</v>
      </c>
    </row>
    <row r="70" spans="1:32" x14ac:dyDescent="0.25">
      <c r="A70" s="13" t="str">
        <f>IF('Alternative 1'!F71&gt;0,'Alternative 1'!F71,"x")</f>
        <v>x</v>
      </c>
      <c r="B70" s="30">
        <f t="shared" si="22"/>
        <v>0</v>
      </c>
      <c r="C70" s="30">
        <f t="shared" si="23"/>
        <v>0</v>
      </c>
      <c r="D70" s="14">
        <f>'Dynamic Loading'!$I$3*'Combined Stress'!B70+'Wind Loading'!$F$69*C70</f>
        <v>0</v>
      </c>
      <c r="E70" s="14" t="e">
        <f>((D70*'Alternative 1'!K71)/'Alternative 1'!L71)/1000000</f>
        <v>#VALUE!</v>
      </c>
      <c r="F70" s="30">
        <f t="shared" si="24"/>
        <v>0</v>
      </c>
      <c r="G70" s="14">
        <f>IF(F70&gt;0,'Alternative 1'!$B$3+'Alternative 1'!$B$5+('Alternative 1'!$B$39*F70),0)</f>
        <v>0</v>
      </c>
      <c r="H70" s="14" t="e">
        <f>'Alternative 1'!M71</f>
        <v>#VALUE!</v>
      </c>
      <c r="I70" s="14" t="e">
        <f t="shared" ref="I70:I92" si="30">(G70/H70)/1000000</f>
        <v>#VALUE!</v>
      </c>
      <c r="J70" s="14" t="e">
        <f t="shared" ref="J70:J92" si="31">I70+E70</f>
        <v>#VALUE!</v>
      </c>
      <c r="K70" s="286"/>
      <c r="L70" s="13" t="str">
        <f>IF('Alternative 2'!$F71&gt;0,'Alternative 2'!$F71,"x")</f>
        <v>x</v>
      </c>
      <c r="M70" s="30">
        <f t="shared" si="25"/>
        <v>0</v>
      </c>
      <c r="N70" s="30">
        <f t="shared" si="26"/>
        <v>0</v>
      </c>
      <c r="O70" s="14">
        <f>'Dynamic Loading'!$Q$3*'Combined Stress'!M70+'Wind Loading'!$K$69*N70</f>
        <v>0</v>
      </c>
      <c r="P70" s="14" t="e">
        <f>((O70*'Alternative 2'!K71)/'Alternative 2'!L71)/1000000</f>
        <v>#VALUE!</v>
      </c>
      <c r="Q70" s="30">
        <f t="shared" si="27"/>
        <v>0</v>
      </c>
      <c r="R70" s="14">
        <f>'Alternative 2'!$B$3+'Alternative 2'!$B$5+('Alternative 2'!$B$39*Q70)</f>
        <v>14788.4282</v>
      </c>
      <c r="S70" s="14" t="e">
        <f>'Alternative 2'!M71</f>
        <v>#VALUE!</v>
      </c>
      <c r="T70" s="14" t="e">
        <f t="shared" ref="T70:T92" si="32">(R70/S70)/1000000</f>
        <v>#VALUE!</v>
      </c>
      <c r="U70" s="284" t="e">
        <f t="shared" ref="U70:U92" si="33">T70+P70</f>
        <v>#VALUE!</v>
      </c>
      <c r="V70" s="286"/>
      <c r="W70" s="153" t="str">
        <f>'Alternative 3'!F71</f>
        <v>x</v>
      </c>
      <c r="X70" s="59">
        <f t="shared" si="28"/>
        <v>-30.5</v>
      </c>
      <c r="Y70" s="30">
        <f t="shared" si="29"/>
        <v>0</v>
      </c>
      <c r="Z70" s="60">
        <f>'Dynamic Loading'!$Y$3*'Combined Stress'!X70+'Wind Loading'!$P$69*Y70</f>
        <v>-598258.08991520235</v>
      </c>
      <c r="AA70" s="60" t="e">
        <f>((Z70*'Alternative 3'!K71)/'Alternative 3'!L71)/1000000</f>
        <v>#VALUE!</v>
      </c>
      <c r="AB70" s="60">
        <v>2</v>
      </c>
      <c r="AC70" s="14">
        <f>'Alternative 3'!$B$3+'Alternative 3'!$B$5+('Alternative 2'!$B$39*AB70)</f>
        <v>31795.089679167308</v>
      </c>
      <c r="AD70" s="60" t="e">
        <f>'Alternative 3'!M71</f>
        <v>#VALUE!</v>
      </c>
      <c r="AE70" s="60" t="e">
        <f t="shared" ref="AE70:AE86" si="34">(AC70/AD70)/1000000</f>
        <v>#VALUE!</v>
      </c>
      <c r="AF70" s="60" t="e">
        <f t="shared" ref="AF70:AF86" si="35">AE70+AA70</f>
        <v>#VALUE!</v>
      </c>
    </row>
    <row r="71" spans="1:32" x14ac:dyDescent="0.25">
      <c r="A71" s="13" t="str">
        <f>IF('Alternative 1'!F72&gt;0,'Alternative 1'!F72,"x")</f>
        <v>x</v>
      </c>
      <c r="B71" s="30">
        <f t="shared" si="22"/>
        <v>0</v>
      </c>
      <c r="C71" s="30">
        <f t="shared" si="23"/>
        <v>0</v>
      </c>
      <c r="D71" s="14">
        <f>'Dynamic Loading'!$I$3*'Combined Stress'!B71+'Wind Loading'!$F$69*C71</f>
        <v>0</v>
      </c>
      <c r="E71" s="14" t="e">
        <f>((D71*'Alternative 1'!K72)/'Alternative 1'!L72)/1000000</f>
        <v>#VALUE!</v>
      </c>
      <c r="F71" s="30">
        <f t="shared" si="24"/>
        <v>0</v>
      </c>
      <c r="G71" s="14">
        <f>IF(F71&gt;0,'Alternative 1'!$B$3+'Alternative 1'!$B$5+('Alternative 1'!$B$39*F71),0)</f>
        <v>0</v>
      </c>
      <c r="H71" s="14" t="e">
        <f>'Alternative 1'!M72</f>
        <v>#VALUE!</v>
      </c>
      <c r="I71" s="14" t="e">
        <f t="shared" si="30"/>
        <v>#VALUE!</v>
      </c>
      <c r="J71" s="14" t="e">
        <f t="shared" si="31"/>
        <v>#VALUE!</v>
      </c>
      <c r="K71" s="286"/>
      <c r="L71" s="13" t="str">
        <f>IF('Alternative 2'!$F72&gt;0,'Alternative 2'!$F72,"x")</f>
        <v>x</v>
      </c>
      <c r="M71" s="30">
        <f t="shared" si="25"/>
        <v>0</v>
      </c>
      <c r="N71" s="30">
        <f t="shared" si="26"/>
        <v>0</v>
      </c>
      <c r="O71" s="14">
        <f>'Dynamic Loading'!$Q$3*'Combined Stress'!M71+'Wind Loading'!$K$69*N71</f>
        <v>0</v>
      </c>
      <c r="P71" s="14" t="e">
        <f>((O71*'Alternative 2'!K72)/'Alternative 2'!L72)/1000000</f>
        <v>#VALUE!</v>
      </c>
      <c r="Q71" s="30">
        <f t="shared" si="27"/>
        <v>0</v>
      </c>
      <c r="R71" s="14">
        <f>'Alternative 2'!$B$3+'Alternative 2'!$B$5+('Alternative 2'!$B$39*Q71)</f>
        <v>14788.4282</v>
      </c>
      <c r="S71" s="14" t="e">
        <f>'Alternative 2'!M72</f>
        <v>#VALUE!</v>
      </c>
      <c r="T71" s="14" t="e">
        <f t="shared" si="32"/>
        <v>#VALUE!</v>
      </c>
      <c r="U71" s="284" t="e">
        <f t="shared" si="33"/>
        <v>#VALUE!</v>
      </c>
      <c r="V71" s="286"/>
      <c r="W71" s="153" t="str">
        <f>'Alternative 3'!F72</f>
        <v>x</v>
      </c>
      <c r="X71" s="59">
        <f t="shared" si="28"/>
        <v>-31.5</v>
      </c>
      <c r="Y71" s="30">
        <f t="shared" si="29"/>
        <v>0</v>
      </c>
      <c r="Z71" s="60">
        <f>'Dynamic Loading'!$Y$3*'Combined Stress'!X71+'Wind Loading'!$P$69*Y71</f>
        <v>-617873.10925668431</v>
      </c>
      <c r="AA71" s="60" t="e">
        <f>((Z71*'Alternative 3'!K72)/'Alternative 3'!L72)/1000000</f>
        <v>#VALUE!</v>
      </c>
      <c r="AB71" s="60">
        <v>3</v>
      </c>
      <c r="AC71" s="14">
        <f>'Alternative 3'!$B$3+'Alternative 3'!$B$5+('Alternative 2'!$B$39*AB71)</f>
        <v>40298.420418750968</v>
      </c>
      <c r="AD71" s="60" t="e">
        <f>'Alternative 3'!M72</f>
        <v>#VALUE!</v>
      </c>
      <c r="AE71" s="60" t="e">
        <f t="shared" si="34"/>
        <v>#VALUE!</v>
      </c>
      <c r="AF71" s="60" t="e">
        <f t="shared" si="35"/>
        <v>#VALUE!</v>
      </c>
    </row>
    <row r="72" spans="1:32" x14ac:dyDescent="0.25">
      <c r="A72" s="13" t="str">
        <f>IF('Alternative 1'!F73&gt;0,'Alternative 1'!F73,"x")</f>
        <v>x</v>
      </c>
      <c r="B72" s="30">
        <f t="shared" si="22"/>
        <v>0</v>
      </c>
      <c r="C72" s="30">
        <f t="shared" si="23"/>
        <v>0</v>
      </c>
      <c r="D72" s="14">
        <f>'Dynamic Loading'!$I$3*'Combined Stress'!B72+'Wind Loading'!$F$69*C72</f>
        <v>0</v>
      </c>
      <c r="E72" s="14" t="e">
        <f>((D72*'Alternative 1'!K73)/'Alternative 1'!L73)/1000000</f>
        <v>#VALUE!</v>
      </c>
      <c r="F72" s="30">
        <f t="shared" si="24"/>
        <v>0</v>
      </c>
      <c r="G72" s="14">
        <f>IF(F72&gt;0,'Alternative 1'!$B$3+'Alternative 1'!$B$5+('Alternative 1'!$B$39*F72),0)</f>
        <v>0</v>
      </c>
      <c r="H72" s="14" t="e">
        <f>'Alternative 1'!M73</f>
        <v>#VALUE!</v>
      </c>
      <c r="I72" s="14" t="e">
        <f t="shared" si="30"/>
        <v>#VALUE!</v>
      </c>
      <c r="J72" s="14" t="e">
        <f t="shared" si="31"/>
        <v>#VALUE!</v>
      </c>
      <c r="K72" s="286"/>
      <c r="L72" s="13" t="str">
        <f>IF('Alternative 2'!$F73&gt;0,'Alternative 2'!$F73,"x")</f>
        <v>x</v>
      </c>
      <c r="M72" s="30">
        <f t="shared" si="25"/>
        <v>0</v>
      </c>
      <c r="N72" s="30">
        <f t="shared" si="26"/>
        <v>0</v>
      </c>
      <c r="O72" s="14">
        <f>'Dynamic Loading'!$Q$3*'Combined Stress'!M72+'Wind Loading'!$K$69*N72</f>
        <v>0</v>
      </c>
      <c r="P72" s="14" t="e">
        <f>((O72*'Alternative 2'!K73)/'Alternative 2'!L73)/1000000</f>
        <v>#VALUE!</v>
      </c>
      <c r="Q72" s="30">
        <f t="shared" si="27"/>
        <v>0</v>
      </c>
      <c r="R72" s="14">
        <f>'Alternative 2'!$B$3+'Alternative 2'!$B$5+('Alternative 2'!$B$39*Q72)</f>
        <v>14788.4282</v>
      </c>
      <c r="S72" s="14" t="e">
        <f>'Alternative 2'!M73</f>
        <v>#VALUE!</v>
      </c>
      <c r="T72" s="14" t="e">
        <f t="shared" si="32"/>
        <v>#VALUE!</v>
      </c>
      <c r="U72" s="284" t="e">
        <f t="shared" si="33"/>
        <v>#VALUE!</v>
      </c>
      <c r="V72" s="286"/>
      <c r="W72" s="153" t="str">
        <f>'Alternative 3'!F73</f>
        <v>x</v>
      </c>
      <c r="X72" s="59">
        <f t="shared" si="28"/>
        <v>-32.5</v>
      </c>
      <c r="Y72" s="30">
        <f t="shared" si="29"/>
        <v>0</v>
      </c>
      <c r="Z72" s="60">
        <f>'Dynamic Loading'!$Y$3*'Combined Stress'!X72+'Wind Loading'!$P$69*Y72</f>
        <v>-637488.1285981664</v>
      </c>
      <c r="AA72" s="60" t="e">
        <f>((Z72*'Alternative 3'!K73)/'Alternative 3'!L73)/1000000</f>
        <v>#VALUE!</v>
      </c>
      <c r="AB72" s="60">
        <v>4</v>
      </c>
      <c r="AC72" s="14">
        <f>'Alternative 3'!$B$3+'Alternative 3'!$B$5+('Alternative 2'!$B$39*AB72)</f>
        <v>48801.75115833462</v>
      </c>
      <c r="AD72" s="60" t="e">
        <f>'Alternative 3'!M73</f>
        <v>#VALUE!</v>
      </c>
      <c r="AE72" s="60" t="e">
        <f t="shared" si="34"/>
        <v>#VALUE!</v>
      </c>
      <c r="AF72" s="60" t="e">
        <f t="shared" si="35"/>
        <v>#VALUE!</v>
      </c>
    </row>
    <row r="73" spans="1:32" x14ac:dyDescent="0.25">
      <c r="A73" s="13" t="str">
        <f>IF('Alternative 1'!F74&gt;0,'Alternative 1'!F74,"x")</f>
        <v>x</v>
      </c>
      <c r="B73" s="30">
        <f t="shared" si="22"/>
        <v>0</v>
      </c>
      <c r="C73" s="30">
        <f t="shared" si="23"/>
        <v>0</v>
      </c>
      <c r="D73" s="14">
        <f>'Dynamic Loading'!$I$3*'Combined Stress'!B73+'Wind Loading'!$F$69*C73</f>
        <v>0</v>
      </c>
      <c r="E73" s="14" t="e">
        <f>((D73*'Alternative 1'!K74)/'Alternative 1'!L74)/1000000</f>
        <v>#VALUE!</v>
      </c>
      <c r="F73" s="30">
        <f t="shared" si="24"/>
        <v>0</v>
      </c>
      <c r="G73" s="14">
        <f>IF(F73&gt;0,'Alternative 1'!$B$3+'Alternative 1'!$B$5+('Alternative 1'!$B$39*F73),0)</f>
        <v>0</v>
      </c>
      <c r="H73" s="14" t="e">
        <f>'Alternative 1'!M74</f>
        <v>#VALUE!</v>
      </c>
      <c r="I73" s="14" t="e">
        <f t="shared" si="30"/>
        <v>#VALUE!</v>
      </c>
      <c r="J73" s="14" t="e">
        <f t="shared" si="31"/>
        <v>#VALUE!</v>
      </c>
      <c r="K73" s="286"/>
      <c r="L73" s="13" t="str">
        <f>IF('Alternative 2'!$F74&gt;0,'Alternative 2'!$F74,"x")</f>
        <v>x</v>
      </c>
      <c r="M73" s="30">
        <f t="shared" si="25"/>
        <v>0</v>
      </c>
      <c r="N73" s="30">
        <f t="shared" si="26"/>
        <v>0</v>
      </c>
      <c r="O73" s="14">
        <f>'Dynamic Loading'!$Q$3*'Combined Stress'!M73+'Wind Loading'!$K$69*N73</f>
        <v>0</v>
      </c>
      <c r="P73" s="14" t="e">
        <f>((O73*'Alternative 2'!K74)/'Alternative 2'!L74)/1000000</f>
        <v>#VALUE!</v>
      </c>
      <c r="Q73" s="30">
        <f t="shared" si="27"/>
        <v>0</v>
      </c>
      <c r="R73" s="14">
        <f>'Alternative 2'!$B$3+'Alternative 2'!$B$5+('Alternative 2'!$B$39*Q73)</f>
        <v>14788.4282</v>
      </c>
      <c r="S73" s="14" t="e">
        <f>'Alternative 2'!M74</f>
        <v>#VALUE!</v>
      </c>
      <c r="T73" s="14" t="e">
        <f t="shared" si="32"/>
        <v>#VALUE!</v>
      </c>
      <c r="U73" s="284" t="e">
        <f t="shared" si="33"/>
        <v>#VALUE!</v>
      </c>
      <c r="V73" s="286"/>
      <c r="W73" s="153" t="str">
        <f>'Alternative 3'!F74</f>
        <v>x</v>
      </c>
      <c r="X73" s="59">
        <f t="shared" si="28"/>
        <v>-33.5</v>
      </c>
      <c r="Y73" s="30">
        <f t="shared" si="29"/>
        <v>0</v>
      </c>
      <c r="Z73" s="60">
        <f>'Dynamic Loading'!$Y$3*'Combined Stress'!X73+'Wind Loading'!$P$69*Y73</f>
        <v>-657103.14793964836</v>
      </c>
      <c r="AA73" s="60" t="e">
        <f>((Z73*'Alternative 3'!K74)/'Alternative 3'!L74)/1000000</f>
        <v>#VALUE!</v>
      </c>
      <c r="AB73" s="60">
        <v>5</v>
      </c>
      <c r="AC73" s="14">
        <f>'Alternative 3'!$B$3+'Alternative 3'!$B$5+('Alternative 2'!$B$39*AB73)</f>
        <v>57305.081897918273</v>
      </c>
      <c r="AD73" s="60" t="e">
        <f>'Alternative 3'!M74</f>
        <v>#VALUE!</v>
      </c>
      <c r="AE73" s="60" t="e">
        <f t="shared" si="34"/>
        <v>#VALUE!</v>
      </c>
      <c r="AF73" s="60" t="e">
        <f t="shared" si="35"/>
        <v>#VALUE!</v>
      </c>
    </row>
    <row r="74" spans="1:32" x14ac:dyDescent="0.25">
      <c r="A74" s="13" t="str">
        <f>IF('Alternative 1'!F75&gt;0,'Alternative 1'!F75,"x")</f>
        <v>x</v>
      </c>
      <c r="B74" s="30">
        <f t="shared" si="22"/>
        <v>0</v>
      </c>
      <c r="C74" s="30">
        <f t="shared" si="23"/>
        <v>0</v>
      </c>
      <c r="D74" s="14">
        <f>'Dynamic Loading'!$I$3*'Combined Stress'!B74+'Wind Loading'!$F$69*C74</f>
        <v>0</v>
      </c>
      <c r="E74" s="14" t="e">
        <f>((D74*'Alternative 1'!K75)/'Alternative 1'!L75)/1000000</f>
        <v>#VALUE!</v>
      </c>
      <c r="F74" s="30">
        <f t="shared" si="24"/>
        <v>0</v>
      </c>
      <c r="G74" s="14">
        <f>IF(F74&gt;0,'Alternative 1'!$B$3+'Alternative 1'!$B$5+('Alternative 1'!$B$39*F74),0)</f>
        <v>0</v>
      </c>
      <c r="H74" s="14" t="e">
        <f>'Alternative 1'!M75</f>
        <v>#VALUE!</v>
      </c>
      <c r="I74" s="14" t="e">
        <f t="shared" si="30"/>
        <v>#VALUE!</v>
      </c>
      <c r="J74" s="14" t="e">
        <f t="shared" si="31"/>
        <v>#VALUE!</v>
      </c>
      <c r="K74" s="286"/>
      <c r="L74" s="13" t="str">
        <f>IF('Alternative 2'!$F75&gt;0,'Alternative 2'!$F75,"x")</f>
        <v>x</v>
      </c>
      <c r="M74" s="30">
        <f t="shared" si="25"/>
        <v>0</v>
      </c>
      <c r="N74" s="30">
        <f t="shared" si="26"/>
        <v>0</v>
      </c>
      <c r="O74" s="14">
        <f>'Dynamic Loading'!$Q$3*'Combined Stress'!M74+'Wind Loading'!$K$69*N74</f>
        <v>0</v>
      </c>
      <c r="P74" s="14" t="e">
        <f>((O74*'Alternative 2'!K75)/'Alternative 2'!L75)/1000000</f>
        <v>#VALUE!</v>
      </c>
      <c r="Q74" s="30">
        <f t="shared" si="27"/>
        <v>0</v>
      </c>
      <c r="R74" s="14">
        <f>'Alternative 2'!$B$3+'Alternative 2'!$B$5+('Alternative 2'!$B$39*Q74)</f>
        <v>14788.4282</v>
      </c>
      <c r="S74" s="14" t="e">
        <f>'Alternative 2'!M75</f>
        <v>#VALUE!</v>
      </c>
      <c r="T74" s="14" t="e">
        <f t="shared" si="32"/>
        <v>#VALUE!</v>
      </c>
      <c r="U74" s="284" t="e">
        <f t="shared" si="33"/>
        <v>#VALUE!</v>
      </c>
      <c r="V74" s="286"/>
      <c r="W74" s="153" t="str">
        <f>'Alternative 3'!F75</f>
        <v>x</v>
      </c>
      <c r="X74" s="59">
        <f t="shared" si="28"/>
        <v>-34.5</v>
      </c>
      <c r="Y74" s="30">
        <f t="shared" si="29"/>
        <v>0</v>
      </c>
      <c r="Z74" s="60">
        <f>'Dynamic Loading'!$Y$3*'Combined Stress'!X74+'Wind Loading'!$P$69*Y74</f>
        <v>-676718.16728113045</v>
      </c>
      <c r="AA74" s="60" t="e">
        <f>((Z74*'Alternative 3'!K75)/'Alternative 3'!L75)/1000000</f>
        <v>#VALUE!</v>
      </c>
      <c r="AB74" s="60">
        <v>6</v>
      </c>
      <c r="AC74" s="14">
        <f>'Alternative 3'!$B$3+'Alternative 3'!$B$5+('Alternative 2'!$B$39*AB74)</f>
        <v>65808.412637501926</v>
      </c>
      <c r="AD74" s="60" t="e">
        <f>'Alternative 3'!M75</f>
        <v>#VALUE!</v>
      </c>
      <c r="AE74" s="60" t="e">
        <f t="shared" si="34"/>
        <v>#VALUE!</v>
      </c>
      <c r="AF74" s="60" t="e">
        <f t="shared" si="35"/>
        <v>#VALUE!</v>
      </c>
    </row>
    <row r="75" spans="1:32" x14ac:dyDescent="0.25">
      <c r="A75" s="13" t="str">
        <f>IF('Alternative 1'!F76&gt;0,'Alternative 1'!F76,"x")</f>
        <v>x</v>
      </c>
      <c r="B75" s="30">
        <f t="shared" si="22"/>
        <v>0</v>
      </c>
      <c r="C75" s="30">
        <f t="shared" si="23"/>
        <v>0</v>
      </c>
      <c r="D75" s="14">
        <f>'Dynamic Loading'!$I$3*'Combined Stress'!B75+'Wind Loading'!$F$69*C75</f>
        <v>0</v>
      </c>
      <c r="E75" s="14" t="e">
        <f>((D75*'Alternative 1'!K76)/'Alternative 1'!L76)/1000000</f>
        <v>#VALUE!</v>
      </c>
      <c r="F75" s="30">
        <f t="shared" si="24"/>
        <v>0</v>
      </c>
      <c r="G75" s="14">
        <f>IF(F75&gt;0,'Alternative 1'!$B$3+'Alternative 1'!$B$5+('Alternative 1'!$B$39*F75),0)</f>
        <v>0</v>
      </c>
      <c r="H75" s="14" t="e">
        <f>'Alternative 1'!M76</f>
        <v>#VALUE!</v>
      </c>
      <c r="I75" s="14" t="e">
        <f t="shared" si="30"/>
        <v>#VALUE!</v>
      </c>
      <c r="J75" s="14" t="e">
        <f t="shared" si="31"/>
        <v>#VALUE!</v>
      </c>
      <c r="K75" s="286"/>
      <c r="L75" s="13" t="str">
        <f>IF('Alternative 2'!$F76&gt;0,'Alternative 2'!$F76,"x")</f>
        <v>x</v>
      </c>
      <c r="M75" s="30">
        <f t="shared" si="25"/>
        <v>0</v>
      </c>
      <c r="N75" s="30">
        <f t="shared" si="26"/>
        <v>0</v>
      </c>
      <c r="O75" s="14">
        <f>'Dynamic Loading'!$Q$3*'Combined Stress'!M75+'Wind Loading'!$K$69*N75</f>
        <v>0</v>
      </c>
      <c r="P75" s="14" t="e">
        <f>((O75*'Alternative 2'!K76)/'Alternative 2'!L76)/1000000</f>
        <v>#VALUE!</v>
      </c>
      <c r="Q75" s="30">
        <f t="shared" si="27"/>
        <v>0</v>
      </c>
      <c r="R75" s="14">
        <f>'Alternative 2'!$B$3+'Alternative 2'!$B$5+('Alternative 2'!$B$39*Q75)</f>
        <v>14788.4282</v>
      </c>
      <c r="S75" s="14" t="e">
        <f>'Alternative 2'!M76</f>
        <v>#VALUE!</v>
      </c>
      <c r="T75" s="14" t="e">
        <f t="shared" si="32"/>
        <v>#VALUE!</v>
      </c>
      <c r="U75" s="284" t="e">
        <f t="shared" si="33"/>
        <v>#VALUE!</v>
      </c>
      <c r="V75" s="286"/>
      <c r="W75" s="153" t="str">
        <f>'Alternative 3'!F76</f>
        <v>x</v>
      </c>
      <c r="X75" s="59">
        <f t="shared" si="28"/>
        <v>-35.5</v>
      </c>
      <c r="Y75" s="30">
        <f t="shared" si="29"/>
        <v>0</v>
      </c>
      <c r="Z75" s="60">
        <f>'Dynamic Loading'!$Y$3*'Combined Stress'!X75+'Wind Loading'!$P$69*Y75</f>
        <v>-696333.18662261253</v>
      </c>
      <c r="AA75" s="60" t="e">
        <f>((Z75*'Alternative 3'!K76)/'Alternative 3'!L76)/1000000</f>
        <v>#VALUE!</v>
      </c>
      <c r="AB75" s="60">
        <v>7</v>
      </c>
      <c r="AC75" s="14">
        <f>'Alternative 3'!$B$3+'Alternative 3'!$B$5+('Alternative 2'!$B$39*AB75)</f>
        <v>74311.743377085586</v>
      </c>
      <c r="AD75" s="60" t="e">
        <f>'Alternative 3'!M76</f>
        <v>#VALUE!</v>
      </c>
      <c r="AE75" s="60" t="e">
        <f t="shared" si="34"/>
        <v>#VALUE!</v>
      </c>
      <c r="AF75" s="60" t="e">
        <f t="shared" si="35"/>
        <v>#VALUE!</v>
      </c>
    </row>
    <row r="76" spans="1:32" x14ac:dyDescent="0.25">
      <c r="A76" s="13" t="str">
        <f>IF('Alternative 1'!F77&gt;0,'Alternative 1'!F77,"x")</f>
        <v>x</v>
      </c>
      <c r="B76" s="30">
        <f t="shared" si="22"/>
        <v>0</v>
      </c>
      <c r="C76" s="30">
        <f t="shared" si="23"/>
        <v>0</v>
      </c>
      <c r="D76" s="14">
        <f>'Dynamic Loading'!$I$3*'Combined Stress'!B76+'Wind Loading'!$F$69*C76</f>
        <v>0</v>
      </c>
      <c r="E76" s="14" t="e">
        <f>((D76*'Alternative 1'!K77)/'Alternative 1'!L77)/1000000</f>
        <v>#VALUE!</v>
      </c>
      <c r="F76" s="30">
        <f t="shared" si="24"/>
        <v>0</v>
      </c>
      <c r="G76" s="14">
        <f>IF(F76&gt;0,'Alternative 1'!$B$3+'Alternative 1'!$B$5+('Alternative 1'!$B$39*F76),0)</f>
        <v>0</v>
      </c>
      <c r="H76" s="14" t="e">
        <f>'Alternative 1'!M77</f>
        <v>#VALUE!</v>
      </c>
      <c r="I76" s="14" t="e">
        <f t="shared" si="30"/>
        <v>#VALUE!</v>
      </c>
      <c r="J76" s="14" t="e">
        <f t="shared" si="31"/>
        <v>#VALUE!</v>
      </c>
      <c r="K76" s="286"/>
      <c r="L76" s="13" t="str">
        <f>IF('Alternative 2'!$F77&gt;0,'Alternative 2'!$F77,"x")</f>
        <v>x</v>
      </c>
      <c r="M76" s="30">
        <f t="shared" si="25"/>
        <v>0</v>
      </c>
      <c r="N76" s="30">
        <f t="shared" si="26"/>
        <v>0</v>
      </c>
      <c r="O76" s="14">
        <f>'Dynamic Loading'!$Q$3*'Combined Stress'!M76+'Wind Loading'!$K$69*N76</f>
        <v>0</v>
      </c>
      <c r="P76" s="14" t="e">
        <f>((O76*'Alternative 2'!K77)/'Alternative 2'!L77)/1000000</f>
        <v>#VALUE!</v>
      </c>
      <c r="Q76" s="30">
        <f t="shared" si="27"/>
        <v>0</v>
      </c>
      <c r="R76" s="14">
        <f>'Alternative 2'!$B$3+'Alternative 2'!$B$5+('Alternative 2'!$B$39*Q76)</f>
        <v>14788.4282</v>
      </c>
      <c r="S76" s="14" t="e">
        <f>'Alternative 2'!M77</f>
        <v>#VALUE!</v>
      </c>
      <c r="T76" s="14" t="e">
        <f t="shared" si="32"/>
        <v>#VALUE!</v>
      </c>
      <c r="U76" s="284" t="e">
        <f t="shared" si="33"/>
        <v>#VALUE!</v>
      </c>
      <c r="V76" s="286"/>
      <c r="W76" s="153" t="str">
        <f>'Alternative 3'!F77</f>
        <v>x</v>
      </c>
      <c r="X76" s="59">
        <f t="shared" si="28"/>
        <v>-36.5</v>
      </c>
      <c r="Y76" s="30">
        <f t="shared" si="29"/>
        <v>0</v>
      </c>
      <c r="Z76" s="60">
        <f>'Dynamic Loading'!$Y$3*'Combined Stress'!X76+'Wind Loading'!$P$69*Y76</f>
        <v>-715948.20596409449</v>
      </c>
      <c r="AA76" s="60" t="e">
        <f>((Z76*'Alternative 3'!K77)/'Alternative 3'!L77)/1000000</f>
        <v>#VALUE!</v>
      </c>
      <c r="AB76" s="60">
        <v>8</v>
      </c>
      <c r="AC76" s="14">
        <f>'Alternative 3'!$B$3+'Alternative 3'!$B$5+('Alternative 2'!$B$39*AB76)</f>
        <v>82815.074116669231</v>
      </c>
      <c r="AD76" s="60" t="e">
        <f>'Alternative 3'!M77</f>
        <v>#VALUE!</v>
      </c>
      <c r="AE76" s="60" t="e">
        <f t="shared" si="34"/>
        <v>#VALUE!</v>
      </c>
      <c r="AF76" s="60" t="e">
        <f t="shared" si="35"/>
        <v>#VALUE!</v>
      </c>
    </row>
    <row r="77" spans="1:32" x14ac:dyDescent="0.25">
      <c r="A77" s="13" t="str">
        <f>IF('Alternative 1'!F78&gt;0,'Alternative 1'!F78,"x")</f>
        <v>x</v>
      </c>
      <c r="B77" s="30">
        <f t="shared" si="22"/>
        <v>0</v>
      </c>
      <c r="C77" s="30">
        <f t="shared" si="23"/>
        <v>0</v>
      </c>
      <c r="D77" s="14">
        <f>'Dynamic Loading'!$I$3*'Combined Stress'!B77+'Wind Loading'!$F$69*C77</f>
        <v>0</v>
      </c>
      <c r="E77" s="14" t="e">
        <f>((D77*'Alternative 1'!K78)/'Alternative 1'!L78)/1000000</f>
        <v>#VALUE!</v>
      </c>
      <c r="F77" s="30">
        <f t="shared" si="24"/>
        <v>0</v>
      </c>
      <c r="G77" s="14">
        <f>IF(F77&gt;0,'Alternative 1'!$B$3+'Alternative 1'!$B$5+('Alternative 1'!$B$39*F77),0)</f>
        <v>0</v>
      </c>
      <c r="H77" s="14" t="e">
        <f>'Alternative 1'!M78</f>
        <v>#VALUE!</v>
      </c>
      <c r="I77" s="14" t="e">
        <f t="shared" si="30"/>
        <v>#VALUE!</v>
      </c>
      <c r="J77" s="14" t="e">
        <f t="shared" si="31"/>
        <v>#VALUE!</v>
      </c>
      <c r="K77" s="286"/>
      <c r="L77" s="13" t="str">
        <f>IF('Alternative 2'!$F78&gt;0,'Alternative 2'!$F78,"x")</f>
        <v>x</v>
      </c>
      <c r="M77" s="30">
        <f t="shared" si="25"/>
        <v>0</v>
      </c>
      <c r="N77" s="30">
        <f t="shared" si="26"/>
        <v>0</v>
      </c>
      <c r="O77" s="14">
        <f>'Dynamic Loading'!$Q$3*'Combined Stress'!M77+'Wind Loading'!$K$69*N77</f>
        <v>0</v>
      </c>
      <c r="P77" s="14" t="e">
        <f>((O77*'Alternative 2'!K78)/'Alternative 2'!L78)/1000000</f>
        <v>#VALUE!</v>
      </c>
      <c r="Q77" s="30">
        <f t="shared" si="27"/>
        <v>0</v>
      </c>
      <c r="R77" s="14">
        <f>'Alternative 2'!$B$3+'Alternative 2'!$B$5+('Alternative 2'!$B$39*Q77)</f>
        <v>14788.4282</v>
      </c>
      <c r="S77" s="14" t="e">
        <f>'Alternative 2'!M78</f>
        <v>#VALUE!</v>
      </c>
      <c r="T77" s="14" t="e">
        <f t="shared" si="32"/>
        <v>#VALUE!</v>
      </c>
      <c r="U77" s="284" t="e">
        <f t="shared" si="33"/>
        <v>#VALUE!</v>
      </c>
      <c r="V77" s="286"/>
      <c r="W77" s="153" t="str">
        <f>'Alternative 3'!F78</f>
        <v>x</v>
      </c>
      <c r="X77" s="59">
        <f t="shared" si="28"/>
        <v>-37.5</v>
      </c>
      <c r="Y77" s="30">
        <f t="shared" si="29"/>
        <v>0</v>
      </c>
      <c r="Z77" s="60">
        <f>'Dynamic Loading'!$Y$3*'Combined Stress'!X77+'Wind Loading'!$P$69*Y77</f>
        <v>-735563.22530557658</v>
      </c>
      <c r="AA77" s="60" t="e">
        <f>((Z77*'Alternative 3'!K78)/'Alternative 3'!L78)/1000000</f>
        <v>#VALUE!</v>
      </c>
      <c r="AB77" s="60">
        <v>9</v>
      </c>
      <c r="AC77" s="14">
        <f>'Alternative 3'!$B$3+'Alternative 3'!$B$5+('Alternative 2'!$B$39*AB77)</f>
        <v>91318.404856252891</v>
      </c>
      <c r="AD77" s="60" t="e">
        <f>'Alternative 3'!M78</f>
        <v>#VALUE!</v>
      </c>
      <c r="AE77" s="60" t="e">
        <f t="shared" si="34"/>
        <v>#VALUE!</v>
      </c>
      <c r="AF77" s="60" t="e">
        <f t="shared" si="35"/>
        <v>#VALUE!</v>
      </c>
    </row>
    <row r="78" spans="1:32" x14ac:dyDescent="0.25">
      <c r="A78" s="13" t="str">
        <f>IF('Alternative 1'!F79&gt;0,'Alternative 1'!F79,"x")</f>
        <v>x</v>
      </c>
      <c r="B78" s="30">
        <f t="shared" si="22"/>
        <v>0</v>
      </c>
      <c r="C78" s="30">
        <f t="shared" si="23"/>
        <v>0</v>
      </c>
      <c r="D78" s="14">
        <f>'Dynamic Loading'!$I$3*'Combined Stress'!B78+'Wind Loading'!$F$69*C78</f>
        <v>0</v>
      </c>
      <c r="E78" s="14" t="e">
        <f>((D78*'Alternative 1'!K79)/'Alternative 1'!L79)/1000000</f>
        <v>#VALUE!</v>
      </c>
      <c r="F78" s="30">
        <f t="shared" si="24"/>
        <v>0</v>
      </c>
      <c r="G78" s="14">
        <f>IF(F78&gt;0,'Alternative 1'!$B$3+'Alternative 1'!$B$5+('Alternative 1'!$B$39*F78),0)</f>
        <v>0</v>
      </c>
      <c r="H78" s="14" t="e">
        <f>'Alternative 1'!M79</f>
        <v>#VALUE!</v>
      </c>
      <c r="I78" s="14" t="e">
        <f t="shared" si="30"/>
        <v>#VALUE!</v>
      </c>
      <c r="J78" s="14" t="e">
        <f t="shared" si="31"/>
        <v>#VALUE!</v>
      </c>
      <c r="K78" s="286"/>
      <c r="L78" s="13" t="str">
        <f>IF('Alternative 2'!$F79&gt;0,'Alternative 2'!$F79,"x")</f>
        <v>x</v>
      </c>
      <c r="M78" s="30">
        <f t="shared" si="25"/>
        <v>0</v>
      </c>
      <c r="N78" s="30">
        <f t="shared" si="26"/>
        <v>0</v>
      </c>
      <c r="O78" s="14">
        <f>'Dynamic Loading'!$Q$3*'Combined Stress'!M78+'Wind Loading'!$K$69*N78</f>
        <v>0</v>
      </c>
      <c r="P78" s="14" t="e">
        <f>((O78*'Alternative 2'!K79)/'Alternative 2'!L79)/1000000</f>
        <v>#VALUE!</v>
      </c>
      <c r="Q78" s="30">
        <f t="shared" si="27"/>
        <v>0</v>
      </c>
      <c r="R78" s="14">
        <f>'Alternative 2'!$B$3+'Alternative 2'!$B$5+('Alternative 2'!$B$39*Q78)</f>
        <v>14788.4282</v>
      </c>
      <c r="S78" s="14" t="e">
        <f>'Alternative 2'!M79</f>
        <v>#VALUE!</v>
      </c>
      <c r="T78" s="14" t="e">
        <f t="shared" si="32"/>
        <v>#VALUE!</v>
      </c>
      <c r="U78" s="284" t="e">
        <f t="shared" si="33"/>
        <v>#VALUE!</v>
      </c>
      <c r="V78" s="286"/>
      <c r="W78" s="153" t="str">
        <f>'Alternative 3'!F79</f>
        <v>x</v>
      </c>
      <c r="X78" s="59">
        <f t="shared" si="28"/>
        <v>-38.5</v>
      </c>
      <c r="Y78" s="30">
        <f t="shared" si="29"/>
        <v>0</v>
      </c>
      <c r="Z78" s="60">
        <f>'Dynamic Loading'!$Y$3*'Combined Stress'!X78+'Wind Loading'!$P$69*Y78</f>
        <v>-755178.24464705866</v>
      </c>
      <c r="AA78" s="60" t="e">
        <f>((Z78*'Alternative 3'!K79)/'Alternative 3'!L79)/1000000</f>
        <v>#VALUE!</v>
      </c>
      <c r="AB78" s="60">
        <v>10</v>
      </c>
      <c r="AC78" s="14">
        <f>'Alternative 3'!$B$3+'Alternative 3'!$B$5+('Alternative 2'!$B$39*AB78)</f>
        <v>99821.735595836537</v>
      </c>
      <c r="AD78" s="60" t="e">
        <f>'Alternative 3'!M79</f>
        <v>#VALUE!</v>
      </c>
      <c r="AE78" s="60" t="e">
        <f t="shared" si="34"/>
        <v>#VALUE!</v>
      </c>
      <c r="AF78" s="60" t="e">
        <f t="shared" si="35"/>
        <v>#VALUE!</v>
      </c>
    </row>
    <row r="79" spans="1:32" x14ac:dyDescent="0.25">
      <c r="A79" s="13" t="str">
        <f>IF('Alternative 1'!F80&gt;0,'Alternative 1'!F80,"x")</f>
        <v>x</v>
      </c>
      <c r="B79" s="30">
        <f t="shared" si="22"/>
        <v>0</v>
      </c>
      <c r="C79" s="30">
        <f t="shared" si="23"/>
        <v>0</v>
      </c>
      <c r="D79" s="14">
        <f>'Dynamic Loading'!$I$3*'Combined Stress'!B79+'Wind Loading'!$F$69*C79</f>
        <v>0</v>
      </c>
      <c r="E79" s="14" t="e">
        <f>((D79*'Alternative 1'!K80)/'Alternative 1'!L80)/1000000</f>
        <v>#VALUE!</v>
      </c>
      <c r="F79" s="30">
        <f t="shared" si="24"/>
        <v>0</v>
      </c>
      <c r="G79" s="14">
        <f>IF(F79&gt;0,'Alternative 1'!$B$3+'Alternative 1'!$B$5+('Alternative 1'!$B$39*F79),0)</f>
        <v>0</v>
      </c>
      <c r="H79" s="14" t="e">
        <f>'Alternative 1'!M80</f>
        <v>#VALUE!</v>
      </c>
      <c r="I79" s="14" t="e">
        <f t="shared" si="30"/>
        <v>#VALUE!</v>
      </c>
      <c r="J79" s="14" t="e">
        <f t="shared" si="31"/>
        <v>#VALUE!</v>
      </c>
      <c r="K79" s="286"/>
      <c r="L79" s="13" t="str">
        <f>IF('Alternative 2'!$F80&gt;0,'Alternative 2'!$F80,"x")</f>
        <v>x</v>
      </c>
      <c r="M79" s="30">
        <f t="shared" si="25"/>
        <v>0</v>
      </c>
      <c r="N79" s="30">
        <f t="shared" si="26"/>
        <v>0</v>
      </c>
      <c r="O79" s="14">
        <f>'Dynamic Loading'!$Q$3*'Combined Stress'!M79+'Wind Loading'!$K$69*N79</f>
        <v>0</v>
      </c>
      <c r="P79" s="14" t="e">
        <f>((O79*'Alternative 2'!K80)/'Alternative 2'!L80)/1000000</f>
        <v>#VALUE!</v>
      </c>
      <c r="Q79" s="30">
        <f t="shared" si="27"/>
        <v>0</v>
      </c>
      <c r="R79" s="14">
        <f>'Alternative 2'!$B$3+'Alternative 2'!$B$5+('Alternative 2'!$B$39*Q79)</f>
        <v>14788.4282</v>
      </c>
      <c r="S79" s="14" t="e">
        <f>'Alternative 2'!M80</f>
        <v>#VALUE!</v>
      </c>
      <c r="T79" s="14" t="e">
        <f t="shared" si="32"/>
        <v>#VALUE!</v>
      </c>
      <c r="U79" s="284" t="e">
        <f t="shared" si="33"/>
        <v>#VALUE!</v>
      </c>
      <c r="V79" s="286"/>
      <c r="W79" s="153" t="str">
        <f>'Alternative 3'!F80</f>
        <v>x</v>
      </c>
      <c r="X79" s="59">
        <f t="shared" si="28"/>
        <v>-39.5</v>
      </c>
      <c r="Y79" s="30">
        <f t="shared" si="29"/>
        <v>0</v>
      </c>
      <c r="Z79" s="60">
        <f>'Dynamic Loading'!$Y$3*'Combined Stress'!X79+'Wind Loading'!$P$69*Y79</f>
        <v>-774793.26398854062</v>
      </c>
      <c r="AA79" s="60" t="e">
        <f>((Z79*'Alternative 3'!K80)/'Alternative 3'!L80)/1000000</f>
        <v>#VALUE!</v>
      </c>
      <c r="AB79" s="60">
        <v>11</v>
      </c>
      <c r="AC79" s="14">
        <f>'Alternative 3'!$B$3+'Alternative 3'!$B$5+('Alternative 2'!$B$39*AB79)</f>
        <v>108325.0663354202</v>
      </c>
      <c r="AD79" s="60" t="e">
        <f>'Alternative 3'!M80</f>
        <v>#VALUE!</v>
      </c>
      <c r="AE79" s="60" t="e">
        <f t="shared" si="34"/>
        <v>#VALUE!</v>
      </c>
      <c r="AF79" s="60" t="e">
        <f t="shared" si="35"/>
        <v>#VALUE!</v>
      </c>
    </row>
    <row r="80" spans="1:32" x14ac:dyDescent="0.25">
      <c r="A80" s="13" t="str">
        <f>IF('Alternative 1'!F81&gt;0,'Alternative 1'!F81,"x")</f>
        <v>x</v>
      </c>
      <c r="B80" s="30">
        <f t="shared" si="22"/>
        <v>0</v>
      </c>
      <c r="C80" s="30">
        <f t="shared" si="23"/>
        <v>0</v>
      </c>
      <c r="D80" s="14">
        <f>'Dynamic Loading'!$I$3*'Combined Stress'!B80+'Wind Loading'!$F$69*C80</f>
        <v>0</v>
      </c>
      <c r="E80" s="14" t="e">
        <f>((D80*'Alternative 1'!K81)/'Alternative 1'!L81)/1000000</f>
        <v>#VALUE!</v>
      </c>
      <c r="F80" s="30">
        <f t="shared" si="24"/>
        <v>0</v>
      </c>
      <c r="G80" s="14">
        <f>IF(F80&gt;0,'Alternative 1'!$B$3+'Alternative 1'!$B$5+('Alternative 1'!$B$39*F80),0)</f>
        <v>0</v>
      </c>
      <c r="H80" s="14" t="e">
        <f>'Alternative 1'!M81</f>
        <v>#VALUE!</v>
      </c>
      <c r="I80" s="14" t="e">
        <f t="shared" si="30"/>
        <v>#VALUE!</v>
      </c>
      <c r="J80" s="14" t="e">
        <f t="shared" si="31"/>
        <v>#VALUE!</v>
      </c>
      <c r="K80" s="286"/>
      <c r="L80" s="13" t="str">
        <f>IF('Alternative 2'!$F81&gt;0,'Alternative 2'!$F81,"x")</f>
        <v>x</v>
      </c>
      <c r="M80" s="30">
        <f t="shared" si="25"/>
        <v>0</v>
      </c>
      <c r="N80" s="30">
        <f t="shared" si="26"/>
        <v>0</v>
      </c>
      <c r="O80" s="14">
        <f>'Dynamic Loading'!$Q$3*'Combined Stress'!M80+'Wind Loading'!$K$69*N80</f>
        <v>0</v>
      </c>
      <c r="P80" s="14" t="e">
        <f>((O80*'Alternative 2'!K81)/'Alternative 2'!L81)/1000000</f>
        <v>#VALUE!</v>
      </c>
      <c r="Q80" s="30">
        <f t="shared" si="27"/>
        <v>0</v>
      </c>
      <c r="R80" s="14">
        <f>'Alternative 2'!$B$3+'Alternative 2'!$B$5+('Alternative 2'!$B$39*Q80)</f>
        <v>14788.4282</v>
      </c>
      <c r="S80" s="14" t="e">
        <f>'Alternative 2'!M81</f>
        <v>#VALUE!</v>
      </c>
      <c r="T80" s="14" t="e">
        <f t="shared" si="32"/>
        <v>#VALUE!</v>
      </c>
      <c r="U80" s="284" t="e">
        <f t="shared" si="33"/>
        <v>#VALUE!</v>
      </c>
      <c r="V80" s="286"/>
      <c r="W80" s="153" t="str">
        <f>'Alternative 3'!F81</f>
        <v>x</v>
      </c>
      <c r="X80" s="59">
        <f t="shared" si="28"/>
        <v>-40.5</v>
      </c>
      <c r="Y80" s="30">
        <f t="shared" si="29"/>
        <v>0</v>
      </c>
      <c r="Z80" s="60">
        <f>'Dynamic Loading'!$Y$3*'Combined Stress'!X80+'Wind Loading'!$P$69*Y80</f>
        <v>-794408.28333002271</v>
      </c>
      <c r="AA80" s="60" t="e">
        <f>((Z80*'Alternative 3'!K81)/'Alternative 3'!L81)/1000000</f>
        <v>#VALUE!</v>
      </c>
      <c r="AB80" s="60">
        <v>12</v>
      </c>
      <c r="AC80" s="14">
        <f>'Alternative 3'!$B$3+'Alternative 3'!$B$5+('Alternative 2'!$B$39*AB80)</f>
        <v>116828.39707500386</v>
      </c>
      <c r="AD80" s="60" t="e">
        <f>'Alternative 3'!M81</f>
        <v>#VALUE!</v>
      </c>
      <c r="AE80" s="60" t="e">
        <f t="shared" si="34"/>
        <v>#VALUE!</v>
      </c>
      <c r="AF80" s="60" t="e">
        <f t="shared" si="35"/>
        <v>#VALUE!</v>
      </c>
    </row>
    <row r="81" spans="1:32" x14ac:dyDescent="0.25">
      <c r="A81" s="13" t="str">
        <f>IF('Alternative 1'!F82&gt;0,'Alternative 1'!F82,"x")</f>
        <v>x</v>
      </c>
      <c r="B81" s="30">
        <f t="shared" si="22"/>
        <v>0</v>
      </c>
      <c r="C81" s="30">
        <f t="shared" si="23"/>
        <v>0</v>
      </c>
      <c r="D81" s="14">
        <f>'Dynamic Loading'!$I$3*'Combined Stress'!B81+'Wind Loading'!$F$69*C81</f>
        <v>0</v>
      </c>
      <c r="E81" s="14" t="e">
        <f>((D81*'Alternative 1'!K82)/'Alternative 1'!L82)/1000000</f>
        <v>#VALUE!</v>
      </c>
      <c r="F81" s="30">
        <f t="shared" si="24"/>
        <v>0</v>
      </c>
      <c r="G81" s="14">
        <f>IF(F81&gt;0,'Alternative 1'!$B$3+'Alternative 1'!$B$5+('Alternative 1'!$B$39*F81),0)</f>
        <v>0</v>
      </c>
      <c r="H81" s="14" t="e">
        <f>'Alternative 1'!M82</f>
        <v>#VALUE!</v>
      </c>
      <c r="I81" s="14" t="e">
        <f t="shared" si="30"/>
        <v>#VALUE!</v>
      </c>
      <c r="J81" s="14" t="e">
        <f t="shared" si="31"/>
        <v>#VALUE!</v>
      </c>
      <c r="K81" s="286"/>
      <c r="L81" s="13" t="str">
        <f>IF('Alternative 2'!$F82&gt;0,'Alternative 2'!$F82,"x")</f>
        <v>x</v>
      </c>
      <c r="M81" s="30">
        <f t="shared" si="25"/>
        <v>0</v>
      </c>
      <c r="N81" s="30">
        <f t="shared" si="26"/>
        <v>0</v>
      </c>
      <c r="O81" s="14">
        <f>'Dynamic Loading'!$Q$3*'Combined Stress'!M81+'Wind Loading'!$K$69*N81</f>
        <v>0</v>
      </c>
      <c r="P81" s="14" t="e">
        <f>((O81*'Alternative 2'!K82)/'Alternative 2'!L82)/1000000</f>
        <v>#VALUE!</v>
      </c>
      <c r="Q81" s="30">
        <f t="shared" si="27"/>
        <v>0</v>
      </c>
      <c r="R81" s="14">
        <f>'Alternative 2'!$B$3+'Alternative 2'!$B$5+('Alternative 2'!$B$39*Q81)</f>
        <v>14788.4282</v>
      </c>
      <c r="S81" s="14" t="e">
        <f>'Alternative 2'!M82</f>
        <v>#VALUE!</v>
      </c>
      <c r="T81" s="14" t="e">
        <f t="shared" si="32"/>
        <v>#VALUE!</v>
      </c>
      <c r="U81" s="284" t="e">
        <f t="shared" si="33"/>
        <v>#VALUE!</v>
      </c>
      <c r="V81" s="286"/>
      <c r="W81" s="153" t="str">
        <f>'Alternative 3'!F82</f>
        <v>x</v>
      </c>
      <c r="X81" s="59">
        <f t="shared" si="28"/>
        <v>-41.5</v>
      </c>
      <c r="Y81" s="30">
        <f t="shared" si="29"/>
        <v>0</v>
      </c>
      <c r="Z81" s="60">
        <f>'Dynamic Loading'!$Y$3*'Combined Stress'!X81+'Wind Loading'!$P$69*Y81</f>
        <v>-814023.30267150479</v>
      </c>
      <c r="AA81" s="60" t="e">
        <f>((Z81*'Alternative 3'!K82)/'Alternative 3'!L82)/1000000</f>
        <v>#VALUE!</v>
      </c>
      <c r="AB81" s="60">
        <v>13</v>
      </c>
      <c r="AC81" s="14">
        <f>'Alternative 3'!$B$3+'Alternative 3'!$B$5+('Alternative 2'!$B$39*AB81)</f>
        <v>125331.7278145875</v>
      </c>
      <c r="AD81" s="60" t="e">
        <f>'Alternative 3'!M82</f>
        <v>#VALUE!</v>
      </c>
      <c r="AE81" s="60" t="e">
        <f t="shared" si="34"/>
        <v>#VALUE!</v>
      </c>
      <c r="AF81" s="60" t="e">
        <f t="shared" si="35"/>
        <v>#VALUE!</v>
      </c>
    </row>
    <row r="82" spans="1:32" x14ac:dyDescent="0.25">
      <c r="A82" s="13" t="str">
        <f>IF('Alternative 1'!F83&gt;0,'Alternative 1'!F83,"x")</f>
        <v>x</v>
      </c>
      <c r="B82" s="30">
        <f t="shared" si="22"/>
        <v>0</v>
      </c>
      <c r="C82" s="30">
        <f t="shared" si="23"/>
        <v>0</v>
      </c>
      <c r="D82" s="14">
        <f>'Dynamic Loading'!$I$3*'Combined Stress'!B82+'Wind Loading'!$F$69*C82</f>
        <v>0</v>
      </c>
      <c r="E82" s="14" t="e">
        <f>((D82*'Alternative 1'!K83)/'Alternative 1'!L83)/1000000</f>
        <v>#VALUE!</v>
      </c>
      <c r="F82" s="30">
        <f t="shared" si="24"/>
        <v>0</v>
      </c>
      <c r="G82" s="14">
        <f>IF(F82&gt;0,'Alternative 1'!$B$3+'Alternative 1'!$B$5+('Alternative 1'!$B$39*F82),0)</f>
        <v>0</v>
      </c>
      <c r="H82" s="14" t="e">
        <f>'Alternative 1'!M83</f>
        <v>#VALUE!</v>
      </c>
      <c r="I82" s="14" t="e">
        <f t="shared" si="30"/>
        <v>#VALUE!</v>
      </c>
      <c r="J82" s="14" t="e">
        <f t="shared" si="31"/>
        <v>#VALUE!</v>
      </c>
      <c r="K82" s="286"/>
      <c r="L82" s="13" t="str">
        <f>IF('Alternative 2'!$F83&gt;0,'Alternative 2'!$F83,"x")</f>
        <v>x</v>
      </c>
      <c r="M82" s="30">
        <f t="shared" si="25"/>
        <v>0</v>
      </c>
      <c r="N82" s="30">
        <f t="shared" si="26"/>
        <v>0</v>
      </c>
      <c r="O82" s="14">
        <f>'Dynamic Loading'!$Q$3*'Combined Stress'!M82+'Wind Loading'!$K$69*N82</f>
        <v>0</v>
      </c>
      <c r="P82" s="14" t="e">
        <f>((O82*'Alternative 2'!K83)/'Alternative 2'!L83)/1000000</f>
        <v>#VALUE!</v>
      </c>
      <c r="Q82" s="30">
        <f t="shared" si="27"/>
        <v>0</v>
      </c>
      <c r="R82" s="14">
        <f>'Alternative 2'!$B$3+'Alternative 2'!$B$5+('Alternative 2'!$B$39*Q82)</f>
        <v>14788.4282</v>
      </c>
      <c r="S82" s="14" t="e">
        <f>'Alternative 2'!M83</f>
        <v>#VALUE!</v>
      </c>
      <c r="T82" s="14" t="e">
        <f t="shared" si="32"/>
        <v>#VALUE!</v>
      </c>
      <c r="U82" s="284" t="e">
        <f t="shared" si="33"/>
        <v>#VALUE!</v>
      </c>
      <c r="V82" s="286"/>
      <c r="W82" s="153" t="str">
        <f>'Alternative 3'!F83</f>
        <v>x</v>
      </c>
      <c r="X82" s="59">
        <f t="shared" si="28"/>
        <v>-42.5</v>
      </c>
      <c r="Y82" s="30">
        <f t="shared" si="29"/>
        <v>0</v>
      </c>
      <c r="Z82" s="60">
        <f>'Dynamic Loading'!$Y$3*'Combined Stress'!X82+'Wind Loading'!$P$69*Y82</f>
        <v>-833638.32201298675</v>
      </c>
      <c r="AA82" s="60" t="e">
        <f>((Z82*'Alternative 3'!K83)/'Alternative 3'!L83)/1000000</f>
        <v>#VALUE!</v>
      </c>
      <c r="AB82" s="60">
        <v>14</v>
      </c>
      <c r="AC82" s="14">
        <f>'Alternative 3'!$B$3+'Alternative 3'!$B$5+('Alternative 2'!$B$39*AB82)</f>
        <v>133835.05855417118</v>
      </c>
      <c r="AD82" s="60" t="e">
        <f>'Alternative 3'!M83</f>
        <v>#VALUE!</v>
      </c>
      <c r="AE82" s="60" t="e">
        <f t="shared" si="34"/>
        <v>#VALUE!</v>
      </c>
      <c r="AF82" s="60" t="e">
        <f t="shared" si="35"/>
        <v>#VALUE!</v>
      </c>
    </row>
    <row r="83" spans="1:32" x14ac:dyDescent="0.25">
      <c r="A83" s="13" t="str">
        <f>IF('Alternative 1'!F84&gt;0,'Alternative 1'!F84,"x")</f>
        <v>x</v>
      </c>
      <c r="B83" s="30">
        <f t="shared" si="22"/>
        <v>0</v>
      </c>
      <c r="C83" s="30">
        <f t="shared" si="23"/>
        <v>0</v>
      </c>
      <c r="D83" s="14">
        <f>'Dynamic Loading'!$I$3*'Combined Stress'!B83+'Wind Loading'!$F$69*C83</f>
        <v>0</v>
      </c>
      <c r="E83" s="14" t="e">
        <f>((D83*'Alternative 1'!K84)/'Alternative 1'!L84)/1000000</f>
        <v>#VALUE!</v>
      </c>
      <c r="F83" s="30">
        <f t="shared" si="24"/>
        <v>0</v>
      </c>
      <c r="G83" s="14">
        <f>IF(F83&gt;0,'Alternative 1'!$B$3+'Alternative 1'!$B$5+('Alternative 1'!$B$39*F83),0)</f>
        <v>0</v>
      </c>
      <c r="H83" s="14" t="e">
        <f>'Alternative 1'!M84</f>
        <v>#VALUE!</v>
      </c>
      <c r="I83" s="14" t="e">
        <f t="shared" si="30"/>
        <v>#VALUE!</v>
      </c>
      <c r="J83" s="14" t="e">
        <f t="shared" si="31"/>
        <v>#VALUE!</v>
      </c>
      <c r="K83" s="286"/>
      <c r="L83" s="13" t="str">
        <f>IF('Alternative 2'!$F84&gt;0,'Alternative 2'!$F84,"x")</f>
        <v>x</v>
      </c>
      <c r="M83" s="30">
        <f t="shared" si="25"/>
        <v>0</v>
      </c>
      <c r="N83" s="30">
        <f t="shared" si="26"/>
        <v>0</v>
      </c>
      <c r="O83" s="14">
        <f>'Dynamic Loading'!$Q$3*'Combined Stress'!M83+'Wind Loading'!$K$69*N83</f>
        <v>0</v>
      </c>
      <c r="P83" s="14" t="e">
        <f>((O83*'Alternative 2'!K84)/'Alternative 2'!L84)/1000000</f>
        <v>#VALUE!</v>
      </c>
      <c r="Q83" s="30">
        <f t="shared" si="27"/>
        <v>0</v>
      </c>
      <c r="R83" s="14">
        <f>'Alternative 2'!$B$3+'Alternative 2'!$B$5+('Alternative 2'!$B$39*Q83)</f>
        <v>14788.4282</v>
      </c>
      <c r="S83" s="14" t="e">
        <f>'Alternative 2'!M84</f>
        <v>#VALUE!</v>
      </c>
      <c r="T83" s="14" t="e">
        <f t="shared" si="32"/>
        <v>#VALUE!</v>
      </c>
      <c r="U83" s="284" t="e">
        <f t="shared" si="33"/>
        <v>#VALUE!</v>
      </c>
      <c r="V83" s="286"/>
      <c r="W83" s="153" t="str">
        <f>'Alternative 3'!F84</f>
        <v>x</v>
      </c>
      <c r="X83" s="59">
        <f t="shared" si="28"/>
        <v>-43.5</v>
      </c>
      <c r="Y83" s="30">
        <f t="shared" si="29"/>
        <v>0</v>
      </c>
      <c r="Z83" s="60">
        <f>'Dynamic Loading'!$Y$3*'Combined Stress'!X83+'Wind Loading'!$P$69*Y83</f>
        <v>-853253.34135446884</v>
      </c>
      <c r="AA83" s="60" t="e">
        <f>((Z83*'Alternative 3'!K84)/'Alternative 3'!L84)/1000000</f>
        <v>#VALUE!</v>
      </c>
      <c r="AB83" s="60">
        <v>15</v>
      </c>
      <c r="AC83" s="14">
        <f>'Alternative 3'!$B$3+'Alternative 3'!$B$5+('Alternative 2'!$B$39*AB83)</f>
        <v>142338.38929375482</v>
      </c>
      <c r="AD83" s="60" t="e">
        <f>'Alternative 3'!M84</f>
        <v>#VALUE!</v>
      </c>
      <c r="AE83" s="60" t="e">
        <f t="shared" si="34"/>
        <v>#VALUE!</v>
      </c>
      <c r="AF83" s="60" t="e">
        <f t="shared" si="35"/>
        <v>#VALUE!</v>
      </c>
    </row>
    <row r="84" spans="1:32" x14ac:dyDescent="0.25">
      <c r="A84" s="13" t="str">
        <f>IF('Alternative 1'!F85&gt;0,'Alternative 1'!F85,"x")</f>
        <v>x</v>
      </c>
      <c r="B84" s="30">
        <f t="shared" si="22"/>
        <v>0</v>
      </c>
      <c r="C84" s="30">
        <f t="shared" si="23"/>
        <v>0</v>
      </c>
      <c r="D84" s="14">
        <f>'Dynamic Loading'!$I$3*'Combined Stress'!B84+'Wind Loading'!$F$69*C84</f>
        <v>0</v>
      </c>
      <c r="E84" s="14" t="e">
        <f>((D84*'Alternative 1'!K85)/'Alternative 1'!L85)/1000000</f>
        <v>#VALUE!</v>
      </c>
      <c r="F84" s="30">
        <f t="shared" si="24"/>
        <v>0</v>
      </c>
      <c r="G84" s="14">
        <f>IF(F84&gt;0,'Alternative 1'!$B$3+'Alternative 1'!$B$5+('Alternative 1'!$B$39*F84),0)</f>
        <v>0</v>
      </c>
      <c r="H84" s="14" t="e">
        <f>'Alternative 1'!M85</f>
        <v>#VALUE!</v>
      </c>
      <c r="I84" s="14" t="e">
        <f t="shared" si="30"/>
        <v>#VALUE!</v>
      </c>
      <c r="J84" s="14" t="e">
        <f t="shared" si="31"/>
        <v>#VALUE!</v>
      </c>
      <c r="K84" s="286"/>
      <c r="L84" s="13" t="str">
        <f>IF('Alternative 2'!$F85&gt;0,'Alternative 2'!$F85,"x")</f>
        <v>x</v>
      </c>
      <c r="M84" s="30">
        <f t="shared" si="25"/>
        <v>0</v>
      </c>
      <c r="N84" s="30">
        <f t="shared" si="26"/>
        <v>0</v>
      </c>
      <c r="O84" s="14">
        <f>'Dynamic Loading'!$Q$3*'Combined Stress'!M84+'Wind Loading'!$K$69*N84</f>
        <v>0</v>
      </c>
      <c r="P84" s="14" t="e">
        <f>((O84*'Alternative 2'!K85)/'Alternative 2'!L85)/1000000</f>
        <v>#VALUE!</v>
      </c>
      <c r="Q84" s="30">
        <f t="shared" si="27"/>
        <v>0</v>
      </c>
      <c r="R84" s="14">
        <f>'Alternative 2'!$B$3+'Alternative 2'!$B$5+('Alternative 2'!$B$39*Q84)</f>
        <v>14788.4282</v>
      </c>
      <c r="S84" s="14" t="e">
        <f>'Alternative 2'!M85</f>
        <v>#VALUE!</v>
      </c>
      <c r="T84" s="14" t="e">
        <f t="shared" si="32"/>
        <v>#VALUE!</v>
      </c>
      <c r="U84" s="284" t="e">
        <f t="shared" si="33"/>
        <v>#VALUE!</v>
      </c>
      <c r="V84" s="286"/>
      <c r="W84" s="153" t="str">
        <f>'Alternative 3'!F85</f>
        <v>x</v>
      </c>
      <c r="X84" s="59">
        <f t="shared" si="28"/>
        <v>-44.5</v>
      </c>
      <c r="Y84" s="30">
        <f t="shared" si="29"/>
        <v>0</v>
      </c>
      <c r="Z84" s="60">
        <f>'Dynamic Loading'!$Y$3*'Combined Stress'!X84+'Wind Loading'!$P$69*Y84</f>
        <v>-872868.36069595092</v>
      </c>
      <c r="AA84" s="60" t="e">
        <f>((Z84*'Alternative 3'!K85)/'Alternative 3'!L85)/1000000</f>
        <v>#VALUE!</v>
      </c>
      <c r="AB84" s="60">
        <v>16</v>
      </c>
      <c r="AC84" s="14">
        <f>'Alternative 3'!$B$3+'Alternative 3'!$B$5+('Alternative 2'!$B$39*AB84)</f>
        <v>150841.72003333847</v>
      </c>
      <c r="AD84" s="60" t="e">
        <f>'Alternative 3'!M85</f>
        <v>#VALUE!</v>
      </c>
      <c r="AE84" s="60" t="e">
        <f t="shared" si="34"/>
        <v>#VALUE!</v>
      </c>
      <c r="AF84" s="60" t="e">
        <f t="shared" si="35"/>
        <v>#VALUE!</v>
      </c>
    </row>
    <row r="85" spans="1:32" x14ac:dyDescent="0.25">
      <c r="A85" s="13" t="str">
        <f>IF('Alternative 1'!F86&gt;0,'Alternative 1'!F86,"x")</f>
        <v>x</v>
      </c>
      <c r="B85" s="30">
        <f t="shared" si="22"/>
        <v>0</v>
      </c>
      <c r="C85" s="30">
        <f t="shared" si="23"/>
        <v>0</v>
      </c>
      <c r="D85" s="14">
        <f>'Dynamic Loading'!$I$3*'Combined Stress'!B85+'Wind Loading'!$F$69*C85</f>
        <v>0</v>
      </c>
      <c r="E85" s="14" t="e">
        <f>((D85*'Alternative 1'!K86)/'Alternative 1'!L86)/1000000</f>
        <v>#VALUE!</v>
      </c>
      <c r="F85" s="30">
        <f t="shared" si="24"/>
        <v>0</v>
      </c>
      <c r="G85" s="14">
        <f>IF(F85&gt;0,'Alternative 1'!$B$3+'Alternative 1'!$B$5+('Alternative 1'!$B$39*F85),0)</f>
        <v>0</v>
      </c>
      <c r="H85" s="14" t="e">
        <f>'Alternative 1'!M86</f>
        <v>#VALUE!</v>
      </c>
      <c r="I85" s="14" t="e">
        <f t="shared" si="30"/>
        <v>#VALUE!</v>
      </c>
      <c r="J85" s="14" t="e">
        <f t="shared" si="31"/>
        <v>#VALUE!</v>
      </c>
      <c r="K85" s="286"/>
      <c r="L85" s="13" t="str">
        <f>IF('Alternative 2'!$F86&gt;0,'Alternative 2'!$F86,"x")</f>
        <v>x</v>
      </c>
      <c r="M85" s="30">
        <f t="shared" si="25"/>
        <v>0</v>
      </c>
      <c r="N85" s="30">
        <f t="shared" si="26"/>
        <v>0</v>
      </c>
      <c r="O85" s="14">
        <f>'Dynamic Loading'!$Q$3*'Combined Stress'!M85+'Wind Loading'!$K$69*N85</f>
        <v>0</v>
      </c>
      <c r="P85" s="14" t="e">
        <f>((O85*'Alternative 2'!K86)/'Alternative 2'!L86)/1000000</f>
        <v>#VALUE!</v>
      </c>
      <c r="Q85" s="30">
        <f t="shared" si="27"/>
        <v>0</v>
      </c>
      <c r="R85" s="14">
        <f>'Alternative 2'!$B$3+'Alternative 2'!$B$5+('Alternative 2'!$B$39*Q85)</f>
        <v>14788.4282</v>
      </c>
      <c r="S85" s="14" t="e">
        <f>'Alternative 2'!M86</f>
        <v>#VALUE!</v>
      </c>
      <c r="T85" s="14" t="e">
        <f t="shared" si="32"/>
        <v>#VALUE!</v>
      </c>
      <c r="U85" s="284" t="e">
        <f t="shared" si="33"/>
        <v>#VALUE!</v>
      </c>
      <c r="V85" s="286"/>
      <c r="W85" s="153" t="str">
        <f>'Alternative 3'!F86</f>
        <v>x</v>
      </c>
      <c r="X85" s="59">
        <f t="shared" si="28"/>
        <v>-45.5</v>
      </c>
      <c r="Y85" s="30">
        <f t="shared" si="29"/>
        <v>0</v>
      </c>
      <c r="Z85" s="60">
        <f>'Dynamic Loading'!$Y$3*'Combined Stress'!X85+'Wind Loading'!$P$69*Y85</f>
        <v>-892483.38003743289</v>
      </c>
      <c r="AA85" s="60" t="e">
        <f>((Z85*'Alternative 3'!K86)/'Alternative 3'!L86)/1000000</f>
        <v>#VALUE!</v>
      </c>
      <c r="AB85" s="60">
        <v>17</v>
      </c>
      <c r="AC85" s="14">
        <f>'Alternative 3'!$B$3+'Alternative 3'!$B$5+('Alternative 2'!$B$39*AB85)</f>
        <v>159345.05077292211</v>
      </c>
      <c r="AD85" s="60" t="e">
        <f>'Alternative 3'!M86</f>
        <v>#VALUE!</v>
      </c>
      <c r="AE85" s="60" t="e">
        <f t="shared" si="34"/>
        <v>#VALUE!</v>
      </c>
      <c r="AF85" s="60" t="e">
        <f t="shared" si="35"/>
        <v>#VALUE!</v>
      </c>
    </row>
    <row r="86" spans="1:32" x14ac:dyDescent="0.25">
      <c r="A86" s="13" t="str">
        <f>IF('Alternative 1'!F87&gt;0,'Alternative 1'!F87,"x")</f>
        <v>x</v>
      </c>
      <c r="B86" s="30">
        <f t="shared" si="22"/>
        <v>0</v>
      </c>
      <c r="C86" s="30">
        <f t="shared" si="23"/>
        <v>0</v>
      </c>
      <c r="D86" s="14">
        <f>'Dynamic Loading'!$I$3*'Combined Stress'!B86+'Wind Loading'!$F$69*C86</f>
        <v>0</v>
      </c>
      <c r="E86" s="14" t="e">
        <f>((D86*'Alternative 1'!K87)/'Alternative 1'!L87)/1000000</f>
        <v>#VALUE!</v>
      </c>
      <c r="F86" s="30">
        <f t="shared" si="24"/>
        <v>0</v>
      </c>
      <c r="G86" s="14">
        <f>IF(F86&gt;0,'Alternative 1'!$B$3+'Alternative 1'!$B$5+('Alternative 1'!$B$39*F86),0)</f>
        <v>0</v>
      </c>
      <c r="H86" s="14" t="e">
        <f>'Alternative 1'!M87</f>
        <v>#VALUE!</v>
      </c>
      <c r="I86" s="14" t="e">
        <f t="shared" si="30"/>
        <v>#VALUE!</v>
      </c>
      <c r="J86" s="14" t="e">
        <f t="shared" si="31"/>
        <v>#VALUE!</v>
      </c>
      <c r="K86" s="286"/>
      <c r="L86" s="13" t="str">
        <f>IF('Alternative 2'!$F87&gt;0,'Alternative 2'!$F87,"x")</f>
        <v>x</v>
      </c>
      <c r="M86" s="30">
        <f t="shared" si="25"/>
        <v>0</v>
      </c>
      <c r="N86" s="30">
        <f t="shared" si="26"/>
        <v>0</v>
      </c>
      <c r="O86" s="14">
        <f>'Dynamic Loading'!$Q$3*'Combined Stress'!M86+'Wind Loading'!$K$69*N86</f>
        <v>0</v>
      </c>
      <c r="P86" s="14" t="e">
        <f>((O86*'Alternative 2'!K87)/'Alternative 2'!L87)/1000000</f>
        <v>#VALUE!</v>
      </c>
      <c r="Q86" s="30">
        <f t="shared" si="27"/>
        <v>0</v>
      </c>
      <c r="R86" s="14">
        <f>'Alternative 2'!$B$3+'Alternative 2'!$B$5+('Alternative 2'!$B$39*Q86)</f>
        <v>14788.4282</v>
      </c>
      <c r="S86" s="14" t="e">
        <f>'Alternative 2'!M87</f>
        <v>#VALUE!</v>
      </c>
      <c r="T86" s="14" t="e">
        <f t="shared" si="32"/>
        <v>#VALUE!</v>
      </c>
      <c r="U86" s="284" t="e">
        <f t="shared" si="33"/>
        <v>#VALUE!</v>
      </c>
      <c r="V86" s="286"/>
      <c r="W86" s="153" t="str">
        <f>'Alternative 3'!F87</f>
        <v>x</v>
      </c>
      <c r="X86" s="59">
        <f t="shared" si="28"/>
        <v>-46.5</v>
      </c>
      <c r="Y86" s="30">
        <f t="shared" si="29"/>
        <v>0</v>
      </c>
      <c r="Z86" s="60">
        <f>'Dynamic Loading'!$Y$3*'Combined Stress'!X86+'Wind Loading'!$P$69*Y86</f>
        <v>-912098.39937891497</v>
      </c>
      <c r="AA86" s="60" t="e">
        <f>((Z86*'Alternative 3'!K87)/'Alternative 3'!L87)/1000000</f>
        <v>#VALUE!</v>
      </c>
      <c r="AB86" s="60">
        <v>18</v>
      </c>
      <c r="AC86" s="14">
        <f>'Alternative 3'!$B$3+'Alternative 3'!$B$5+('Alternative 2'!$B$39*AB86)</f>
        <v>167848.38151250579</v>
      </c>
      <c r="AD86" s="60" t="e">
        <f>'Alternative 3'!M87</f>
        <v>#VALUE!</v>
      </c>
      <c r="AE86" s="60" t="e">
        <f t="shared" si="34"/>
        <v>#VALUE!</v>
      </c>
      <c r="AF86" s="60" t="e">
        <f t="shared" si="35"/>
        <v>#VALUE!</v>
      </c>
    </row>
    <row r="87" spans="1:32" x14ac:dyDescent="0.25">
      <c r="A87" s="13" t="str">
        <f>IF('Alternative 1'!F88&gt;0,'Alternative 1'!F88,"x")</f>
        <v>x</v>
      </c>
      <c r="B87" s="30">
        <f t="shared" si="22"/>
        <v>0</v>
      </c>
      <c r="C87" s="30">
        <f t="shared" si="23"/>
        <v>0</v>
      </c>
      <c r="D87" s="14">
        <f>'Dynamic Loading'!$I$3*'Combined Stress'!B87+'Wind Loading'!$F$69*C87</f>
        <v>0</v>
      </c>
      <c r="E87" s="14" t="e">
        <f>((D87*'Alternative 1'!K88)/'Alternative 1'!L88)/1000000</f>
        <v>#VALUE!</v>
      </c>
      <c r="F87" s="30">
        <f t="shared" si="24"/>
        <v>0</v>
      </c>
      <c r="G87" s="14">
        <f>IF(F87&gt;0,'Alternative 1'!$B$3+'Alternative 1'!$B$5+('Alternative 1'!$B$39*F87),0)</f>
        <v>0</v>
      </c>
      <c r="H87" s="14" t="e">
        <f>'Alternative 1'!M88</f>
        <v>#VALUE!</v>
      </c>
      <c r="I87" s="14" t="e">
        <f t="shared" si="30"/>
        <v>#VALUE!</v>
      </c>
      <c r="J87" s="14" t="e">
        <f t="shared" si="31"/>
        <v>#VALUE!</v>
      </c>
      <c r="K87" s="286"/>
      <c r="L87" s="13" t="str">
        <f>IF('Alternative 2'!$F88&gt;0,'Alternative 2'!$F88,"x")</f>
        <v>x</v>
      </c>
      <c r="M87" s="30">
        <f t="shared" si="25"/>
        <v>0</v>
      </c>
      <c r="N87" s="30">
        <f t="shared" si="26"/>
        <v>0</v>
      </c>
      <c r="O87" s="14">
        <f>'Dynamic Loading'!$Q$3*'Combined Stress'!M87+'Wind Loading'!$K$69*N87</f>
        <v>0</v>
      </c>
      <c r="P87" s="14" t="e">
        <f>((O87*'Alternative 2'!K88)/'Alternative 2'!L88)/1000000</f>
        <v>#VALUE!</v>
      </c>
      <c r="Q87" s="30">
        <f t="shared" si="27"/>
        <v>0</v>
      </c>
      <c r="R87" s="14">
        <f>'Alternative 2'!$B$3+'Alternative 2'!$B$5+('Alternative 2'!$B$39*Q87)</f>
        <v>14788.4282</v>
      </c>
      <c r="S87" s="14" t="e">
        <f>'Alternative 2'!M88</f>
        <v>#VALUE!</v>
      </c>
      <c r="T87" s="14" t="e">
        <f t="shared" si="32"/>
        <v>#VALUE!</v>
      </c>
      <c r="U87" s="284" t="e">
        <f t="shared" si="33"/>
        <v>#VALUE!</v>
      </c>
      <c r="V87" s="286"/>
      <c r="W87" s="153" t="str">
        <f>'Alternative 3'!F88</f>
        <v>x</v>
      </c>
      <c r="X87" s="59">
        <f t="shared" si="28"/>
        <v>-47.5</v>
      </c>
      <c r="Y87" s="30">
        <f t="shared" si="29"/>
        <v>0</v>
      </c>
      <c r="Z87" s="60">
        <f>'Dynamic Loading'!$Y$3*'Combined Stress'!X87+'Wind Loading'!$P$69*Y87</f>
        <v>-931713.41872039705</v>
      </c>
      <c r="AA87" s="60" t="e">
        <f>((Z87*'Alternative 3'!K88)/'Alternative 3'!L88)/1000000</f>
        <v>#VALUE!</v>
      </c>
      <c r="AB87" s="60">
        <v>19</v>
      </c>
      <c r="AC87" s="14">
        <f>'Alternative 3'!$B$3+'Alternative 3'!$B$5+('Alternative 2'!$B$39*AB87)</f>
        <v>176351.71225208943</v>
      </c>
      <c r="AD87" s="60" t="e">
        <f>'Alternative 3'!M88</f>
        <v>#VALUE!</v>
      </c>
      <c r="AE87" s="60" t="e">
        <f t="shared" ref="AE87:AE92" si="36">(AC87/AD87)/1000000</f>
        <v>#VALUE!</v>
      </c>
      <c r="AF87" s="60" t="e">
        <f t="shared" ref="AF87:AF92" si="37">AE87+AA87</f>
        <v>#VALUE!</v>
      </c>
    </row>
    <row r="88" spans="1:32" x14ac:dyDescent="0.25">
      <c r="A88" s="13" t="str">
        <f>IF('Alternative 1'!F89&gt;0,'Alternative 1'!F89,"x")</f>
        <v>x</v>
      </c>
      <c r="B88" s="30">
        <f t="shared" si="22"/>
        <v>0</v>
      </c>
      <c r="C88" s="30">
        <f t="shared" si="23"/>
        <v>0</v>
      </c>
      <c r="D88" s="14">
        <f>'Dynamic Loading'!$I$3*'Combined Stress'!B88+'Wind Loading'!$F$69*C88</f>
        <v>0</v>
      </c>
      <c r="E88" s="14" t="e">
        <f>((D88*'Alternative 1'!K89)/'Alternative 1'!L89)/1000000</f>
        <v>#VALUE!</v>
      </c>
      <c r="F88" s="30">
        <f t="shared" si="24"/>
        <v>0</v>
      </c>
      <c r="G88" s="14">
        <f>IF(F88&gt;0,'Alternative 1'!$B$3+'Alternative 1'!$B$5+('Alternative 1'!$B$39*F88),0)</f>
        <v>0</v>
      </c>
      <c r="H88" s="14" t="e">
        <f>'Alternative 1'!M89</f>
        <v>#VALUE!</v>
      </c>
      <c r="I88" s="14" t="e">
        <f t="shared" si="30"/>
        <v>#VALUE!</v>
      </c>
      <c r="J88" s="14" t="e">
        <f t="shared" si="31"/>
        <v>#VALUE!</v>
      </c>
      <c r="K88" s="286"/>
      <c r="L88" s="13" t="str">
        <f>IF('Alternative 2'!$F89&gt;0,'Alternative 2'!$F89,"x")</f>
        <v>x</v>
      </c>
      <c r="M88" s="30">
        <f t="shared" si="25"/>
        <v>0</v>
      </c>
      <c r="N88" s="30">
        <f t="shared" si="26"/>
        <v>0</v>
      </c>
      <c r="O88" s="14">
        <f>'Dynamic Loading'!$Q$3*'Combined Stress'!M88+'Wind Loading'!$K$69*N88</f>
        <v>0</v>
      </c>
      <c r="P88" s="14" t="e">
        <f>((O88*'Alternative 2'!K89)/'Alternative 2'!L89)/1000000</f>
        <v>#VALUE!</v>
      </c>
      <c r="Q88" s="30">
        <f t="shared" si="27"/>
        <v>0</v>
      </c>
      <c r="R88" s="14">
        <f>'Alternative 2'!$B$3+'Alternative 2'!$B$5+('Alternative 2'!$B$39*Q88)</f>
        <v>14788.4282</v>
      </c>
      <c r="S88" s="14" t="e">
        <f>'Alternative 2'!M89</f>
        <v>#VALUE!</v>
      </c>
      <c r="T88" s="14" t="e">
        <f t="shared" si="32"/>
        <v>#VALUE!</v>
      </c>
      <c r="U88" s="284" t="e">
        <f t="shared" si="33"/>
        <v>#VALUE!</v>
      </c>
      <c r="V88" s="286"/>
      <c r="W88" s="153" t="str">
        <f>'Alternative 3'!F89</f>
        <v>x</v>
      </c>
      <c r="X88" s="59">
        <f t="shared" si="28"/>
        <v>-48.5</v>
      </c>
      <c r="Y88" s="30">
        <f t="shared" si="29"/>
        <v>0</v>
      </c>
      <c r="Z88" s="60">
        <f>'Dynamic Loading'!$Y$3*'Combined Stress'!X88+'Wind Loading'!$P$69*Y88</f>
        <v>-951328.43806187902</v>
      </c>
      <c r="AA88" s="60" t="e">
        <f>((Z88*'Alternative 3'!K89)/'Alternative 3'!L89)/1000000</f>
        <v>#VALUE!</v>
      </c>
      <c r="AB88" s="60">
        <v>20</v>
      </c>
      <c r="AC88" s="14">
        <f>'Alternative 3'!$B$3+'Alternative 3'!$B$5+('Alternative 2'!$B$39*AB88)</f>
        <v>184855.04299167308</v>
      </c>
      <c r="AD88" s="60" t="e">
        <f>'Alternative 3'!M89</f>
        <v>#VALUE!</v>
      </c>
      <c r="AE88" s="60" t="e">
        <f t="shared" si="36"/>
        <v>#VALUE!</v>
      </c>
      <c r="AF88" s="60" t="e">
        <f t="shared" si="37"/>
        <v>#VALUE!</v>
      </c>
    </row>
    <row r="89" spans="1:32" x14ac:dyDescent="0.25">
      <c r="A89" s="13" t="str">
        <f>IF('Alternative 1'!F90&gt;0,'Alternative 1'!F90,"x")</f>
        <v>x</v>
      </c>
      <c r="B89" s="30">
        <f t="shared" si="22"/>
        <v>0</v>
      </c>
      <c r="C89" s="30">
        <f t="shared" si="23"/>
        <v>0</v>
      </c>
      <c r="D89" s="14">
        <f>'Dynamic Loading'!$I$3*'Combined Stress'!B89+'Wind Loading'!$F$69*C89</f>
        <v>0</v>
      </c>
      <c r="E89" s="14" t="e">
        <f>((D89*'Alternative 1'!K90)/'Alternative 1'!L90)/1000000</f>
        <v>#VALUE!</v>
      </c>
      <c r="F89" s="30">
        <f t="shared" si="24"/>
        <v>0</v>
      </c>
      <c r="G89" s="14">
        <f>IF(F89&gt;0,'Alternative 1'!$B$3+'Alternative 1'!$B$5+('Alternative 1'!$B$39*F89),0)</f>
        <v>0</v>
      </c>
      <c r="H89" s="14" t="e">
        <f>'Alternative 1'!M90</f>
        <v>#VALUE!</v>
      </c>
      <c r="I89" s="14" t="e">
        <f t="shared" si="30"/>
        <v>#VALUE!</v>
      </c>
      <c r="J89" s="14" t="e">
        <f t="shared" si="31"/>
        <v>#VALUE!</v>
      </c>
      <c r="K89" s="286"/>
      <c r="L89" s="13" t="str">
        <f>IF('Alternative 2'!$F90&gt;0,'Alternative 2'!$F90,"x")</f>
        <v>x</v>
      </c>
      <c r="M89" s="30">
        <f t="shared" si="25"/>
        <v>0</v>
      </c>
      <c r="N89" s="30">
        <f t="shared" si="26"/>
        <v>0</v>
      </c>
      <c r="O89" s="14">
        <f>'Dynamic Loading'!$Q$3*'Combined Stress'!M89+'Wind Loading'!$K$69*N89</f>
        <v>0</v>
      </c>
      <c r="P89" s="14" t="e">
        <f>((O89*'Alternative 2'!K90)/'Alternative 2'!L90)/1000000</f>
        <v>#VALUE!</v>
      </c>
      <c r="Q89" s="30">
        <f t="shared" si="27"/>
        <v>0</v>
      </c>
      <c r="R89" s="14">
        <f>'Alternative 2'!$B$3+'Alternative 2'!$B$5+('Alternative 2'!$B$39*Q89)</f>
        <v>14788.4282</v>
      </c>
      <c r="S89" s="14" t="e">
        <f>'Alternative 2'!M90</f>
        <v>#VALUE!</v>
      </c>
      <c r="T89" s="14" t="e">
        <f t="shared" si="32"/>
        <v>#VALUE!</v>
      </c>
      <c r="U89" s="284" t="e">
        <f t="shared" si="33"/>
        <v>#VALUE!</v>
      </c>
      <c r="V89" s="286"/>
      <c r="W89" s="153" t="str">
        <f>'Alternative 3'!F90</f>
        <v>x</v>
      </c>
      <c r="X89" s="59">
        <f t="shared" si="28"/>
        <v>-49.5</v>
      </c>
      <c r="Y89" s="30">
        <f t="shared" si="29"/>
        <v>0</v>
      </c>
      <c r="Z89" s="60">
        <f>'Dynamic Loading'!$Y$3*'Combined Stress'!X89+'Wind Loading'!$P$69*Y89</f>
        <v>-970943.4574033611</v>
      </c>
      <c r="AA89" s="60" t="e">
        <f>((Z89*'Alternative 3'!K90)/'Alternative 3'!L90)/1000000</f>
        <v>#VALUE!</v>
      </c>
      <c r="AB89" s="60">
        <v>21</v>
      </c>
      <c r="AC89" s="14">
        <f>'Alternative 3'!$B$3+'Alternative 3'!$B$5+('Alternative 2'!$B$39*AB89)</f>
        <v>193358.37373125675</v>
      </c>
      <c r="AD89" s="60" t="e">
        <f>'Alternative 3'!M90</f>
        <v>#VALUE!</v>
      </c>
      <c r="AE89" s="60" t="e">
        <f t="shared" si="36"/>
        <v>#VALUE!</v>
      </c>
      <c r="AF89" s="60" t="e">
        <f t="shared" si="37"/>
        <v>#VALUE!</v>
      </c>
    </row>
    <row r="90" spans="1:32" x14ac:dyDescent="0.25">
      <c r="A90" s="13" t="str">
        <f>IF('Alternative 1'!F91&gt;0,'Alternative 1'!F91,"x")</f>
        <v>x</v>
      </c>
      <c r="B90" s="30">
        <f t="shared" si="22"/>
        <v>0</v>
      </c>
      <c r="C90" s="30">
        <f t="shared" si="23"/>
        <v>0</v>
      </c>
      <c r="D90" s="14">
        <f>'Dynamic Loading'!$I$3*'Combined Stress'!B90+'Wind Loading'!$F$69*C90</f>
        <v>0</v>
      </c>
      <c r="E90" s="14" t="e">
        <f>((D90*'Alternative 1'!K91)/'Alternative 1'!L91)/1000000</f>
        <v>#VALUE!</v>
      </c>
      <c r="F90" s="30">
        <f t="shared" si="24"/>
        <v>0</v>
      </c>
      <c r="G90" s="14">
        <f>IF(F90&gt;0,'Alternative 1'!$B$3+'Alternative 1'!$B$5+('Alternative 1'!$B$39*F90),0)</f>
        <v>0</v>
      </c>
      <c r="H90" s="14" t="e">
        <f>'Alternative 1'!M91</f>
        <v>#VALUE!</v>
      </c>
      <c r="I90" s="14" t="e">
        <f t="shared" si="30"/>
        <v>#VALUE!</v>
      </c>
      <c r="J90" s="14" t="e">
        <f t="shared" si="31"/>
        <v>#VALUE!</v>
      </c>
      <c r="K90" s="286"/>
      <c r="L90" s="13" t="str">
        <f>IF('Alternative 2'!$F91&gt;0,'Alternative 2'!$F91,"x")</f>
        <v>x</v>
      </c>
      <c r="M90" s="30">
        <f t="shared" si="25"/>
        <v>0</v>
      </c>
      <c r="N90" s="30">
        <f t="shared" si="26"/>
        <v>0</v>
      </c>
      <c r="O90" s="14">
        <f>'Dynamic Loading'!$Q$3*'Combined Stress'!M90+'Wind Loading'!$K$69*N90</f>
        <v>0</v>
      </c>
      <c r="P90" s="14" t="e">
        <f>((O90*'Alternative 2'!K91)/'Alternative 2'!L91)/1000000</f>
        <v>#VALUE!</v>
      </c>
      <c r="Q90" s="30">
        <f t="shared" si="27"/>
        <v>0</v>
      </c>
      <c r="R90" s="14">
        <f>'Alternative 2'!$B$3+'Alternative 2'!$B$5+('Alternative 2'!$B$39*Q90)</f>
        <v>14788.4282</v>
      </c>
      <c r="S90" s="14" t="e">
        <f>'Alternative 2'!M91</f>
        <v>#VALUE!</v>
      </c>
      <c r="T90" s="14" t="e">
        <f t="shared" si="32"/>
        <v>#VALUE!</v>
      </c>
      <c r="U90" s="284" t="e">
        <f t="shared" si="33"/>
        <v>#VALUE!</v>
      </c>
      <c r="V90" s="286"/>
      <c r="W90" s="153" t="str">
        <f>'Alternative 3'!F91</f>
        <v>x</v>
      </c>
      <c r="X90" s="59">
        <f t="shared" si="28"/>
        <v>-50.5</v>
      </c>
      <c r="Y90" s="30">
        <f t="shared" si="29"/>
        <v>0</v>
      </c>
      <c r="Z90" s="60">
        <f>'Dynamic Loading'!$Y$3*'Combined Stress'!X90+'Wind Loading'!$P$69*Y90</f>
        <v>-990558.47674484318</v>
      </c>
      <c r="AA90" s="60" t="e">
        <f>((Z90*'Alternative 3'!K91)/'Alternative 3'!L91)/1000000</f>
        <v>#VALUE!</v>
      </c>
      <c r="AB90" s="60">
        <v>22</v>
      </c>
      <c r="AC90" s="14">
        <f>'Alternative 3'!$B$3+'Alternative 3'!$B$5+('Alternative 2'!$B$39*AB90)</f>
        <v>201861.7044708404</v>
      </c>
      <c r="AD90" s="60" t="e">
        <f>'Alternative 3'!M91</f>
        <v>#VALUE!</v>
      </c>
      <c r="AE90" s="60" t="e">
        <f t="shared" si="36"/>
        <v>#VALUE!</v>
      </c>
      <c r="AF90" s="60" t="e">
        <f t="shared" si="37"/>
        <v>#VALUE!</v>
      </c>
    </row>
    <row r="91" spans="1:32" x14ac:dyDescent="0.25">
      <c r="A91" s="13" t="str">
        <f>IF('Alternative 1'!F92&gt;0,'Alternative 1'!F92,"x")</f>
        <v>x</v>
      </c>
      <c r="B91" s="30">
        <f t="shared" si="22"/>
        <v>0</v>
      </c>
      <c r="C91" s="30">
        <f t="shared" si="23"/>
        <v>0</v>
      </c>
      <c r="D91" s="14">
        <f>'Dynamic Loading'!$I$3*'Combined Stress'!B91+'Wind Loading'!$F$69*C91</f>
        <v>0</v>
      </c>
      <c r="E91" s="14" t="e">
        <f>((D91*'Alternative 1'!K92)/'Alternative 1'!L92)/1000000</f>
        <v>#VALUE!</v>
      </c>
      <c r="F91" s="30">
        <f t="shared" si="24"/>
        <v>0</v>
      </c>
      <c r="G91" s="14">
        <f>IF(F91&gt;0,'Alternative 1'!$B$3+'Alternative 1'!$B$5+('Alternative 1'!$B$39*F91),0)</f>
        <v>0</v>
      </c>
      <c r="H91" s="14" t="e">
        <f>'Alternative 1'!M92</f>
        <v>#VALUE!</v>
      </c>
      <c r="I91" s="14" t="e">
        <f t="shared" si="30"/>
        <v>#VALUE!</v>
      </c>
      <c r="J91" s="14" t="e">
        <f t="shared" si="31"/>
        <v>#VALUE!</v>
      </c>
      <c r="K91" s="286"/>
      <c r="L91" s="13" t="str">
        <f>IF('Alternative 2'!$F92&gt;0,'Alternative 2'!$F92,"x")</f>
        <v>x</v>
      </c>
      <c r="M91" s="30">
        <f t="shared" si="25"/>
        <v>0</v>
      </c>
      <c r="N91" s="30">
        <f t="shared" si="26"/>
        <v>0</v>
      </c>
      <c r="O91" s="14">
        <f>'Dynamic Loading'!$Q$3*'Combined Stress'!M91+'Wind Loading'!$K$69*N91</f>
        <v>0</v>
      </c>
      <c r="P91" s="14" t="e">
        <f>((O91*'Alternative 2'!K92)/'Alternative 2'!L92)/1000000</f>
        <v>#VALUE!</v>
      </c>
      <c r="Q91" s="30">
        <f t="shared" si="27"/>
        <v>0</v>
      </c>
      <c r="R91" s="14">
        <f>'Alternative 2'!$B$3+'Alternative 2'!$B$5+('Alternative 2'!$B$39*Q91)</f>
        <v>14788.4282</v>
      </c>
      <c r="S91" s="14" t="e">
        <f>'Alternative 2'!M92</f>
        <v>#VALUE!</v>
      </c>
      <c r="T91" s="14" t="e">
        <f t="shared" si="32"/>
        <v>#VALUE!</v>
      </c>
      <c r="U91" s="284" t="e">
        <f t="shared" si="33"/>
        <v>#VALUE!</v>
      </c>
      <c r="V91" s="286"/>
      <c r="W91" s="153" t="str">
        <f>'Alternative 3'!F92</f>
        <v>x</v>
      </c>
      <c r="X91" s="59">
        <f t="shared" si="28"/>
        <v>-51.5</v>
      </c>
      <c r="Y91" s="30">
        <f t="shared" si="29"/>
        <v>0</v>
      </c>
      <c r="Z91" s="60">
        <f>'Dynamic Loading'!$Y$3*'Combined Stress'!X91+'Wind Loading'!$P$69*Y91</f>
        <v>-1010173.4960863251</v>
      </c>
      <c r="AA91" s="60" t="e">
        <f>((Z91*'Alternative 3'!K92)/'Alternative 3'!L92)/1000000</f>
        <v>#VALUE!</v>
      </c>
      <c r="AB91" s="60">
        <v>23</v>
      </c>
      <c r="AC91" s="14">
        <f>'Alternative 3'!$B$3+'Alternative 3'!$B$5+('Alternative 2'!$B$39*AB91)</f>
        <v>210365.03521042404</v>
      </c>
      <c r="AD91" s="60" t="e">
        <f>'Alternative 3'!M92</f>
        <v>#VALUE!</v>
      </c>
      <c r="AE91" s="60" t="e">
        <f t="shared" si="36"/>
        <v>#VALUE!</v>
      </c>
      <c r="AF91" s="60" t="e">
        <f t="shared" si="37"/>
        <v>#VALUE!</v>
      </c>
    </row>
    <row r="92" spans="1:32" x14ac:dyDescent="0.25">
      <c r="A92" s="13" t="str">
        <f>IF('Alternative 1'!F93&gt;0,'Alternative 1'!F93,"x")</f>
        <v>x</v>
      </c>
      <c r="B92" s="30">
        <f t="shared" si="22"/>
        <v>0</v>
      </c>
      <c r="C92" s="30">
        <f t="shared" si="23"/>
        <v>0</v>
      </c>
      <c r="D92" s="14">
        <f>'Dynamic Loading'!$I$3*'Combined Stress'!B92+'Wind Loading'!$F$69*C92</f>
        <v>0</v>
      </c>
      <c r="E92" s="14" t="e">
        <f>((D92*'Alternative 1'!K93)/'Alternative 1'!L93)/1000000</f>
        <v>#VALUE!</v>
      </c>
      <c r="F92" s="30">
        <f t="shared" si="24"/>
        <v>0</v>
      </c>
      <c r="G92" s="14">
        <f>IF(F92&gt;0,'Alternative 1'!$B$3+'Alternative 1'!$B$5+('Alternative 1'!$B$39*F92),0)</f>
        <v>0</v>
      </c>
      <c r="H92" s="14" t="e">
        <f>'Alternative 1'!M93</f>
        <v>#VALUE!</v>
      </c>
      <c r="I92" s="14" t="e">
        <f t="shared" si="30"/>
        <v>#VALUE!</v>
      </c>
      <c r="J92" s="14" t="e">
        <f t="shared" si="31"/>
        <v>#VALUE!</v>
      </c>
      <c r="K92" s="286"/>
      <c r="L92" s="13" t="str">
        <f>IF('Alternative 2'!$F93&gt;0,'Alternative 2'!$F93,"x")</f>
        <v>x</v>
      </c>
      <c r="M92" s="30">
        <f t="shared" si="25"/>
        <v>0</v>
      </c>
      <c r="N92" s="30">
        <f t="shared" si="26"/>
        <v>0</v>
      </c>
      <c r="O92" s="14">
        <f>'Dynamic Loading'!$Q$3*'Combined Stress'!M92+'Wind Loading'!$K$69*N92</f>
        <v>0</v>
      </c>
      <c r="P92" s="14" t="e">
        <f>((O92*'Alternative 2'!K93)/'Alternative 2'!L93)/1000000</f>
        <v>#VALUE!</v>
      </c>
      <c r="Q92" s="30">
        <f t="shared" si="27"/>
        <v>0</v>
      </c>
      <c r="R92" s="14">
        <f>'Alternative 2'!$B$3+'Alternative 2'!$B$5+('Alternative 2'!$B$39*Q92)</f>
        <v>14788.4282</v>
      </c>
      <c r="S92" s="14" t="e">
        <f>'Alternative 2'!M93</f>
        <v>#VALUE!</v>
      </c>
      <c r="T92" s="14" t="e">
        <f t="shared" si="32"/>
        <v>#VALUE!</v>
      </c>
      <c r="U92" s="284" t="e">
        <f t="shared" si="33"/>
        <v>#VALUE!</v>
      </c>
      <c r="V92" s="286"/>
      <c r="W92" s="153" t="str">
        <f>'Alternative 3'!F93</f>
        <v>x</v>
      </c>
      <c r="X92" s="59">
        <f t="shared" si="28"/>
        <v>-52.5</v>
      </c>
      <c r="Y92" s="30">
        <f t="shared" si="29"/>
        <v>0</v>
      </c>
      <c r="Z92" s="60">
        <f>'Dynamic Loading'!$Y$3*'Combined Stress'!X92+'Wind Loading'!$P$69*Y92</f>
        <v>-1029788.5154278072</v>
      </c>
      <c r="AA92" s="60" t="e">
        <f>((Z92*'Alternative 3'!K93)/'Alternative 3'!L93)/1000000</f>
        <v>#VALUE!</v>
      </c>
      <c r="AB92" s="60">
        <v>24</v>
      </c>
      <c r="AC92" s="14">
        <f>'Alternative 3'!$B$3+'Alternative 3'!$B$5+('Alternative 2'!$B$39*AB92)</f>
        <v>218868.36595000772</v>
      </c>
      <c r="AD92" s="60" t="e">
        <f>'Alternative 3'!M93</f>
        <v>#VALUE!</v>
      </c>
      <c r="AE92" s="60" t="e">
        <f t="shared" si="36"/>
        <v>#VALUE!</v>
      </c>
      <c r="AF92" s="60" t="e">
        <f t="shared" si="37"/>
        <v>#VALUE!</v>
      </c>
    </row>
    <row r="93" spans="1:32" x14ac:dyDescent="0.25">
      <c r="A93" s="13"/>
      <c r="L93" s="13"/>
    </row>
    <row r="103" ht="13.9" customHeight="1" x14ac:dyDescent="0.25"/>
  </sheetData>
  <customSheetViews>
    <customSheetView guid="{73608749-DAD6-470A-871E-DA0A326E9E7B}" scale="80" topLeftCell="V1">
      <selection activeCell="AE3" sqref="AE3"/>
      <pageMargins left="0.7" right="0.7" top="0.75" bottom="0.75" header="0.3" footer="0.3"/>
      <pageSetup orientation="portrait" r:id="rId1"/>
    </customSheetView>
  </customSheetViews>
  <mergeCells count="4">
    <mergeCell ref="W1:AF1"/>
    <mergeCell ref="A1:J1"/>
    <mergeCell ref="V1:V92"/>
    <mergeCell ref="K1:K92"/>
  </mergeCell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IE94"/>
  <sheetViews>
    <sheetView topLeftCell="B31" zoomScale="70" zoomScaleNormal="70" workbookViewId="0">
      <pane xSplit="1" topLeftCell="C1" activePane="topRight" state="frozen"/>
      <selection activeCell="B1" sqref="B1"/>
      <selection pane="topRight" activeCell="I8" sqref="I8"/>
    </sheetView>
  </sheetViews>
  <sheetFormatPr defaultColWidth="9.140625" defaultRowHeight="51.75" customHeight="1" x14ac:dyDescent="0.25"/>
  <cols>
    <col min="1" max="1" width="12.7109375" style="26" hidden="1" customWidth="1"/>
    <col min="2" max="2" width="8.42578125" style="26" bestFit="1" customWidth="1"/>
    <col min="3" max="3" width="4.28515625" style="12" customWidth="1"/>
    <col min="4" max="4" width="8.85546875" style="26" bestFit="1" customWidth="1"/>
    <col min="5" max="5" width="13" style="26" bestFit="1" customWidth="1"/>
    <col min="6" max="6" width="10" style="26" bestFit="1" customWidth="1"/>
    <col min="7" max="7" width="17" style="12" bestFit="1" customWidth="1"/>
    <col min="8" max="8" width="4.140625" style="12" customWidth="1"/>
    <col min="9" max="9" width="8.42578125" style="17" bestFit="1" customWidth="1"/>
    <col min="10" max="10" width="8.85546875" style="12" bestFit="1" customWidth="1"/>
    <col min="11" max="11" width="13" style="12" bestFit="1" customWidth="1"/>
    <col min="12" max="12" width="10" style="12" bestFit="1" customWidth="1"/>
    <col min="13" max="13" width="17" style="12" bestFit="1" customWidth="1"/>
    <col min="14" max="14" width="4.140625" style="12" customWidth="1"/>
    <col min="15" max="15" width="8.42578125" style="17" bestFit="1" customWidth="1"/>
    <col min="16" max="16" width="8.85546875" style="12" bestFit="1" customWidth="1"/>
    <col min="17" max="17" width="13" style="12" bestFit="1" customWidth="1"/>
    <col min="18" max="18" width="10" style="12" bestFit="1" customWidth="1"/>
    <col min="19" max="19" width="15.7109375" style="12" bestFit="1" customWidth="1"/>
    <col min="20" max="16384" width="9.140625" style="10"/>
  </cols>
  <sheetData>
    <row r="1" spans="1:239" ht="36.75" customHeight="1" x14ac:dyDescent="0.25">
      <c r="A1" s="287" t="s">
        <v>120</v>
      </c>
      <c r="B1" s="288"/>
      <c r="C1" s="261"/>
      <c r="D1" s="240" t="s">
        <v>120</v>
      </c>
      <c r="E1" s="241"/>
      <c r="F1" s="241"/>
      <c r="G1" s="242"/>
      <c r="H1" s="261"/>
      <c r="I1" s="240" t="s">
        <v>121</v>
      </c>
      <c r="J1" s="241"/>
      <c r="K1" s="241"/>
      <c r="L1" s="241"/>
      <c r="M1" s="241"/>
      <c r="N1" s="261"/>
      <c r="O1" s="259" t="s">
        <v>122</v>
      </c>
      <c r="P1" s="260"/>
      <c r="Q1" s="260"/>
      <c r="R1" s="260"/>
      <c r="S1" s="260"/>
    </row>
    <row r="2" spans="1:239" s="19" customFormat="1" ht="51.75" customHeight="1" x14ac:dyDescent="0.3">
      <c r="A2" s="87"/>
      <c r="B2" s="289"/>
      <c r="C2" s="261"/>
      <c r="D2" s="256" t="s">
        <v>27</v>
      </c>
      <c r="E2" s="257"/>
      <c r="F2" s="257"/>
      <c r="G2" s="258"/>
      <c r="H2" s="261"/>
      <c r="I2" s="262" t="s">
        <v>27</v>
      </c>
      <c r="J2" s="262"/>
      <c r="K2" s="262"/>
      <c r="L2" s="262"/>
      <c r="M2" s="262"/>
      <c r="N2" s="261"/>
      <c r="O2" s="262" t="s">
        <v>27</v>
      </c>
      <c r="P2" s="262"/>
      <c r="Q2" s="262"/>
      <c r="R2" s="262"/>
      <c r="S2" s="262"/>
    </row>
    <row r="3" spans="1:239" ht="51.75" customHeight="1" x14ac:dyDescent="0.25">
      <c r="B3" s="20" t="s">
        <v>36</v>
      </c>
      <c r="C3" s="261"/>
      <c r="D3" s="20" t="s">
        <v>23</v>
      </c>
      <c r="E3" s="20" t="s">
        <v>21</v>
      </c>
      <c r="F3" s="20" t="s">
        <v>22</v>
      </c>
      <c r="G3" s="20" t="s">
        <v>142</v>
      </c>
      <c r="H3" s="261"/>
      <c r="I3" s="20" t="s">
        <v>36</v>
      </c>
      <c r="J3" s="20" t="s">
        <v>23</v>
      </c>
      <c r="K3" s="20" t="s">
        <v>21</v>
      </c>
      <c r="L3" s="20" t="s">
        <v>22</v>
      </c>
      <c r="M3" s="20" t="s">
        <v>142</v>
      </c>
      <c r="N3" s="261"/>
      <c r="O3" s="20" t="s">
        <v>36</v>
      </c>
      <c r="P3" s="20" t="s">
        <v>23</v>
      </c>
      <c r="Q3" s="20" t="s">
        <v>21</v>
      </c>
      <c r="R3" s="20" t="s">
        <v>22</v>
      </c>
      <c r="S3" s="20" t="s">
        <v>142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</row>
    <row r="4" spans="1:239" s="3" customFormat="1" ht="15" customHeight="1" x14ac:dyDescent="0.25">
      <c r="A4" s="26"/>
      <c r="B4" s="26">
        <f>'Alternative 1'!F4</f>
        <v>1</v>
      </c>
      <c r="C4" s="261"/>
      <c r="D4" s="9">
        <f>3300/'Alternative 1'!$B$21</f>
        <v>66</v>
      </c>
      <c r="E4" s="9">
        <f>2*'Alternative 1'!$K4/'Alternative 1'!$B$17</f>
        <v>104.80555555555554</v>
      </c>
      <c r="F4" s="9">
        <f>13000/'Alternative 1'!$B$21</f>
        <v>260</v>
      </c>
      <c r="G4" s="9">
        <f>IF(AND(D4&lt;E4,E4&lt;=F4),((((662/E4)+0.399*'Alternative 1'!$B$21))/0.1450377),(0.6*'Alternative 1'!$B$21))</f>
        <v>181.10090722034982</v>
      </c>
      <c r="H4" s="261"/>
      <c r="I4" s="26">
        <f>'Alternative 2'!F4</f>
        <v>1</v>
      </c>
      <c r="J4" s="9">
        <f>3300/'Alternative 2'!$B$21</f>
        <v>66</v>
      </c>
      <c r="K4" s="9">
        <f>2*'Alternative 2'!$K4/'Alternative 2'!$B$17</f>
        <v>104.80555555555554</v>
      </c>
      <c r="L4" s="9">
        <f>13000/'Alternative 2'!$B$21</f>
        <v>260</v>
      </c>
      <c r="M4" s="9">
        <f>IF(AND(J4&lt;K4,K4&lt;=L4),((((662/K4)+0.399*'Alternative 2'!$B$21))/0.1450377),(0.6*'Alternative 2'!$B$21))</f>
        <v>181.10090722034982</v>
      </c>
      <c r="N4" s="261"/>
      <c r="O4" s="26">
        <f>'Alternative 3'!F4</f>
        <v>1</v>
      </c>
      <c r="P4" s="9">
        <f>3300/'Alternative 3'!$B$21</f>
        <v>66</v>
      </c>
      <c r="Q4" s="9">
        <f>2*'Alternative 3'!$K4/'Alternative 3'!$B$17</f>
        <v>104.80555555555554</v>
      </c>
      <c r="R4" s="9">
        <f>13000/'Alternative 3'!$B$21</f>
        <v>260</v>
      </c>
      <c r="S4" s="9">
        <f>IF(AND(P4&lt;Q4,Q4&lt;=R4),((((662/Q4)+0.399*'Alternative 3'!$B$21))/0.1450377),(0.6*'Alternative 3'!$B$21))</f>
        <v>181.10090722034982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</row>
    <row r="5" spans="1:239" s="3" customFormat="1" ht="15" customHeight="1" x14ac:dyDescent="0.25">
      <c r="A5" s="26"/>
      <c r="B5" s="26">
        <f>'Alternative 1'!F5</f>
        <v>2</v>
      </c>
      <c r="C5" s="261"/>
      <c r="D5" s="9">
        <f>3300/'Alternative 1'!$B$21</f>
        <v>66</v>
      </c>
      <c r="E5" s="9">
        <f>2*'Alternative 1'!$K5/'Alternative 1'!$B$17</f>
        <v>103.81111111111112</v>
      </c>
      <c r="F5" s="9">
        <f>13000/'Alternative 1'!$B$21</f>
        <v>260</v>
      </c>
      <c r="G5" s="9">
        <f>IF(AND(D5&lt;E5,E5&lt;=F5),((((662/E5)+0.399*'Alternative 1'!$B$21))/0.1450377),(0.6*'Alternative 1'!$B$21))</f>
        <v>181.5180929720149</v>
      </c>
      <c r="H5" s="261"/>
      <c r="I5" s="26">
        <f>'Alternative 2'!F5</f>
        <v>2</v>
      </c>
      <c r="J5" s="9">
        <f>3300/'Alternative 2'!$B$21</f>
        <v>66</v>
      </c>
      <c r="K5" s="9">
        <f>2*'Alternative 2'!$K5/'Alternative 2'!$B$17</f>
        <v>103.81111111111112</v>
      </c>
      <c r="L5" s="9">
        <f>13000/'Alternative 2'!$B$21</f>
        <v>260</v>
      </c>
      <c r="M5" s="9">
        <f>IF(AND(J5&lt;K5,K5&lt;=L5),((((662/K5)+0.399*'Alternative 2'!$B$21))/0.1450377),(0.6*'Alternative 2'!$B$21))</f>
        <v>181.5180929720149</v>
      </c>
      <c r="N5" s="261"/>
      <c r="O5" s="26">
        <f>'Alternative 3'!F5</f>
        <v>2</v>
      </c>
      <c r="P5" s="9">
        <f>3300/'Alternative 3'!$B$21</f>
        <v>66</v>
      </c>
      <c r="Q5" s="9">
        <f>2*'Alternative 3'!$K5/'Alternative 3'!$B$17</f>
        <v>103.81111111111112</v>
      </c>
      <c r="R5" s="9">
        <f>13000/'Alternative 3'!$B$21</f>
        <v>260</v>
      </c>
      <c r="S5" s="9">
        <f>IF(AND(P5&lt;Q5,Q5&lt;=R5),((((662/Q5)+0.399*'Alternative 3'!$B$21))/0.1450377),(0.6*'Alternative 3'!$B$21))</f>
        <v>181.5180929720149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</row>
    <row r="6" spans="1:239" s="3" customFormat="1" ht="15" customHeight="1" x14ac:dyDescent="0.25">
      <c r="A6" s="26"/>
      <c r="B6" s="26">
        <f>'Alternative 1'!F6</f>
        <v>3</v>
      </c>
      <c r="C6" s="261"/>
      <c r="D6" s="9">
        <f>3300/'Alternative 1'!$B$21</f>
        <v>66</v>
      </c>
      <c r="E6" s="9">
        <f>2*'Alternative 1'!$K6/'Alternative 1'!$B$17</f>
        <v>102.81666666666666</v>
      </c>
      <c r="F6" s="9">
        <f>13000/'Alternative 1'!$B$21</f>
        <v>260</v>
      </c>
      <c r="G6" s="9">
        <f>IF(AND(D6&lt;E6,E6&lt;=F6),((((662/E6)+0.399*'Alternative 1'!$B$21))/0.1450377),(0.6*'Alternative 1'!$B$21))</f>
        <v>181.94334877820509</v>
      </c>
      <c r="H6" s="261"/>
      <c r="I6" s="26">
        <f>'Alternative 2'!F6</f>
        <v>3</v>
      </c>
      <c r="J6" s="9">
        <f>3300/'Alternative 2'!$B$21</f>
        <v>66</v>
      </c>
      <c r="K6" s="9">
        <f>2*'Alternative 2'!$K6/'Alternative 2'!$B$17</f>
        <v>102.81666666666666</v>
      </c>
      <c r="L6" s="9">
        <f>13000/'Alternative 2'!$B$21</f>
        <v>260</v>
      </c>
      <c r="M6" s="9">
        <f>IF(AND(J6&lt;K6,K6&lt;=L6),((((662/K6)+0.399*'Alternative 2'!$B$21))/0.1450377),(0.6*'Alternative 2'!$B$21))</f>
        <v>181.94334877820509</v>
      </c>
      <c r="N6" s="261"/>
      <c r="O6" s="26">
        <f>'Alternative 3'!F6</f>
        <v>3</v>
      </c>
      <c r="P6" s="9">
        <f>3300/'Alternative 3'!$B$21</f>
        <v>66</v>
      </c>
      <c r="Q6" s="9">
        <f>2*'Alternative 3'!$K6/'Alternative 3'!$B$17</f>
        <v>102.81666666666666</v>
      </c>
      <c r="R6" s="9">
        <f>13000/'Alternative 3'!$B$21</f>
        <v>260</v>
      </c>
      <c r="S6" s="9">
        <f>IF(AND(P6&lt;Q6,Q6&lt;=R6),((((662/Q6)+0.399*'Alternative 3'!$B$21))/0.1450377),(0.6*'Alternative 3'!$B$21))</f>
        <v>181.94334877820509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</row>
    <row r="7" spans="1:239" s="3" customFormat="1" ht="15" customHeight="1" x14ac:dyDescent="0.25">
      <c r="A7" s="26"/>
      <c r="B7" s="26">
        <f>'Alternative 1'!F7</f>
        <v>4</v>
      </c>
      <c r="C7" s="261"/>
      <c r="D7" s="9">
        <f>3300/'Alternative 1'!$B$21</f>
        <v>66</v>
      </c>
      <c r="E7" s="9">
        <f>2*'Alternative 1'!$K7/'Alternative 1'!$B$17</f>
        <v>101.82222222222224</v>
      </c>
      <c r="F7" s="9">
        <f>13000/'Alternative 1'!$B$21</f>
        <v>260</v>
      </c>
      <c r="G7" s="9">
        <f>IF(AND(D7&lt;E7,E7&lt;=F7),((((662/E7)+0.399*'Alternative 1'!$B$21))/0.1450377),(0.6*'Alternative 1'!$B$21))</f>
        <v>182.37691108693866</v>
      </c>
      <c r="H7" s="261"/>
      <c r="I7" s="26">
        <f>'Alternative 2'!F7</f>
        <v>4</v>
      </c>
      <c r="J7" s="9">
        <f>3300/'Alternative 2'!$B$21</f>
        <v>66</v>
      </c>
      <c r="K7" s="9">
        <f>2*'Alternative 2'!$K7/'Alternative 2'!$B$17</f>
        <v>101.82222222222224</v>
      </c>
      <c r="L7" s="9">
        <f>13000/'Alternative 2'!$B$21</f>
        <v>260</v>
      </c>
      <c r="M7" s="9">
        <f>IF(AND(J7&lt;K7,K7&lt;=L7),((((662/K7)+0.399*'Alternative 2'!$B$21))/0.1450377),(0.6*'Alternative 2'!$B$21))</f>
        <v>182.37691108693866</v>
      </c>
      <c r="N7" s="261"/>
      <c r="O7" s="26">
        <f>'Alternative 3'!F7</f>
        <v>4</v>
      </c>
      <c r="P7" s="9">
        <f>3300/'Alternative 3'!$B$21</f>
        <v>66</v>
      </c>
      <c r="Q7" s="9">
        <f>2*'Alternative 3'!$K7/'Alternative 3'!$B$17</f>
        <v>101.82222222222224</v>
      </c>
      <c r="R7" s="9">
        <f>13000/'Alternative 3'!$B$21</f>
        <v>260</v>
      </c>
      <c r="S7" s="9">
        <f>IF(AND(P7&lt;Q7,Q7&lt;=R7),((((662/Q7)+0.399*'Alternative 3'!$B$21))/0.1450377),(0.6*'Alternative 3'!$B$21))</f>
        <v>182.37691108693866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</row>
    <row r="8" spans="1:239" s="3" customFormat="1" ht="15" customHeight="1" x14ac:dyDescent="0.25">
      <c r="A8" s="26"/>
      <c r="B8" s="26">
        <f>'Alternative 1'!F8</f>
        <v>5</v>
      </c>
      <c r="C8" s="261"/>
      <c r="D8" s="9">
        <f>3300/'Alternative 1'!$B$21</f>
        <v>66</v>
      </c>
      <c r="E8" s="9">
        <f>2*'Alternative 1'!$K8/'Alternative 1'!$B$17</f>
        <v>100.82777777777778</v>
      </c>
      <c r="F8" s="9">
        <f>13000/'Alternative 1'!$B$21</f>
        <v>260</v>
      </c>
      <c r="G8" s="9">
        <f>IF(AND(D8&lt;E8,E8&lt;=F8),((((662/E8)+0.399*'Alternative 1'!$B$21))/0.1450377),(0.6*'Alternative 1'!$B$21))</f>
        <v>182.81902567439434</v>
      </c>
      <c r="H8" s="261"/>
      <c r="I8" s="26">
        <f>'Alternative 2'!F8</f>
        <v>5</v>
      </c>
      <c r="J8" s="9">
        <f>3300/'Alternative 2'!$B$21</f>
        <v>66</v>
      </c>
      <c r="K8" s="9">
        <f>2*'Alternative 2'!$K8/'Alternative 2'!$B$17</f>
        <v>100.82777777777778</v>
      </c>
      <c r="L8" s="9">
        <f>13000/'Alternative 2'!$B$21</f>
        <v>260</v>
      </c>
      <c r="M8" s="9">
        <f>IF(AND(J8&lt;K8,K8&lt;=L8),((((662/K8)+0.399*'Alternative 2'!$B$21))/0.1450377),(0.6*'Alternative 2'!$B$21))</f>
        <v>182.81902567439434</v>
      </c>
      <c r="N8" s="261"/>
      <c r="O8" s="26">
        <f>'Alternative 3'!F8</f>
        <v>5</v>
      </c>
      <c r="P8" s="9">
        <f>3300/'Alternative 3'!$B$21</f>
        <v>66</v>
      </c>
      <c r="Q8" s="9">
        <f>2*'Alternative 3'!$K8/'Alternative 3'!$B$17</f>
        <v>100.82777777777778</v>
      </c>
      <c r="R8" s="9">
        <f>13000/'Alternative 3'!$B$21</f>
        <v>260</v>
      </c>
      <c r="S8" s="9">
        <f>IF(AND(P8&lt;Q8,Q8&lt;=R8),((((662/Q8)+0.399*'Alternative 3'!$B$21))/0.1450377),(0.6*'Alternative 3'!$B$21))</f>
        <v>182.81902567439434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</row>
    <row r="9" spans="1:239" s="3" customFormat="1" ht="15" customHeight="1" x14ac:dyDescent="0.25">
      <c r="A9" s="26"/>
      <c r="B9" s="26">
        <f>'Alternative 1'!F9</f>
        <v>6</v>
      </c>
      <c r="C9" s="261"/>
      <c r="D9" s="9">
        <f>3300/'Alternative 1'!$B$21</f>
        <v>66</v>
      </c>
      <c r="E9" s="9">
        <f>2*'Alternative 1'!$K9/'Alternative 1'!$B$17</f>
        <v>99.833333333333329</v>
      </c>
      <c r="F9" s="9">
        <f>13000/'Alternative 1'!$B$21</f>
        <v>260</v>
      </c>
      <c r="G9" s="9">
        <f>IF(AND(D9&lt;E9,E9&lt;=F9),((((662/E9)+0.399*'Alternative 1'!$B$21))/0.1450377),(0.6*'Alternative 1'!$B$21))</f>
        <v>183.26994810950217</v>
      </c>
      <c r="H9" s="261"/>
      <c r="I9" s="26">
        <f>'Alternative 2'!F9</f>
        <v>6</v>
      </c>
      <c r="J9" s="9">
        <f>3300/'Alternative 2'!$B$21</f>
        <v>66</v>
      </c>
      <c r="K9" s="9">
        <f>2*'Alternative 2'!$K9/'Alternative 2'!$B$17</f>
        <v>99.833333333333329</v>
      </c>
      <c r="L9" s="9">
        <f>13000/'Alternative 2'!$B$21</f>
        <v>260</v>
      </c>
      <c r="M9" s="9">
        <f>IF(AND(J9&lt;K9,K9&lt;=L9),((((662/K9)+0.399*'Alternative 2'!$B$21))/0.1450377),(0.6*'Alternative 2'!$B$21))</f>
        <v>183.26994810950217</v>
      </c>
      <c r="N9" s="261"/>
      <c r="O9" s="26">
        <f>'Alternative 3'!F9</f>
        <v>6</v>
      </c>
      <c r="P9" s="9">
        <f>3300/'Alternative 3'!$B$21</f>
        <v>66</v>
      </c>
      <c r="Q9" s="9">
        <f>2*'Alternative 3'!$K9/'Alternative 3'!$B$17</f>
        <v>99.833333333333329</v>
      </c>
      <c r="R9" s="9">
        <f>13000/'Alternative 3'!$B$21</f>
        <v>260</v>
      </c>
      <c r="S9" s="9">
        <f>IF(AND(P9&lt;Q9,Q9&lt;=R9),((((662/Q9)+0.399*'Alternative 3'!$B$21))/0.1450377),(0.6*'Alternative 3'!$B$21))</f>
        <v>183.26994810950217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</row>
    <row r="10" spans="1:239" s="3" customFormat="1" ht="15" customHeight="1" x14ac:dyDescent="0.25">
      <c r="A10" s="26"/>
      <c r="B10" s="26">
        <f>'Alternative 1'!F10</f>
        <v>7</v>
      </c>
      <c r="C10" s="261"/>
      <c r="D10" s="9">
        <f>3300/'Alternative 1'!$B$21</f>
        <v>66</v>
      </c>
      <c r="E10" s="9">
        <f>2*'Alternative 1'!$K10/'Alternative 1'!$B$17</f>
        <v>98.838888888888903</v>
      </c>
      <c r="F10" s="9">
        <f>13000/'Alternative 1'!$B$21</f>
        <v>260</v>
      </c>
      <c r="G10" s="9">
        <f>IF(AND(D10&lt;E10,E10&lt;=F10),((((662/E10)+0.399*'Alternative 1'!$B$21))/0.1450377),(0.6*'Alternative 1'!$B$21))</f>
        <v>183.72994424658108</v>
      </c>
      <c r="H10" s="261"/>
      <c r="I10" s="26">
        <f>'Alternative 2'!F10</f>
        <v>7</v>
      </c>
      <c r="J10" s="9">
        <f>3300/'Alternative 2'!$B$21</f>
        <v>66</v>
      </c>
      <c r="K10" s="9">
        <f>2*'Alternative 2'!$K10/'Alternative 2'!$B$17</f>
        <v>98.838888888888903</v>
      </c>
      <c r="L10" s="9">
        <f>13000/'Alternative 2'!$B$21</f>
        <v>260</v>
      </c>
      <c r="M10" s="9">
        <f>IF(AND(J10&lt;K10,K10&lt;=L10),((((662/K10)+0.399*'Alternative 2'!$B$21))/0.1450377),(0.6*'Alternative 2'!$B$21))</f>
        <v>183.72994424658108</v>
      </c>
      <c r="N10" s="261"/>
      <c r="O10" s="26">
        <f>'Alternative 3'!F10</f>
        <v>7</v>
      </c>
      <c r="P10" s="9">
        <f>3300/'Alternative 3'!$B$21</f>
        <v>66</v>
      </c>
      <c r="Q10" s="9">
        <f>2*'Alternative 3'!$K10/'Alternative 3'!$B$17</f>
        <v>98.838888888888903</v>
      </c>
      <c r="R10" s="9">
        <f>13000/'Alternative 3'!$B$21</f>
        <v>260</v>
      </c>
      <c r="S10" s="9">
        <f>IF(AND(P10&lt;Q10,Q10&lt;=R10),((((662/Q10)+0.399*'Alternative 3'!$B$21))/0.1450377),(0.6*'Alternative 3'!$B$21))</f>
        <v>183.72994424658108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</row>
    <row r="11" spans="1:239" s="3" customFormat="1" ht="15" customHeight="1" x14ac:dyDescent="0.25">
      <c r="A11" s="26"/>
      <c r="B11" s="26">
        <f>'Alternative 1'!F11</f>
        <v>8</v>
      </c>
      <c r="C11" s="261"/>
      <c r="D11" s="9">
        <f>3300/'Alternative 1'!$B$21</f>
        <v>66</v>
      </c>
      <c r="E11" s="9">
        <f>2*'Alternative 1'!$K11/'Alternative 1'!$B$17</f>
        <v>97.844444444444449</v>
      </c>
      <c r="F11" s="9">
        <f>13000/'Alternative 1'!$B$21</f>
        <v>260</v>
      </c>
      <c r="G11" s="9">
        <f>IF(AND(D11&lt;E11,E11&lt;=F11),((((662/E11)+0.399*'Alternative 1'!$B$21))/0.1450377),(0.6*'Alternative 1'!$B$21))</f>
        <v>184.19929074801811</v>
      </c>
      <c r="H11" s="261"/>
      <c r="I11" s="26">
        <f>'Alternative 2'!F11</f>
        <v>8</v>
      </c>
      <c r="J11" s="9">
        <f>3300/'Alternative 2'!$B$21</f>
        <v>66</v>
      </c>
      <c r="K11" s="9">
        <f>2*'Alternative 2'!$K11/'Alternative 2'!$B$17</f>
        <v>97.844444444444449</v>
      </c>
      <c r="L11" s="9">
        <f>13000/'Alternative 2'!$B$21</f>
        <v>260</v>
      </c>
      <c r="M11" s="9">
        <f>IF(AND(J11&lt;K11,K11&lt;=L11),((((662/K11)+0.399*'Alternative 2'!$B$21))/0.1450377),(0.6*'Alternative 2'!$B$21))</f>
        <v>184.19929074801811</v>
      </c>
      <c r="N11" s="261"/>
      <c r="O11" s="26">
        <f>'Alternative 3'!F11</f>
        <v>8</v>
      </c>
      <c r="P11" s="9">
        <f>3300/'Alternative 3'!$B$21</f>
        <v>66</v>
      </c>
      <c r="Q11" s="9">
        <f>2*'Alternative 3'!$K11/'Alternative 3'!$B$17</f>
        <v>97.844444444444449</v>
      </c>
      <c r="R11" s="9">
        <f>13000/'Alternative 3'!$B$21</f>
        <v>260</v>
      </c>
      <c r="S11" s="9">
        <f>IF(AND(P11&lt;Q11,Q11&lt;=R11),((((662/Q11)+0.399*'Alternative 3'!$B$21))/0.1450377),(0.6*'Alternative 3'!$B$21))</f>
        <v>184.19929074801811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</row>
    <row r="12" spans="1:239" s="3" customFormat="1" ht="15" customHeight="1" x14ac:dyDescent="0.25">
      <c r="A12" s="26"/>
      <c r="B12" s="26">
        <f>'Alternative 1'!F12</f>
        <v>9</v>
      </c>
      <c r="C12" s="261"/>
      <c r="D12" s="9">
        <f>3300/'Alternative 1'!$B$21</f>
        <v>66</v>
      </c>
      <c r="E12" s="9">
        <f>2*'Alternative 1'!$K12/'Alternative 1'!$B$17</f>
        <v>96.85</v>
      </c>
      <c r="F12" s="9">
        <f>13000/'Alternative 1'!$B$21</f>
        <v>260</v>
      </c>
      <c r="G12" s="9">
        <f>IF(AND(D12&lt;E12,E12&lt;=F12),((((662/E12)+0.399*'Alternative 1'!$B$21))/0.1450377),(0.6*'Alternative 1'!$B$21))</f>
        <v>184.67827563914796</v>
      </c>
      <c r="H12" s="261"/>
      <c r="I12" s="26">
        <f>'Alternative 2'!F12</f>
        <v>9</v>
      </c>
      <c r="J12" s="9">
        <f>3300/'Alternative 2'!$B$21</f>
        <v>66</v>
      </c>
      <c r="K12" s="9">
        <f>2*'Alternative 2'!$K12/'Alternative 2'!$B$17</f>
        <v>96.85</v>
      </c>
      <c r="L12" s="9">
        <f>13000/'Alternative 2'!$B$21</f>
        <v>260</v>
      </c>
      <c r="M12" s="9">
        <f>IF(AND(J12&lt;K12,K12&lt;=L12),((((662/K12)+0.399*'Alternative 2'!$B$21))/0.1450377),(0.6*'Alternative 2'!$B$21))</f>
        <v>184.67827563914796</v>
      </c>
      <c r="N12" s="261"/>
      <c r="O12" s="26">
        <f>'Alternative 3'!F12</f>
        <v>9</v>
      </c>
      <c r="P12" s="9">
        <f>3300/'Alternative 3'!$B$21</f>
        <v>66</v>
      </c>
      <c r="Q12" s="9">
        <f>2*'Alternative 3'!$K12/'Alternative 3'!$B$17</f>
        <v>96.85</v>
      </c>
      <c r="R12" s="9">
        <f>13000/'Alternative 3'!$B$21</f>
        <v>260</v>
      </c>
      <c r="S12" s="9">
        <f>IF(AND(P12&lt;Q12,Q12&lt;=R12),((((662/Q12)+0.399*'Alternative 3'!$B$21))/0.1450377),(0.6*'Alternative 3'!$B$21))</f>
        <v>184.67827563914796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</row>
    <row r="13" spans="1:239" s="3" customFormat="1" ht="15" customHeight="1" x14ac:dyDescent="0.25">
      <c r="A13" s="26"/>
      <c r="B13" s="26">
        <f>'Alternative 1'!F13</f>
        <v>10</v>
      </c>
      <c r="C13" s="261"/>
      <c r="D13" s="9">
        <f>3300/'Alternative 1'!$B$21</f>
        <v>66</v>
      </c>
      <c r="E13" s="9">
        <f>2*'Alternative 1'!$K13/'Alternative 1'!$B$17</f>
        <v>95.855555555555554</v>
      </c>
      <c r="F13" s="9">
        <f>13000/'Alternative 1'!$B$21</f>
        <v>260</v>
      </c>
      <c r="G13" s="9">
        <f>IF(AND(D13&lt;E13,E13&lt;=F13),((((662/E13)+0.399*'Alternative 1'!$B$21))/0.1450377),(0.6*'Alternative 1'!$B$21))</f>
        <v>185.16719889767225</v>
      </c>
      <c r="H13" s="261"/>
      <c r="I13" s="26">
        <f>'Alternative 2'!F13</f>
        <v>10</v>
      </c>
      <c r="J13" s="9">
        <f>3300/'Alternative 2'!$B$21</f>
        <v>66</v>
      </c>
      <c r="K13" s="9">
        <f>2*'Alternative 2'!$K13/'Alternative 2'!$B$17</f>
        <v>95.855555555555554</v>
      </c>
      <c r="L13" s="9">
        <f>13000/'Alternative 2'!$B$21</f>
        <v>260</v>
      </c>
      <c r="M13" s="9">
        <f>IF(AND(J13&lt;K13,K13&lt;=L13),((((662/K13)+0.399*'Alternative 2'!$B$21))/0.1450377),(0.6*'Alternative 2'!$B$21))</f>
        <v>185.16719889767225</v>
      </c>
      <c r="N13" s="261"/>
      <c r="O13" s="26">
        <f>'Alternative 3'!F13</f>
        <v>10</v>
      </c>
      <c r="P13" s="9">
        <f>3300/'Alternative 3'!$B$21</f>
        <v>66</v>
      </c>
      <c r="Q13" s="9">
        <f>2*'Alternative 3'!$K13/'Alternative 3'!$B$17</f>
        <v>95.855555555555554</v>
      </c>
      <c r="R13" s="9">
        <f>13000/'Alternative 3'!$B$21</f>
        <v>260</v>
      </c>
      <c r="S13" s="9">
        <f>IF(AND(P13&lt;Q13,Q13&lt;=R13),((((662/Q13)+0.399*'Alternative 3'!$B$21))/0.1450377),(0.6*'Alternative 3'!$B$21))</f>
        <v>185.16719889767225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</row>
    <row r="14" spans="1:239" s="3" customFormat="1" ht="15" customHeight="1" x14ac:dyDescent="0.25">
      <c r="A14" s="26"/>
      <c r="B14" s="26">
        <f>'Alternative 1'!F14</f>
        <v>11</v>
      </c>
      <c r="C14" s="261"/>
      <c r="D14" s="9">
        <f>3300/'Alternative 1'!$B$21</f>
        <v>66</v>
      </c>
      <c r="E14" s="9">
        <f>2*'Alternative 1'!$K14/'Alternative 1'!$B$17</f>
        <v>94.861111111111114</v>
      </c>
      <c r="F14" s="9">
        <f>13000/'Alternative 1'!$B$21</f>
        <v>260</v>
      </c>
      <c r="G14" s="9">
        <f>IF(AND(D14&lt;E14,E14&lt;=F14),((((662/E14)+0.399*'Alternative 1'!$B$21))/0.1450377),(0.6*'Alternative 1'!$B$21))</f>
        <v>185.66637308015274</v>
      </c>
      <c r="H14" s="261"/>
      <c r="I14" s="26">
        <f>'Alternative 2'!F14</f>
        <v>11</v>
      </c>
      <c r="J14" s="9">
        <f>3300/'Alternative 2'!$B$21</f>
        <v>66</v>
      </c>
      <c r="K14" s="9">
        <f>2*'Alternative 2'!$K14/'Alternative 2'!$B$17</f>
        <v>94.861111111111114</v>
      </c>
      <c r="L14" s="9">
        <f>13000/'Alternative 2'!$B$21</f>
        <v>260</v>
      </c>
      <c r="M14" s="9">
        <f>IF(AND(J14&lt;K14,K14&lt;=L14),((((662/K14)+0.399*'Alternative 2'!$B$21))/0.1450377),(0.6*'Alternative 2'!$B$21))</f>
        <v>185.66637308015274</v>
      </c>
      <c r="N14" s="261"/>
      <c r="O14" s="26">
        <f>'Alternative 3'!F14</f>
        <v>11</v>
      </c>
      <c r="P14" s="9">
        <f>3300/'Alternative 3'!$B$21</f>
        <v>66</v>
      </c>
      <c r="Q14" s="9">
        <f>2*'Alternative 3'!$K14/'Alternative 3'!$B$17</f>
        <v>94.861111111111114</v>
      </c>
      <c r="R14" s="9">
        <f>13000/'Alternative 3'!$B$21</f>
        <v>260</v>
      </c>
      <c r="S14" s="9">
        <f>IF(AND(P14&lt;Q14,Q14&lt;=R14),((((662/Q14)+0.399*'Alternative 3'!$B$21))/0.1450377),(0.6*'Alternative 3'!$B$21))</f>
        <v>185.66637308015274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</row>
    <row r="15" spans="1:239" s="3" customFormat="1" ht="15" customHeight="1" x14ac:dyDescent="0.25">
      <c r="A15" s="26"/>
      <c r="B15" s="26">
        <f>'Alternative 1'!F15</f>
        <v>12</v>
      </c>
      <c r="C15" s="261"/>
      <c r="D15" s="9">
        <f>3300/'Alternative 1'!$B$21</f>
        <v>66</v>
      </c>
      <c r="E15" s="9">
        <f>2*'Alternative 1'!$K15/'Alternative 1'!$B$17</f>
        <v>93.86666666666666</v>
      </c>
      <c r="F15" s="9">
        <f>13000/'Alternative 1'!$B$21</f>
        <v>260</v>
      </c>
      <c r="G15" s="9">
        <f>IF(AND(D15&lt;E15,E15&lt;=F15),((((662/E15)+0.399*'Alternative 1'!$B$21))/0.1450377),(0.6*'Alternative 1'!$B$21))</f>
        <v>186.17612398832733</v>
      </c>
      <c r="H15" s="261"/>
      <c r="I15" s="26">
        <f>'Alternative 2'!F15</f>
        <v>12</v>
      </c>
      <c r="J15" s="9">
        <f>3300/'Alternative 2'!$B$21</f>
        <v>66</v>
      </c>
      <c r="K15" s="9">
        <f>2*'Alternative 2'!$K15/'Alternative 2'!$B$17</f>
        <v>93.86666666666666</v>
      </c>
      <c r="L15" s="9">
        <f>13000/'Alternative 2'!$B$21</f>
        <v>260</v>
      </c>
      <c r="M15" s="9">
        <f>IF(AND(J15&lt;K15,K15&lt;=L15),((((662/K15)+0.399*'Alternative 2'!$B$21))/0.1450377),(0.6*'Alternative 2'!$B$21))</f>
        <v>186.17612398832733</v>
      </c>
      <c r="N15" s="261"/>
      <c r="O15" s="26">
        <f>'Alternative 3'!F15</f>
        <v>12</v>
      </c>
      <c r="P15" s="9">
        <f>3300/'Alternative 3'!$B$21</f>
        <v>66</v>
      </c>
      <c r="Q15" s="9">
        <f>2*'Alternative 3'!$K15/'Alternative 3'!$B$17</f>
        <v>93.86666666666666</v>
      </c>
      <c r="R15" s="9">
        <f>13000/'Alternative 3'!$B$21</f>
        <v>260</v>
      </c>
      <c r="S15" s="9">
        <f>IF(AND(P15&lt;Q15,Q15&lt;=R15),((((662/Q15)+0.399*'Alternative 3'!$B$21))/0.1450377),(0.6*'Alternative 3'!$B$21))</f>
        <v>186.17612398832733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</row>
    <row r="16" spans="1:239" s="3" customFormat="1" ht="15" customHeight="1" x14ac:dyDescent="0.25">
      <c r="A16" s="26"/>
      <c r="B16" s="26">
        <f>'Alternative 1'!F16</f>
        <v>13</v>
      </c>
      <c r="C16" s="261"/>
      <c r="D16" s="9">
        <f>3300/'Alternative 1'!$B$21</f>
        <v>66</v>
      </c>
      <c r="E16" s="9">
        <f>2*'Alternative 1'!$K16/'Alternative 1'!$B$17</f>
        <v>92.87222222222222</v>
      </c>
      <c r="F16" s="9">
        <f>13000/'Alternative 1'!$B$21</f>
        <v>260</v>
      </c>
      <c r="G16" s="9">
        <f>IF(AND(D16&lt;E16,E16&lt;=F16),((((662/E16)+0.399*'Alternative 1'!$B$21))/0.1450377),(0.6*'Alternative 1'!$B$21))</f>
        <v>186.69679137823468</v>
      </c>
      <c r="H16" s="261"/>
      <c r="I16" s="26">
        <f>'Alternative 2'!F16</f>
        <v>13</v>
      </c>
      <c r="J16" s="9">
        <f>3300/'Alternative 2'!$B$21</f>
        <v>66</v>
      </c>
      <c r="K16" s="9">
        <f>2*'Alternative 2'!$K16/'Alternative 2'!$B$17</f>
        <v>92.87222222222222</v>
      </c>
      <c r="L16" s="9">
        <f>13000/'Alternative 2'!$B$21</f>
        <v>260</v>
      </c>
      <c r="M16" s="9">
        <f>IF(AND(J16&lt;K16,K16&lt;=L16),((((662/K16)+0.399*'Alternative 2'!$B$21))/0.1450377),(0.6*'Alternative 2'!$B$21))</f>
        <v>186.69679137823468</v>
      </c>
      <c r="N16" s="261"/>
      <c r="O16" s="26">
        <f>'Alternative 3'!F16</f>
        <v>13</v>
      </c>
      <c r="P16" s="9">
        <f>3300/'Alternative 3'!$B$21</f>
        <v>66</v>
      </c>
      <c r="Q16" s="9">
        <f>2*'Alternative 3'!$K16/'Alternative 3'!$B$17</f>
        <v>92.87222222222222</v>
      </c>
      <c r="R16" s="9">
        <f>13000/'Alternative 3'!$B$21</f>
        <v>260</v>
      </c>
      <c r="S16" s="9">
        <f>IF(AND(P16&lt;Q16,Q16&lt;=R16),((((662/Q16)+0.399*'Alternative 3'!$B$21))/0.1450377),(0.6*'Alternative 3'!$B$21))</f>
        <v>186.69679137823468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</row>
    <row r="17" spans="1:239" s="3" customFormat="1" ht="15" customHeight="1" x14ac:dyDescent="0.25">
      <c r="A17" s="26"/>
      <c r="B17" s="26">
        <f>'Alternative 1'!F17</f>
        <v>14</v>
      </c>
      <c r="C17" s="261"/>
      <c r="D17" s="9">
        <f>3300/'Alternative 1'!$B$21</f>
        <v>66</v>
      </c>
      <c r="E17" s="9">
        <f>2*'Alternative 1'!$K17/'Alternative 1'!$B$17</f>
        <v>91.87777777777778</v>
      </c>
      <c r="F17" s="9">
        <f>13000/'Alternative 1'!$B$21</f>
        <v>260</v>
      </c>
      <c r="G17" s="9">
        <f>IF(AND(D17&lt;E17,E17&lt;=F17),((((662/E17)+0.399*'Alternative 1'!$B$21))/0.1450377),(0.6*'Alternative 1'!$B$21))</f>
        <v>187.22872971539002</v>
      </c>
      <c r="H17" s="261"/>
      <c r="I17" s="26">
        <f>'Alternative 2'!F17</f>
        <v>14</v>
      </c>
      <c r="J17" s="9">
        <f>3300/'Alternative 2'!$B$21</f>
        <v>66</v>
      </c>
      <c r="K17" s="9">
        <f>2*'Alternative 2'!$K17/'Alternative 2'!$B$17</f>
        <v>91.87777777777778</v>
      </c>
      <c r="L17" s="9">
        <f>13000/'Alternative 2'!$B$21</f>
        <v>260</v>
      </c>
      <c r="M17" s="9">
        <f>IF(AND(J17&lt;K17,K17&lt;=L17),((((662/K17)+0.399*'Alternative 2'!$B$21))/0.1450377),(0.6*'Alternative 2'!$B$21))</f>
        <v>187.22872971539002</v>
      </c>
      <c r="N17" s="261"/>
      <c r="O17" s="26">
        <f>'Alternative 3'!F17</f>
        <v>14</v>
      </c>
      <c r="P17" s="9">
        <f>3300/'Alternative 3'!$B$21</f>
        <v>66</v>
      </c>
      <c r="Q17" s="9">
        <f>2*'Alternative 3'!$K17/'Alternative 3'!$B$17</f>
        <v>91.87777777777778</v>
      </c>
      <c r="R17" s="9">
        <f>13000/'Alternative 3'!$B$21</f>
        <v>260</v>
      </c>
      <c r="S17" s="9">
        <f>IF(AND(P17&lt;Q17,Q17&lt;=R17),((((662/Q17)+0.399*'Alternative 3'!$B$21))/0.1450377),(0.6*'Alternative 3'!$B$21))</f>
        <v>187.22872971539002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</row>
    <row r="18" spans="1:239" s="3" customFormat="1" ht="15" customHeight="1" x14ac:dyDescent="0.25">
      <c r="A18" s="26"/>
      <c r="B18" s="26">
        <f>'Alternative 1'!F18</f>
        <v>15</v>
      </c>
      <c r="C18" s="261"/>
      <c r="D18" s="9">
        <f>3300/'Alternative 1'!$B$21</f>
        <v>66</v>
      </c>
      <c r="E18" s="9">
        <f>2*'Alternative 1'!$K18/'Alternative 1'!$B$17</f>
        <v>90.88333333333334</v>
      </c>
      <c r="F18" s="9">
        <f>13000/'Alternative 1'!$B$21</f>
        <v>260</v>
      </c>
      <c r="G18" s="9">
        <f>IF(AND(D18&lt;E18,E18&lt;=F18),((((662/E18)+0.399*'Alternative 1'!$B$21))/0.1450377),(0.6*'Alternative 1'!$B$21))</f>
        <v>187.77230897953976</v>
      </c>
      <c r="H18" s="261"/>
      <c r="I18" s="26">
        <f>'Alternative 2'!F18</f>
        <v>15</v>
      </c>
      <c r="J18" s="9">
        <f>3300/'Alternative 2'!$B$21</f>
        <v>66</v>
      </c>
      <c r="K18" s="9">
        <f>2*'Alternative 2'!$K18/'Alternative 2'!$B$17</f>
        <v>90.88333333333334</v>
      </c>
      <c r="L18" s="9">
        <f>13000/'Alternative 2'!$B$21</f>
        <v>260</v>
      </c>
      <c r="M18" s="9">
        <f>IF(AND(J18&lt;K18,K18&lt;=L18),((((662/K18)+0.399*'Alternative 2'!$B$21))/0.1450377),(0.6*'Alternative 2'!$B$21))</f>
        <v>187.77230897953976</v>
      </c>
      <c r="N18" s="261"/>
      <c r="O18" s="26">
        <f>'Alternative 3'!F18</f>
        <v>15</v>
      </c>
      <c r="P18" s="9">
        <f>3300/'Alternative 3'!$B$21</f>
        <v>66</v>
      </c>
      <c r="Q18" s="9">
        <f>2*'Alternative 3'!$K18/'Alternative 3'!$B$17</f>
        <v>90.88333333333334</v>
      </c>
      <c r="R18" s="9">
        <f>13000/'Alternative 3'!$B$21</f>
        <v>260</v>
      </c>
      <c r="S18" s="9">
        <f>IF(AND(P18&lt;Q18,Q18&lt;=R18),((((662/Q18)+0.399*'Alternative 3'!$B$21))/0.1450377),(0.6*'Alternative 3'!$B$21))</f>
        <v>187.77230897953976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</row>
    <row r="19" spans="1:239" s="3" customFormat="1" ht="15" customHeight="1" x14ac:dyDescent="0.25">
      <c r="A19" s="26"/>
      <c r="B19" s="26">
        <f>'Alternative 1'!F19</f>
        <v>16</v>
      </c>
      <c r="C19" s="261"/>
      <c r="D19" s="9">
        <f>3300/'Alternative 1'!$B$21</f>
        <v>66</v>
      </c>
      <c r="E19" s="9">
        <f>2*'Alternative 1'!$K19/'Alternative 1'!$B$17</f>
        <v>89.888888888888886</v>
      </c>
      <c r="F19" s="9">
        <f>13000/'Alternative 1'!$B$21</f>
        <v>260</v>
      </c>
      <c r="G19" s="9">
        <f>IF(AND(D19&lt;E19,E19&lt;=F19),((((662/E19)+0.399*'Alternative 1'!$B$21))/0.1450377),(0.6*'Alternative 1'!$B$21))</f>
        <v>188.32791552283447</v>
      </c>
      <c r="H19" s="261"/>
      <c r="I19" s="26">
        <f>'Alternative 2'!F19</f>
        <v>16</v>
      </c>
      <c r="J19" s="9">
        <f>3300/'Alternative 2'!$B$21</f>
        <v>66</v>
      </c>
      <c r="K19" s="9">
        <f>2*'Alternative 2'!$K19/'Alternative 2'!$B$17</f>
        <v>89.888888888888886</v>
      </c>
      <c r="L19" s="9">
        <f>13000/'Alternative 2'!$B$21</f>
        <v>260</v>
      </c>
      <c r="M19" s="9">
        <f>IF(AND(J19&lt;K19,K19&lt;=L19),((((662/K19)+0.399*'Alternative 2'!$B$21))/0.1450377),(0.6*'Alternative 2'!$B$21))</f>
        <v>188.32791552283447</v>
      </c>
      <c r="N19" s="261"/>
      <c r="O19" s="26">
        <f>'Alternative 3'!F19</f>
        <v>16</v>
      </c>
      <c r="P19" s="9">
        <f>3300/'Alternative 3'!$B$21</f>
        <v>66</v>
      </c>
      <c r="Q19" s="9">
        <f>2*'Alternative 3'!$K19/'Alternative 3'!$B$17</f>
        <v>89.888888888888886</v>
      </c>
      <c r="R19" s="9">
        <f>13000/'Alternative 3'!$B$21</f>
        <v>260</v>
      </c>
      <c r="S19" s="9">
        <f>IF(AND(P19&lt;Q19,Q19&lt;=R19),((((662/Q19)+0.399*'Alternative 3'!$B$21))/0.1450377),(0.6*'Alternative 3'!$B$21))</f>
        <v>188.32791552283447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</row>
    <row r="20" spans="1:239" s="3" customFormat="1" ht="15" customHeight="1" x14ac:dyDescent="0.25">
      <c r="A20" s="26"/>
      <c r="B20" s="26">
        <f>'Alternative 1'!F20</f>
        <v>17</v>
      </c>
      <c r="C20" s="261"/>
      <c r="D20" s="9">
        <f>3300/'Alternative 1'!$B$21</f>
        <v>66</v>
      </c>
      <c r="E20" s="9">
        <f>2*'Alternative 1'!$K20/'Alternative 1'!$B$17</f>
        <v>88.894444444444446</v>
      </c>
      <c r="F20" s="9">
        <f>13000/'Alternative 1'!$B$21</f>
        <v>260</v>
      </c>
      <c r="G20" s="9">
        <f>IF(AND(D20&lt;E20,E20&lt;=F20),((((662/E20)+0.399*'Alternative 1'!$B$21))/0.1450377),(0.6*'Alternative 1'!$B$21))</f>
        <v>188.89595298560295</v>
      </c>
      <c r="H20" s="261"/>
      <c r="I20" s="26">
        <f>'Alternative 2'!F20</f>
        <v>17</v>
      </c>
      <c r="J20" s="9">
        <f>3300/'Alternative 2'!$B$21</f>
        <v>66</v>
      </c>
      <c r="K20" s="9">
        <f>2*'Alternative 2'!$K20/'Alternative 2'!$B$17</f>
        <v>88.894444444444446</v>
      </c>
      <c r="L20" s="9">
        <f>13000/'Alternative 2'!$B$21</f>
        <v>260</v>
      </c>
      <c r="M20" s="9">
        <f>IF(AND(J20&lt;K20,K20&lt;=L20),((((662/K20)+0.399*'Alternative 2'!$B$21))/0.1450377),(0.6*'Alternative 2'!$B$21))</f>
        <v>188.89595298560295</v>
      </c>
      <c r="N20" s="261"/>
      <c r="O20" s="26">
        <f>'Alternative 3'!F20</f>
        <v>17</v>
      </c>
      <c r="P20" s="9">
        <f>3300/'Alternative 3'!$B$21</f>
        <v>66</v>
      </c>
      <c r="Q20" s="9">
        <f>2*'Alternative 3'!$K20/'Alternative 3'!$B$17</f>
        <v>88.894444444444446</v>
      </c>
      <c r="R20" s="9">
        <f>13000/'Alternative 3'!$B$21</f>
        <v>260</v>
      </c>
      <c r="S20" s="9">
        <f>IF(AND(P20&lt;Q20,Q20&lt;=R20),((((662/Q20)+0.399*'Alternative 3'!$B$21))/0.1450377),(0.6*'Alternative 3'!$B$21))</f>
        <v>188.89595298560295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</row>
    <row r="21" spans="1:239" s="3" customFormat="1" ht="15" customHeight="1" x14ac:dyDescent="0.25">
      <c r="A21" s="26"/>
      <c r="B21" s="26">
        <f>'Alternative 1'!F21</f>
        <v>18</v>
      </c>
      <c r="C21" s="261"/>
      <c r="D21" s="9">
        <f>3300/'Alternative 1'!$B$21</f>
        <v>66</v>
      </c>
      <c r="E21" s="9">
        <f>2*'Alternative 1'!$K21/'Alternative 1'!$B$17</f>
        <v>87.899999999999991</v>
      </c>
      <c r="F21" s="9">
        <f>13000/'Alternative 1'!$B$21</f>
        <v>260</v>
      </c>
      <c r="G21" s="9">
        <f>IF(AND(D21&lt;E21,E21&lt;=F21),((((662/E21)+0.399*'Alternative 1'!$B$21))/0.1450377),(0.6*'Alternative 1'!$B$21))</f>
        <v>189.47684327428919</v>
      </c>
      <c r="H21" s="261"/>
      <c r="I21" s="26">
        <f>'Alternative 2'!F21</f>
        <v>18</v>
      </c>
      <c r="J21" s="9">
        <f>3300/'Alternative 2'!$B$21</f>
        <v>66</v>
      </c>
      <c r="K21" s="9">
        <f>2*'Alternative 2'!$K21/'Alternative 2'!$B$17</f>
        <v>87.899999999999991</v>
      </c>
      <c r="L21" s="9">
        <f>13000/'Alternative 2'!$B$21</f>
        <v>260</v>
      </c>
      <c r="M21" s="9">
        <f>IF(AND(J21&lt;K21,K21&lt;=L21),((((662/K21)+0.399*'Alternative 2'!$B$21))/0.1450377),(0.6*'Alternative 2'!$B$21))</f>
        <v>189.47684327428919</v>
      </c>
      <c r="N21" s="261"/>
      <c r="O21" s="26">
        <f>'Alternative 3'!F21</f>
        <v>18</v>
      </c>
      <c r="P21" s="9">
        <f>3300/'Alternative 3'!$B$21</f>
        <v>66</v>
      </c>
      <c r="Q21" s="9">
        <f>2*'Alternative 3'!$K21/'Alternative 3'!$B$17</f>
        <v>87.899999999999991</v>
      </c>
      <c r="R21" s="9">
        <f>13000/'Alternative 3'!$B$21</f>
        <v>260</v>
      </c>
      <c r="S21" s="9">
        <f>IF(AND(P21&lt;Q21,Q21&lt;=R21),((((662/Q21)+0.399*'Alternative 3'!$B$21))/0.1450377),(0.6*'Alternative 3'!$B$21))</f>
        <v>189.47684327428919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</row>
    <row r="22" spans="1:239" s="3" customFormat="1" ht="15" customHeight="1" x14ac:dyDescent="0.25">
      <c r="A22" s="26"/>
      <c r="B22" s="26">
        <f>'Alternative 1'!F22</f>
        <v>19</v>
      </c>
      <c r="C22" s="261"/>
      <c r="D22" s="9">
        <f>3300/'Alternative 1'!$B$21</f>
        <v>66</v>
      </c>
      <c r="E22" s="9">
        <f>2*'Alternative 1'!$K22/'Alternative 1'!$B$17</f>
        <v>86.905555555555551</v>
      </c>
      <c r="F22" s="9">
        <f>13000/'Alternative 1'!$B$21</f>
        <v>260</v>
      </c>
      <c r="G22" s="9">
        <f>IF(AND(D22&lt;E22,E22&lt;=F22),((((662/E22)+0.399*'Alternative 1'!$B$21))/0.1450377),(0.6*'Alternative 1'!$B$21))</f>
        <v>190.07102760653163</v>
      </c>
      <c r="H22" s="261"/>
      <c r="I22" s="26">
        <f>'Alternative 2'!F22</f>
        <v>19</v>
      </c>
      <c r="J22" s="9">
        <f>3300/'Alternative 2'!$B$21</f>
        <v>66</v>
      </c>
      <c r="K22" s="9">
        <f>2*'Alternative 2'!$K22/'Alternative 2'!$B$17</f>
        <v>86.905555555555551</v>
      </c>
      <c r="L22" s="9">
        <f>13000/'Alternative 2'!$B$21</f>
        <v>260</v>
      </c>
      <c r="M22" s="9">
        <f>IF(AND(J22&lt;K22,K22&lt;=L22),((((662/K22)+0.399*'Alternative 2'!$B$21))/0.1450377),(0.6*'Alternative 2'!$B$21))</f>
        <v>190.07102760653163</v>
      </c>
      <c r="N22" s="261"/>
      <c r="O22" s="26">
        <f>'Alternative 3'!F22</f>
        <v>19</v>
      </c>
      <c r="P22" s="9">
        <f>3300/'Alternative 3'!$B$21</f>
        <v>66</v>
      </c>
      <c r="Q22" s="9">
        <f>2*'Alternative 3'!$K22/'Alternative 3'!$B$17</f>
        <v>86.905555555555551</v>
      </c>
      <c r="R22" s="9">
        <f>13000/'Alternative 3'!$B$21</f>
        <v>260</v>
      </c>
      <c r="S22" s="9">
        <f>IF(AND(P22&lt;Q22,Q22&lt;=R22),((((662/Q22)+0.399*'Alternative 3'!$B$21))/0.1450377),(0.6*'Alternative 3'!$B$21))</f>
        <v>190.07102760653163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</row>
    <row r="23" spans="1:239" s="2" customFormat="1" ht="15" customHeight="1" x14ac:dyDescent="0.25">
      <c r="A23" s="26"/>
      <c r="B23" s="26">
        <f>'Alternative 1'!F23</f>
        <v>20</v>
      </c>
      <c r="C23" s="261"/>
      <c r="D23" s="9">
        <f>3300/'Alternative 1'!$B$21</f>
        <v>66</v>
      </c>
      <c r="E23" s="9">
        <f>2*'Alternative 1'!$K23/'Alternative 1'!$B$17</f>
        <v>85.911111111111111</v>
      </c>
      <c r="F23" s="9">
        <f>13000/'Alternative 1'!$B$21</f>
        <v>260</v>
      </c>
      <c r="G23" s="9">
        <f>IF(AND(D23&lt;E23,E23&lt;=F23),((((662/E23)+0.399*'Alternative 1'!$B$21))/0.1450377),(0.6*'Alternative 1'!$B$21))</f>
        <v>190.67896762882469</v>
      </c>
      <c r="H23" s="261"/>
      <c r="I23" s="26">
        <f>'Alternative 2'!F23</f>
        <v>20</v>
      </c>
      <c r="J23" s="9">
        <f>3300/'Alternative 2'!$B$21</f>
        <v>66</v>
      </c>
      <c r="K23" s="9">
        <f>2*'Alternative 2'!$K23/'Alternative 2'!$B$17</f>
        <v>85.911111111111111</v>
      </c>
      <c r="L23" s="9">
        <f>13000/'Alternative 2'!$B$21</f>
        <v>260</v>
      </c>
      <c r="M23" s="9">
        <f>IF(AND(J23&lt;K23,K23&lt;=L23),((((662/K23)+0.399*'Alternative 2'!$B$21))/0.1450377),(0.6*'Alternative 2'!$B$21))</f>
        <v>190.67896762882469</v>
      </c>
      <c r="N23" s="261"/>
      <c r="O23" s="26">
        <f>'Alternative 3'!F23</f>
        <v>20</v>
      </c>
      <c r="P23" s="9">
        <f>3300/'Alternative 3'!$B$21</f>
        <v>66</v>
      </c>
      <c r="Q23" s="9">
        <f>2*'Alternative 3'!$K23/'Alternative 3'!$B$17</f>
        <v>85.911111111111111</v>
      </c>
      <c r="R23" s="9">
        <f>13000/'Alternative 3'!$B$21</f>
        <v>260</v>
      </c>
      <c r="S23" s="9">
        <f>IF(AND(P23&lt;Q23,Q23&lt;=R23),((((662/Q23)+0.399*'Alternative 3'!$B$21))/0.1450377),(0.6*'Alternative 3'!$B$21))</f>
        <v>190.67896762882469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</row>
    <row r="24" spans="1:239" s="2" customFormat="1" ht="15" customHeight="1" x14ac:dyDescent="0.25">
      <c r="A24" s="26"/>
      <c r="B24" s="26">
        <f>'Alternative 1'!F24</f>
        <v>21</v>
      </c>
      <c r="C24" s="261"/>
      <c r="D24" s="9">
        <f>3300/'Alternative 1'!$B$21</f>
        <v>66</v>
      </c>
      <c r="E24" s="9">
        <f>2*'Alternative 1'!$K24/'Alternative 1'!$B$17</f>
        <v>84.916666666666657</v>
      </c>
      <c r="F24" s="9">
        <f>13000/'Alternative 1'!$B$21</f>
        <v>260</v>
      </c>
      <c r="G24" s="9">
        <f>IF(AND(D24&lt;E24,E24&lt;=F24),((((662/E24)+0.399*'Alternative 1'!$B$21))/0.1450377),(0.6*'Alternative 1'!$B$21))</f>
        <v>191.30114661271287</v>
      </c>
      <c r="H24" s="261"/>
      <c r="I24" s="26">
        <f>'Alternative 2'!F24</f>
        <v>21</v>
      </c>
      <c r="J24" s="9">
        <f>3300/'Alternative 2'!$B$21</f>
        <v>66</v>
      </c>
      <c r="K24" s="9">
        <f>2*'Alternative 2'!$K24/'Alternative 2'!$B$17</f>
        <v>84.916666666666657</v>
      </c>
      <c r="L24" s="9">
        <f>13000/'Alternative 2'!$B$21</f>
        <v>260</v>
      </c>
      <c r="M24" s="9">
        <f>IF(AND(J24&lt;K24,K24&lt;=L24),((((662/K24)+0.399*'Alternative 2'!$B$21))/0.1450377),(0.6*'Alternative 2'!$B$21))</f>
        <v>191.30114661271287</v>
      </c>
      <c r="N24" s="261"/>
      <c r="O24" s="26">
        <f>'Alternative 3'!F24</f>
        <v>21</v>
      </c>
      <c r="P24" s="9">
        <f>3300/'Alternative 3'!$B$21</f>
        <v>66</v>
      </c>
      <c r="Q24" s="9">
        <f>2*'Alternative 3'!$K24/'Alternative 3'!$B$17</f>
        <v>84.916666666666657</v>
      </c>
      <c r="R24" s="9">
        <f>13000/'Alternative 3'!$B$21</f>
        <v>260</v>
      </c>
      <c r="S24" s="9">
        <f>IF(AND(P24&lt;Q24,Q24&lt;=R24),((((662/Q24)+0.399*'Alternative 3'!$B$21))/0.1450377),(0.6*'Alternative 3'!$B$21))</f>
        <v>191.30114661271287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</row>
    <row r="25" spans="1:239" s="2" customFormat="1" ht="15" customHeight="1" x14ac:dyDescent="0.25">
      <c r="A25" s="26"/>
      <c r="B25" s="26">
        <f>'Alternative 1'!F25</f>
        <v>22</v>
      </c>
      <c r="C25" s="261"/>
      <c r="D25" s="9">
        <f>3300/'Alternative 1'!$B$21</f>
        <v>66</v>
      </c>
      <c r="E25" s="9">
        <f>2*'Alternative 1'!$K25/'Alternative 1'!$B$17</f>
        <v>83.922222222222217</v>
      </c>
      <c r="F25" s="9">
        <f>13000/'Alternative 1'!$B$21</f>
        <v>260</v>
      </c>
      <c r="G25" s="9">
        <f>IF(AND(D25&lt;E25,E25&lt;=F25),((((662/E25)+0.399*'Alternative 1'!$B$21))/0.1450377),(0.6*'Alternative 1'!$B$21))</f>
        <v>191.93807073603116</v>
      </c>
      <c r="H25" s="261"/>
      <c r="I25" s="26">
        <f>'Alternative 2'!F25</f>
        <v>22</v>
      </c>
      <c r="J25" s="9">
        <f>3300/'Alternative 2'!$B$21</f>
        <v>66</v>
      </c>
      <c r="K25" s="9">
        <f>2*'Alternative 2'!$K25/'Alternative 2'!$B$17</f>
        <v>83.922222222222217</v>
      </c>
      <c r="L25" s="9">
        <f>13000/'Alternative 2'!$B$21</f>
        <v>260</v>
      </c>
      <c r="M25" s="9">
        <f>IF(AND(J25&lt;K25,K25&lt;=L25),((((662/K25)+0.399*'Alternative 2'!$B$21))/0.1450377),(0.6*'Alternative 2'!$B$21))</f>
        <v>191.93807073603116</v>
      </c>
      <c r="N25" s="261"/>
      <c r="O25" s="26">
        <f>'Alternative 3'!F25</f>
        <v>22</v>
      </c>
      <c r="P25" s="9">
        <f>3300/'Alternative 3'!$B$21</f>
        <v>66</v>
      </c>
      <c r="Q25" s="9">
        <f>2*'Alternative 3'!$K25/'Alternative 3'!$B$17</f>
        <v>83.922222222222217</v>
      </c>
      <c r="R25" s="9">
        <f>13000/'Alternative 3'!$B$21</f>
        <v>260</v>
      </c>
      <c r="S25" s="9">
        <f>IF(AND(P25&lt;Q25,Q25&lt;=R25),((((662/Q25)+0.399*'Alternative 3'!$B$21))/0.1450377),(0.6*'Alternative 3'!$B$21))</f>
        <v>191.93807073603116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</row>
    <row r="26" spans="1:239" s="2" customFormat="1" ht="15" customHeight="1" x14ac:dyDescent="0.25">
      <c r="A26" s="26"/>
      <c r="B26" s="26">
        <f>'Alternative 1'!F26</f>
        <v>23</v>
      </c>
      <c r="C26" s="261"/>
      <c r="D26" s="9">
        <f>3300/'Alternative 1'!$B$21</f>
        <v>66</v>
      </c>
      <c r="E26" s="9">
        <f>2*'Alternative 1'!$K26/'Alternative 1'!$B$17</f>
        <v>82.927777777777777</v>
      </c>
      <c r="F26" s="9">
        <f>13000/'Alternative 1'!$B$21</f>
        <v>260</v>
      </c>
      <c r="G26" s="9">
        <f>IF(AND(D26&lt;E26,E26&lt;=F26),((((662/E26)+0.399*'Alternative 1'!$B$21))/0.1450377),(0.6*'Alternative 1'!$B$21))</f>
        <v>192.5902704563313</v>
      </c>
      <c r="H26" s="261"/>
      <c r="I26" s="26">
        <f>'Alternative 2'!F26</f>
        <v>23</v>
      </c>
      <c r="J26" s="9">
        <f>3300/'Alternative 2'!$B$21</f>
        <v>66</v>
      </c>
      <c r="K26" s="9">
        <f>2*'Alternative 2'!$K26/'Alternative 2'!$B$17</f>
        <v>82.927777777777777</v>
      </c>
      <c r="L26" s="9">
        <f>13000/'Alternative 2'!$B$21</f>
        <v>260</v>
      </c>
      <c r="M26" s="9">
        <f>IF(AND(J26&lt;K26,K26&lt;=L26),((((662/K26)+0.399*'Alternative 2'!$B$21))/0.1450377),(0.6*'Alternative 2'!$B$21))</f>
        <v>192.5902704563313</v>
      </c>
      <c r="N26" s="261"/>
      <c r="O26" s="26">
        <f>'Alternative 3'!F26</f>
        <v>23</v>
      </c>
      <c r="P26" s="9">
        <f>3300/'Alternative 3'!$B$21</f>
        <v>66</v>
      </c>
      <c r="Q26" s="9">
        <f>2*'Alternative 3'!$K26/'Alternative 3'!$B$17</f>
        <v>82.927777777777777</v>
      </c>
      <c r="R26" s="9">
        <f>13000/'Alternative 3'!$B$21</f>
        <v>260</v>
      </c>
      <c r="S26" s="9">
        <f>IF(AND(P26&lt;Q26,Q26&lt;=R26),((((662/Q26)+0.399*'Alternative 3'!$B$21))/0.1450377),(0.6*'Alternative 3'!$B$21))</f>
        <v>192.5902704563313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</row>
    <row r="27" spans="1:239" s="2" customFormat="1" ht="15" customHeight="1" x14ac:dyDescent="0.25">
      <c r="A27" s="26"/>
      <c r="B27" s="26">
        <f>'Alternative 1'!F27</f>
        <v>24</v>
      </c>
      <c r="C27" s="261"/>
      <c r="D27" s="9">
        <f>3300/'Alternative 1'!$B$21</f>
        <v>66</v>
      </c>
      <c r="E27" s="9">
        <f>2*'Alternative 1'!$K27/'Alternative 1'!$B$17</f>
        <v>81.933333333333337</v>
      </c>
      <c r="F27" s="9">
        <f>13000/'Alternative 1'!$B$21</f>
        <v>260</v>
      </c>
      <c r="G27" s="9">
        <f>IF(AND(D27&lt;E27,E27&lt;=F27),((((662/E27)+0.399*'Alternative 1'!$B$21))/0.1450377),(0.6*'Alternative 1'!$B$21))</f>
        <v>193.25830198432521</v>
      </c>
      <c r="H27" s="261"/>
      <c r="I27" s="26">
        <f>'Alternative 2'!F27</f>
        <v>24</v>
      </c>
      <c r="J27" s="9">
        <f>3300/'Alternative 2'!$B$21</f>
        <v>66</v>
      </c>
      <c r="K27" s="9">
        <f>2*'Alternative 2'!$K27/'Alternative 2'!$B$17</f>
        <v>81.933333333333337</v>
      </c>
      <c r="L27" s="9">
        <f>13000/'Alternative 2'!$B$21</f>
        <v>260</v>
      </c>
      <c r="M27" s="9">
        <f>IF(AND(J27&lt;K27,K27&lt;=L27),((((662/K27)+0.399*'Alternative 2'!$B$21))/0.1450377),(0.6*'Alternative 2'!$B$21))</f>
        <v>193.25830198432521</v>
      </c>
      <c r="N27" s="261"/>
      <c r="O27" s="26">
        <f>'Alternative 3'!F27</f>
        <v>24</v>
      </c>
      <c r="P27" s="9">
        <f>3300/'Alternative 3'!$B$21</f>
        <v>66</v>
      </c>
      <c r="Q27" s="9">
        <f>2*'Alternative 3'!$K27/'Alternative 3'!$B$17</f>
        <v>81.933333333333337</v>
      </c>
      <c r="R27" s="9">
        <f>13000/'Alternative 3'!$B$21</f>
        <v>260</v>
      </c>
      <c r="S27" s="9">
        <f>IF(AND(P27&lt;Q27,Q27&lt;=R27),((((662/Q27)+0.399*'Alternative 3'!$B$21))/0.1450377),(0.6*'Alternative 3'!$B$21))</f>
        <v>193.25830198432521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</row>
    <row r="28" spans="1:239" s="2" customFormat="1" ht="15" customHeight="1" x14ac:dyDescent="0.25">
      <c r="A28" s="26"/>
      <c r="B28" s="26">
        <f>'Alternative 1'!F28</f>
        <v>25</v>
      </c>
      <c r="C28" s="261"/>
      <c r="D28" s="9">
        <f>3300/'Alternative 1'!$B$21</f>
        <v>66</v>
      </c>
      <c r="E28" s="9">
        <f>2*'Alternative 1'!$K28/'Alternative 1'!$B$17</f>
        <v>80.938888888888897</v>
      </c>
      <c r="F28" s="9">
        <f>13000/'Alternative 1'!$B$21</f>
        <v>260</v>
      </c>
      <c r="G28" s="9">
        <f>IF(AND(D28&lt;E28,E28&lt;=F28),((((662/E28)+0.399*'Alternative 1'!$B$21))/0.1450377),(0.6*'Alternative 1'!$B$21))</f>
        <v>193.94274886594818</v>
      </c>
      <c r="H28" s="261"/>
      <c r="I28" s="26">
        <f>'Alternative 2'!F28</f>
        <v>25</v>
      </c>
      <c r="J28" s="9">
        <f>3300/'Alternative 2'!$B$21</f>
        <v>66</v>
      </c>
      <c r="K28" s="9">
        <f>2*'Alternative 2'!$K28/'Alternative 2'!$B$17</f>
        <v>80.938888888888897</v>
      </c>
      <c r="L28" s="9">
        <f>13000/'Alternative 2'!$B$21</f>
        <v>260</v>
      </c>
      <c r="M28" s="9">
        <f>IF(AND(J28&lt;K28,K28&lt;=L28),((((662/K28)+0.399*'Alternative 2'!$B$21))/0.1450377),(0.6*'Alternative 2'!$B$21))</f>
        <v>193.94274886594818</v>
      </c>
      <c r="N28" s="261"/>
      <c r="O28" s="26">
        <f>'Alternative 3'!F28</f>
        <v>25</v>
      </c>
      <c r="P28" s="9">
        <f>3300/'Alternative 3'!$B$21</f>
        <v>66</v>
      </c>
      <c r="Q28" s="9">
        <f>2*'Alternative 3'!$K28/'Alternative 3'!$B$17</f>
        <v>80.938888888888897</v>
      </c>
      <c r="R28" s="9">
        <f>13000/'Alternative 3'!$B$21</f>
        <v>260</v>
      </c>
      <c r="S28" s="9">
        <f>IF(AND(P28&lt;Q28,Q28&lt;=R28),((((662/Q28)+0.399*'Alternative 3'!$B$21))/0.1450377),(0.6*'Alternative 3'!$B$21))</f>
        <v>193.94274886594818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</row>
    <row r="29" spans="1:239" s="2" customFormat="1" ht="15" customHeight="1" x14ac:dyDescent="0.25">
      <c r="A29" s="26"/>
      <c r="B29" s="26">
        <f>'Alternative 1'!F29</f>
        <v>26</v>
      </c>
      <c r="C29" s="261"/>
      <c r="D29" s="9">
        <f>3300/'Alternative 1'!$B$21</f>
        <v>66</v>
      </c>
      <c r="E29" s="9">
        <f>2*'Alternative 1'!$K29/'Alternative 1'!$B$17</f>
        <v>79.944444444444443</v>
      </c>
      <c r="F29" s="9">
        <f>13000/'Alternative 1'!$B$21</f>
        <v>260</v>
      </c>
      <c r="G29" s="9">
        <f>IF(AND(D29&lt;E29,E29&lt;=F29),((((662/E29)+0.399*'Alternative 1'!$B$21))/0.1450377),(0.6*'Alternative 1'!$B$21))</f>
        <v>194.64422368249964</v>
      </c>
      <c r="H29" s="261"/>
      <c r="I29" s="26">
        <f>'Alternative 2'!F29</f>
        <v>26</v>
      </c>
      <c r="J29" s="9">
        <f>3300/'Alternative 2'!$B$21</f>
        <v>66</v>
      </c>
      <c r="K29" s="9">
        <f>2*'Alternative 2'!$K29/'Alternative 2'!$B$17</f>
        <v>79.944444444444443</v>
      </c>
      <c r="L29" s="9">
        <f>13000/'Alternative 2'!$B$21</f>
        <v>260</v>
      </c>
      <c r="M29" s="9">
        <f>IF(AND(J29&lt;K29,K29&lt;=L29),((((662/K29)+0.399*'Alternative 2'!$B$21))/0.1450377),(0.6*'Alternative 2'!$B$21))</f>
        <v>194.64422368249964</v>
      </c>
      <c r="N29" s="261"/>
      <c r="O29" s="26">
        <f>'Alternative 3'!F29</f>
        <v>26</v>
      </c>
      <c r="P29" s="9">
        <f>3300/'Alternative 3'!$B$21</f>
        <v>66</v>
      </c>
      <c r="Q29" s="9">
        <f>2*'Alternative 3'!$K29/'Alternative 3'!$B$17</f>
        <v>79.944444444444443</v>
      </c>
      <c r="R29" s="9">
        <f>13000/'Alternative 3'!$B$21</f>
        <v>260</v>
      </c>
      <c r="S29" s="9">
        <f>IF(AND(P29&lt;Q29,Q29&lt;=R29),((((662/Q29)+0.399*'Alternative 3'!$B$21))/0.1450377),(0.6*'Alternative 3'!$B$21))</f>
        <v>194.64422368249964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</row>
    <row r="30" spans="1:239" s="2" customFormat="1" ht="15" customHeight="1" x14ac:dyDescent="0.25">
      <c r="A30" s="26"/>
      <c r="B30" s="26">
        <f>'Alternative 1'!F30</f>
        <v>27</v>
      </c>
      <c r="C30" s="261"/>
      <c r="D30" s="9">
        <f>3300/'Alternative 1'!$B$21</f>
        <v>66</v>
      </c>
      <c r="E30" s="9">
        <f>2*'Alternative 1'!$K30/'Alternative 1'!$B$17</f>
        <v>78.95</v>
      </c>
      <c r="F30" s="9">
        <f>13000/'Alternative 1'!$B$21</f>
        <v>260</v>
      </c>
      <c r="G30" s="9">
        <f>IF(AND(D30&lt;E30,E30&lt;=F30),((((662/E30)+0.399*'Alternative 1'!$B$21))/0.1450377),(0.6*'Alternative 1'!$B$21))</f>
        <v>195.36336987927243</v>
      </c>
      <c r="H30" s="261"/>
      <c r="I30" s="26">
        <f>'Alternative 2'!F30</f>
        <v>27</v>
      </c>
      <c r="J30" s="9">
        <f>3300/'Alternative 2'!$B$21</f>
        <v>66</v>
      </c>
      <c r="K30" s="9">
        <f>2*'Alternative 2'!$K30/'Alternative 2'!$B$17</f>
        <v>78.95</v>
      </c>
      <c r="L30" s="9">
        <f>13000/'Alternative 2'!$B$21</f>
        <v>260</v>
      </c>
      <c r="M30" s="9">
        <f>IF(AND(J30&lt;K30,K30&lt;=L30),((((662/K30)+0.399*'Alternative 2'!$B$21))/0.1450377),(0.6*'Alternative 2'!$B$21))</f>
        <v>195.36336987927243</v>
      </c>
      <c r="N30" s="261"/>
      <c r="O30" s="26">
        <f>'Alternative 3'!F30</f>
        <v>27</v>
      </c>
      <c r="P30" s="9">
        <f>3300/'Alternative 3'!$B$21</f>
        <v>66</v>
      </c>
      <c r="Q30" s="9">
        <f>2*'Alternative 3'!$K30/'Alternative 3'!$B$17</f>
        <v>78.95</v>
      </c>
      <c r="R30" s="9">
        <f>13000/'Alternative 3'!$B$21</f>
        <v>260</v>
      </c>
      <c r="S30" s="9">
        <f>IF(AND(P30&lt;Q30,Q30&lt;=R30),((((662/Q30)+0.399*'Alternative 3'!$B$21))/0.1450377),(0.6*'Alternative 3'!$B$21))</f>
        <v>195.36336987927243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</row>
    <row r="31" spans="1:239" s="2" customFormat="1" ht="15" customHeight="1" x14ac:dyDescent="0.25">
      <c r="A31" s="26"/>
      <c r="B31" s="26">
        <f>'Alternative 1'!F31</f>
        <v>28</v>
      </c>
      <c r="C31" s="261"/>
      <c r="D31" s="9">
        <f>3300/'Alternative 1'!$B$21</f>
        <v>66</v>
      </c>
      <c r="E31" s="9">
        <f>2*'Alternative 1'!$K31/'Alternative 1'!$B$17</f>
        <v>77.955555555555549</v>
      </c>
      <c r="F31" s="9">
        <f>13000/'Alternative 1'!$B$21</f>
        <v>260</v>
      </c>
      <c r="G31" s="9">
        <f>IF(AND(D31&lt;E31,E31&lt;=F31),((((662/E31)+0.399*'Alternative 1'!$B$21))/0.1450377),(0.6*'Alternative 1'!$B$21))</f>
        <v>196.10086373414421</v>
      </c>
      <c r="H31" s="261"/>
      <c r="I31" s="26">
        <f>'Alternative 2'!F31</f>
        <v>28</v>
      </c>
      <c r="J31" s="9">
        <f>3300/'Alternative 2'!$B$21</f>
        <v>66</v>
      </c>
      <c r="K31" s="9">
        <f>2*'Alternative 2'!$K31/'Alternative 2'!$B$17</f>
        <v>77.955555555555549</v>
      </c>
      <c r="L31" s="9">
        <f>13000/'Alternative 2'!$B$21</f>
        <v>260</v>
      </c>
      <c r="M31" s="9">
        <f>IF(AND(J31&lt;K31,K31&lt;=L31),((((662/K31)+0.399*'Alternative 2'!$B$21))/0.1450377),(0.6*'Alternative 2'!$B$21))</f>
        <v>196.10086373414421</v>
      </c>
      <c r="N31" s="261"/>
      <c r="O31" s="26">
        <f>'Alternative 3'!F31</f>
        <v>28</v>
      </c>
      <c r="P31" s="9">
        <f>3300/'Alternative 3'!$B$21</f>
        <v>66</v>
      </c>
      <c r="Q31" s="9">
        <f>2*'Alternative 3'!$K31/'Alternative 3'!$B$17</f>
        <v>77.955555555555549</v>
      </c>
      <c r="R31" s="9">
        <f>13000/'Alternative 3'!$B$21</f>
        <v>260</v>
      </c>
      <c r="S31" s="9">
        <f>IF(AND(P31&lt;Q31,Q31&lt;=R31),((((662/Q31)+0.399*'Alternative 3'!$B$21))/0.1450377),(0.6*'Alternative 3'!$B$21))</f>
        <v>196.10086373414421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</row>
    <row r="32" spans="1:239" s="2" customFormat="1" ht="15" customHeight="1" x14ac:dyDescent="0.25">
      <c r="A32" s="26"/>
      <c r="B32" s="26">
        <f>'Alternative 1'!F32</f>
        <v>29</v>
      </c>
      <c r="C32" s="261"/>
      <c r="D32" s="9">
        <f>3300/'Alternative 1'!$B$21</f>
        <v>66</v>
      </c>
      <c r="E32" s="9">
        <f>2*'Alternative 1'!$K32/'Alternative 1'!$B$17</f>
        <v>76.961111111111094</v>
      </c>
      <c r="F32" s="9">
        <f>13000/'Alternative 1'!$B$21</f>
        <v>260</v>
      </c>
      <c r="G32" s="9">
        <f>IF(AND(D32&lt;E32,E32&lt;=F32),((((662/E32)+0.399*'Alternative 1'!$B$21))/0.1450377),(0.6*'Alternative 1'!$B$21))</f>
        <v>196.85741647879036</v>
      </c>
      <c r="H32" s="261"/>
      <c r="I32" s="26">
        <f>'Alternative 2'!F32</f>
        <v>29</v>
      </c>
      <c r="J32" s="9">
        <f>3300/'Alternative 2'!$B$21</f>
        <v>66</v>
      </c>
      <c r="K32" s="9">
        <f>2*'Alternative 2'!$K32/'Alternative 2'!$B$17</f>
        <v>76.961111111111094</v>
      </c>
      <c r="L32" s="9">
        <f>13000/'Alternative 2'!$B$21</f>
        <v>260</v>
      </c>
      <c r="M32" s="9">
        <f>IF(AND(J32&lt;K32,K32&lt;=L32),((((662/K32)+0.399*'Alternative 2'!$B$21))/0.1450377),(0.6*'Alternative 2'!$B$21))</f>
        <v>196.85741647879036</v>
      </c>
      <c r="N32" s="261"/>
      <c r="O32" s="26">
        <f>'Alternative 3'!F32</f>
        <v>29</v>
      </c>
      <c r="P32" s="9">
        <f>3300/'Alternative 3'!$B$21</f>
        <v>66</v>
      </c>
      <c r="Q32" s="9">
        <f>2*'Alternative 3'!$K32/'Alternative 3'!$B$17</f>
        <v>76.961111111111094</v>
      </c>
      <c r="R32" s="9">
        <f>13000/'Alternative 3'!$B$21</f>
        <v>260</v>
      </c>
      <c r="S32" s="9">
        <f>IF(AND(P32&lt;Q32,Q32&lt;=R32),((((662/Q32)+0.399*'Alternative 3'!$B$21))/0.1450377),(0.6*'Alternative 3'!$B$21))</f>
        <v>196.85741647879036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</row>
    <row r="33" spans="1:239" s="2" customFormat="1" ht="15" customHeight="1" x14ac:dyDescent="0.25">
      <c r="A33" s="26"/>
      <c r="B33" s="26">
        <f>'Alternative 1'!F33</f>
        <v>30</v>
      </c>
      <c r="C33" s="261"/>
      <c r="D33" s="9">
        <f>3300/'Alternative 1'!$B$21</f>
        <v>66</v>
      </c>
      <c r="E33" s="9">
        <f>2*'Alternative 1'!$K33/'Alternative 1'!$B$17</f>
        <v>75.966666666666669</v>
      </c>
      <c r="F33" s="9">
        <f>13000/'Alternative 1'!$B$21</f>
        <v>260</v>
      </c>
      <c r="G33" s="9">
        <f>IF(AND(D33&lt;E33,E33&lt;=F33),((((662/E33)+0.399*'Alternative 1'!$B$21))/0.1450377),(0.6*'Alternative 1'!$B$21))</f>
        <v>197.63377658650381</v>
      </c>
      <c r="H33" s="261"/>
      <c r="I33" s="26">
        <f>'Alternative 2'!F33</f>
        <v>30</v>
      </c>
      <c r="J33" s="9">
        <f>3300/'Alternative 2'!$B$21</f>
        <v>66</v>
      </c>
      <c r="K33" s="9">
        <f>2*'Alternative 2'!$K33/'Alternative 2'!$B$17</f>
        <v>75.966666666666669</v>
      </c>
      <c r="L33" s="9">
        <f>13000/'Alternative 2'!$B$21</f>
        <v>260</v>
      </c>
      <c r="M33" s="9">
        <f>IF(AND(J33&lt;K33,K33&lt;=L33),((((662/K33)+0.399*'Alternative 2'!$B$21))/0.1450377),(0.6*'Alternative 2'!$B$21))</f>
        <v>197.63377658650381</v>
      </c>
      <c r="N33" s="261"/>
      <c r="O33" s="26">
        <f>'Alternative 3'!F33</f>
        <v>30</v>
      </c>
      <c r="P33" s="9">
        <f>3300/'Alternative 3'!$B$21</f>
        <v>66</v>
      </c>
      <c r="Q33" s="9">
        <f>2*'Alternative 3'!$K33/'Alternative 3'!$B$17</f>
        <v>75.966666666666669</v>
      </c>
      <c r="R33" s="9">
        <f>13000/'Alternative 3'!$B$21</f>
        <v>260</v>
      </c>
      <c r="S33" s="9">
        <f>IF(AND(P33&lt;Q33,Q33&lt;=R33),((((662/Q33)+0.399*'Alternative 3'!$B$21))/0.1450377),(0.6*'Alternative 3'!$B$21))</f>
        <v>197.63377658650381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</row>
    <row r="34" spans="1:239" s="2" customFormat="1" ht="15" customHeight="1" x14ac:dyDescent="0.25">
      <c r="A34" s="26"/>
      <c r="B34" s="26">
        <f>'Alternative 1'!F34</f>
        <v>31</v>
      </c>
      <c r="C34" s="261"/>
      <c r="D34" s="9">
        <f>3300/'Alternative 1'!$B$21</f>
        <v>66</v>
      </c>
      <c r="E34" s="9">
        <f>2*'Alternative 1'!$K34/'Alternative 1'!$B$17</f>
        <v>74.972222222222214</v>
      </c>
      <c r="F34" s="9">
        <f>13000/'Alternative 1'!$B$21</f>
        <v>260</v>
      </c>
      <c r="G34" s="9">
        <f>IF(AND(D34&lt;E34,E34&lt;=F34),((((662/E34)+0.399*'Alternative 1'!$B$21))/0.1450377),(0.6*'Alternative 1'!$B$21))</f>
        <v>198.43073224209144</v>
      </c>
      <c r="H34" s="261"/>
      <c r="I34" s="26">
        <f>'Alternative 2'!F34</f>
        <v>31</v>
      </c>
      <c r="J34" s="9">
        <f>3300/'Alternative 2'!$B$21</f>
        <v>66</v>
      </c>
      <c r="K34" s="9">
        <f>2*'Alternative 2'!$K34/'Alternative 2'!$B$17</f>
        <v>74.972222222222214</v>
      </c>
      <c r="L34" s="9">
        <f>13000/'Alternative 2'!$B$21</f>
        <v>260</v>
      </c>
      <c r="M34" s="9">
        <f>IF(AND(J34&lt;K34,K34&lt;=L34),((((662/K34)+0.399*'Alternative 2'!$B$21))/0.1450377),(0.6*'Alternative 2'!$B$21))</f>
        <v>198.43073224209144</v>
      </c>
      <c r="N34" s="261"/>
      <c r="O34" s="26">
        <f>'Alternative 3'!F34</f>
        <v>31</v>
      </c>
      <c r="P34" s="9">
        <f>3300/'Alternative 3'!$B$21</f>
        <v>66</v>
      </c>
      <c r="Q34" s="9">
        <f>2*'Alternative 3'!$K34/'Alternative 3'!$B$17</f>
        <v>74.972222222222214</v>
      </c>
      <c r="R34" s="9">
        <f>13000/'Alternative 3'!$B$21</f>
        <v>260</v>
      </c>
      <c r="S34" s="9">
        <f>IF(AND(P34&lt;Q34,Q34&lt;=R34),((((662/Q34)+0.399*'Alternative 3'!$B$21))/0.1450377),(0.6*'Alternative 3'!$B$21))</f>
        <v>198.43073224209144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</row>
    <row r="35" spans="1:239" s="2" customFormat="1" ht="15" customHeight="1" x14ac:dyDescent="0.25">
      <c r="A35" s="26"/>
      <c r="B35" s="26">
        <f>'Alternative 1'!F35</f>
        <v>32</v>
      </c>
      <c r="C35" s="261"/>
      <c r="D35" s="9">
        <f>3300/'Alternative 1'!$B$21</f>
        <v>66</v>
      </c>
      <c r="E35" s="9">
        <f>2*'Alternative 1'!$K35/'Alternative 1'!$B$17</f>
        <v>73.977777777777774</v>
      </c>
      <c r="F35" s="9">
        <f>13000/'Alternative 1'!$B$21</f>
        <v>260</v>
      </c>
      <c r="G35" s="9">
        <f>IF(AND(D35&lt;E35,E35&lt;=F35),((((662/E35)+0.399*'Alternative 1'!$B$21))/0.1450377),(0.6*'Alternative 1'!$B$21))</f>
        <v>199.2491140109789</v>
      </c>
      <c r="H35" s="261"/>
      <c r="I35" s="26">
        <f>'Alternative 2'!F35</f>
        <v>32</v>
      </c>
      <c r="J35" s="9">
        <f>3300/'Alternative 2'!$B$21</f>
        <v>66</v>
      </c>
      <c r="K35" s="9">
        <f>2*'Alternative 2'!$K35/'Alternative 2'!$B$17</f>
        <v>73.977777777777774</v>
      </c>
      <c r="L35" s="9">
        <f>13000/'Alternative 2'!$B$21</f>
        <v>260</v>
      </c>
      <c r="M35" s="9">
        <f>IF(AND(J35&lt;K35,K35&lt;=L35),((((662/K35)+0.399*'Alternative 2'!$B$21))/0.1450377),(0.6*'Alternative 2'!$B$21))</f>
        <v>199.2491140109789</v>
      </c>
      <c r="N35" s="261"/>
      <c r="O35" s="26">
        <f>'Alternative 3'!F35</f>
        <v>32</v>
      </c>
      <c r="P35" s="9">
        <f>3300/'Alternative 3'!$B$21</f>
        <v>66</v>
      </c>
      <c r="Q35" s="9">
        <f>2*'Alternative 3'!$K35/'Alternative 3'!$B$17</f>
        <v>73.977777777777774</v>
      </c>
      <c r="R35" s="9">
        <f>13000/'Alternative 3'!$B$21</f>
        <v>260</v>
      </c>
      <c r="S35" s="9">
        <f>IF(AND(P35&lt;Q35,Q35&lt;=R35),((((662/Q35)+0.399*'Alternative 3'!$B$21))/0.1450377),(0.6*'Alternative 3'!$B$21))</f>
        <v>199.2491140109789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</row>
    <row r="36" spans="1:239" s="2" customFormat="1" ht="15" customHeight="1" x14ac:dyDescent="0.25">
      <c r="A36" s="26"/>
      <c r="B36" s="26">
        <f>'Alternative 1'!F36</f>
        <v>33</v>
      </c>
      <c r="C36" s="261"/>
      <c r="D36" s="9">
        <f>3300/'Alternative 1'!$B$21</f>
        <v>66</v>
      </c>
      <c r="E36" s="9">
        <f>2*'Alternative 1'!$K36/'Alternative 1'!$B$17</f>
        <v>72.983333333333334</v>
      </c>
      <c r="F36" s="9">
        <f>13000/'Alternative 1'!$B$21</f>
        <v>260</v>
      </c>
      <c r="G36" s="9">
        <f>IF(AND(D36&lt;E36,E36&lt;=F36),((((662/E36)+0.399*'Alternative 1'!$B$21))/0.1450377),(0.6*'Alternative 1'!$B$21))</f>
        <v>200.08979772652549</v>
      </c>
      <c r="H36" s="261"/>
      <c r="I36" s="26">
        <f>'Alternative 2'!F36</f>
        <v>33</v>
      </c>
      <c r="J36" s="9">
        <f>3300/'Alternative 2'!$B$21</f>
        <v>66</v>
      </c>
      <c r="K36" s="9">
        <f>2*'Alternative 2'!$K36/'Alternative 2'!$B$17</f>
        <v>72.983333333333334</v>
      </c>
      <c r="L36" s="9">
        <f>13000/'Alternative 2'!$B$21</f>
        <v>260</v>
      </c>
      <c r="M36" s="9">
        <f>IF(AND(J36&lt;K36,K36&lt;=L36),((((662/K36)+0.399*'Alternative 2'!$B$21))/0.1450377),(0.6*'Alternative 2'!$B$21))</f>
        <v>200.08979772652549</v>
      </c>
      <c r="N36" s="261"/>
      <c r="O36" s="26">
        <f>'Alternative 3'!F36</f>
        <v>33</v>
      </c>
      <c r="P36" s="9">
        <f>3300/'Alternative 3'!$B$21</f>
        <v>66</v>
      </c>
      <c r="Q36" s="9">
        <f>2*'Alternative 3'!$K36/'Alternative 3'!$B$17</f>
        <v>72.983333333333334</v>
      </c>
      <c r="R36" s="9">
        <f>13000/'Alternative 3'!$B$21</f>
        <v>260</v>
      </c>
      <c r="S36" s="9">
        <f>IF(AND(P36&lt;Q36,Q36&lt;=R36),((((662/Q36)+0.399*'Alternative 3'!$B$21))/0.1450377),(0.6*'Alternative 3'!$B$21))</f>
        <v>200.08979772652549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</row>
    <row r="37" spans="1:239" s="2" customFormat="1" ht="15" customHeight="1" x14ac:dyDescent="0.25">
      <c r="A37" s="26"/>
      <c r="B37" s="26">
        <f>'Alternative 1'!F37</f>
        <v>34</v>
      </c>
      <c r="C37" s="261"/>
      <c r="D37" s="9">
        <f>3300/'Alternative 1'!$B$21</f>
        <v>66</v>
      </c>
      <c r="E37" s="9">
        <f>2*'Alternative 1'!$K37/'Alternative 1'!$B$17</f>
        <v>71.98888888888888</v>
      </c>
      <c r="F37" s="9">
        <f>13000/'Alternative 1'!$B$21</f>
        <v>260</v>
      </c>
      <c r="G37" s="9">
        <f>IF(AND(D37&lt;E37,E37&lt;=F37),((((662/E37)+0.399*'Alternative 1'!$B$21))/0.1450377),(0.6*'Alternative 1'!$B$21))</f>
        <v>200.9537076166489</v>
      </c>
      <c r="H37" s="261"/>
      <c r="I37" s="26">
        <f>'Alternative 2'!F37</f>
        <v>34</v>
      </c>
      <c r="J37" s="9">
        <f>3300/'Alternative 2'!$B$21</f>
        <v>66</v>
      </c>
      <c r="K37" s="9">
        <f>2*'Alternative 2'!$K37/'Alternative 2'!$B$17</f>
        <v>71.98888888888888</v>
      </c>
      <c r="L37" s="9">
        <f>13000/'Alternative 2'!$B$21</f>
        <v>260</v>
      </c>
      <c r="M37" s="9">
        <f>IF(AND(J37&lt;K37,K37&lt;=L37),((((662/K37)+0.399*'Alternative 2'!$B$21))/0.1450377),(0.6*'Alternative 2'!$B$21))</f>
        <v>200.9537076166489</v>
      </c>
      <c r="N37" s="261"/>
      <c r="O37" s="26">
        <f>'Alternative 3'!F37</f>
        <v>34</v>
      </c>
      <c r="P37" s="9">
        <f>3300/'Alternative 3'!$B$21</f>
        <v>66</v>
      </c>
      <c r="Q37" s="9">
        <f>2*'Alternative 3'!$K37/'Alternative 3'!$B$17</f>
        <v>71.98888888888888</v>
      </c>
      <c r="R37" s="9">
        <f>13000/'Alternative 3'!$B$21</f>
        <v>260</v>
      </c>
      <c r="S37" s="9">
        <f>IF(AND(P37&lt;Q37,Q37&lt;=R37),((((662/Q37)+0.399*'Alternative 3'!$B$21))/0.1450377),(0.6*'Alternative 3'!$B$21))</f>
        <v>200.9537076166489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</row>
    <row r="38" spans="1:239" s="2" customFormat="1" ht="15" customHeight="1" x14ac:dyDescent="0.25">
      <c r="A38" s="26"/>
      <c r="B38" s="26">
        <f>'Alternative 1'!F38</f>
        <v>35</v>
      </c>
      <c r="C38" s="261"/>
      <c r="D38" s="9">
        <f>3300/'Alternative 1'!$B$21</f>
        <v>66</v>
      </c>
      <c r="E38" s="9">
        <f>2*'Alternative 1'!$K38/'Alternative 1'!$B$17</f>
        <v>70.994444444444454</v>
      </c>
      <c r="F38" s="9">
        <f>13000/'Alternative 1'!$B$21</f>
        <v>260</v>
      </c>
      <c r="G38" s="9">
        <f>IF(AND(D38&lt;E38,E38&lt;=F38),((((662/E38)+0.399*'Alternative 1'!$B$21))/0.1450377),(0.6*'Alternative 1'!$B$21))</f>
        <v>201.84181969322381</v>
      </c>
      <c r="H38" s="261"/>
      <c r="I38" s="26">
        <f>'Alternative 2'!F38</f>
        <v>35</v>
      </c>
      <c r="J38" s="9">
        <f>3300/'Alternative 2'!$B$21</f>
        <v>66</v>
      </c>
      <c r="K38" s="9">
        <f>2*'Alternative 2'!$K38/'Alternative 2'!$B$17</f>
        <v>70.994444444444454</v>
      </c>
      <c r="L38" s="9">
        <f>13000/'Alternative 2'!$B$21</f>
        <v>260</v>
      </c>
      <c r="M38" s="9">
        <f>IF(AND(J38&lt;K38,K38&lt;=L38),((((662/K38)+0.399*'Alternative 2'!$B$21))/0.1450377),(0.6*'Alternative 2'!$B$21))</f>
        <v>201.84181969322381</v>
      </c>
      <c r="N38" s="261"/>
      <c r="O38" s="26">
        <f>'Alternative 3'!F38</f>
        <v>35</v>
      </c>
      <c r="P38" s="9">
        <f>3300/'Alternative 3'!$B$21</f>
        <v>66</v>
      </c>
      <c r="Q38" s="9">
        <f>2*'Alternative 3'!$K38/'Alternative 3'!$B$17</f>
        <v>70.994444444444454</v>
      </c>
      <c r="R38" s="9">
        <f>13000/'Alternative 3'!$B$21</f>
        <v>260</v>
      </c>
      <c r="S38" s="9">
        <f>IF(AND(P38&lt;Q38,Q38&lt;=R38),((((662/Q38)+0.399*'Alternative 3'!$B$21))/0.1450377),(0.6*'Alternative 3'!$B$21))</f>
        <v>201.84181969322381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</row>
    <row r="39" spans="1:239" s="2" customFormat="1" ht="15" customHeight="1" x14ac:dyDescent="0.25">
      <c r="A39" s="26"/>
      <c r="B39" s="26">
        <f>'Alternative 1'!F39</f>
        <v>36</v>
      </c>
      <c r="C39" s="261"/>
      <c r="D39" s="9">
        <f>3300/'Alternative 1'!$B$21</f>
        <v>66</v>
      </c>
      <c r="E39" s="9">
        <f>2*'Alternative 1'!$K39/'Alternative 1'!$B$17</f>
        <v>70</v>
      </c>
      <c r="F39" s="9">
        <f>13000/'Alternative 1'!$B$21</f>
        <v>260</v>
      </c>
      <c r="G39" s="9">
        <f>IF(AND(D39&lt;E39,E39&lt;=F39),((((662/E39)+0.399*'Alternative 1'!$B$21))/0.1450377),(0.6*'Alternative 1'!$B$21))</f>
        <v>202.75516543038714</v>
      </c>
      <c r="H39" s="261"/>
      <c r="I39" s="26">
        <f>'Alternative 2'!F39</f>
        <v>36</v>
      </c>
      <c r="J39" s="9">
        <f>3300/'Alternative 2'!$B$21</f>
        <v>66</v>
      </c>
      <c r="K39" s="9">
        <f>2*'Alternative 2'!$K39/'Alternative 2'!$B$17</f>
        <v>70</v>
      </c>
      <c r="L39" s="9">
        <f>13000/'Alternative 2'!$B$21</f>
        <v>260</v>
      </c>
      <c r="M39" s="9">
        <f>IF(AND(J39&lt;K39,K39&lt;=L39),((((662/K39)+0.399*'Alternative 2'!$B$21))/0.1450377),(0.6*'Alternative 2'!$B$21))</f>
        <v>202.75516543038714</v>
      </c>
      <c r="N39" s="261"/>
      <c r="O39" s="26">
        <f>'Alternative 3'!F39</f>
        <v>36</v>
      </c>
      <c r="P39" s="9">
        <f>3300/'Alternative 3'!$B$21</f>
        <v>66</v>
      </c>
      <c r="Q39" s="9">
        <f>2*'Alternative 3'!$K39/'Alternative 3'!$B$17</f>
        <v>70</v>
      </c>
      <c r="R39" s="9">
        <f>13000/'Alternative 3'!$B$21</f>
        <v>260</v>
      </c>
      <c r="S39" s="9">
        <f>IF(AND(P39&lt;Q39,Q39&lt;=R39),((((662/Q39)+0.399*'Alternative 3'!$B$21))/0.1450377),(0.6*'Alternative 3'!$B$21))</f>
        <v>202.75516543038714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</row>
    <row r="40" spans="1:239" s="2" customFormat="1" ht="15" customHeight="1" x14ac:dyDescent="0.25">
      <c r="A40" s="26"/>
      <c r="B40" s="26" t="str">
        <f>'Alternative 1'!F40</f>
        <v>x</v>
      </c>
      <c r="C40" s="261"/>
      <c r="D40" s="9">
        <f>3300/'Alternative 1'!$B$21</f>
        <v>66</v>
      </c>
      <c r="E40" s="9" t="e">
        <f>2*'Alternative 1'!$K40/'Alternative 1'!$B$17</f>
        <v>#VALUE!</v>
      </c>
      <c r="F40" s="9">
        <f>13000/'Alternative 1'!$B$21</f>
        <v>260</v>
      </c>
      <c r="G40" s="9" t="e">
        <f>IF(AND(D40&lt;E40,E40&lt;=F40),((((662/E40)+0.399*'Alternative 1'!$B$21))/0.1450377),(0.6*'Alternative 1'!$B$21))</f>
        <v>#VALUE!</v>
      </c>
      <c r="H40" s="261"/>
      <c r="I40" s="26" t="str">
        <f>'Alternative 2'!F40</f>
        <v>x</v>
      </c>
      <c r="J40" s="9">
        <f>3300/'Alternative 2'!$B$21</f>
        <v>66</v>
      </c>
      <c r="K40" s="9" t="e">
        <f>2*'Alternative 2'!$K40/'Alternative 2'!$B$17</f>
        <v>#VALUE!</v>
      </c>
      <c r="L40" s="9">
        <f>13000/'Alternative 2'!$B$21</f>
        <v>260</v>
      </c>
      <c r="M40" s="9" t="e">
        <f>IF(AND(J40&lt;K40,K40&lt;=L40),((((662/K40)+0.399*'Alternative 2'!$B$21))/0.1450377),(0.6*'Alternative 2'!$B$21))</f>
        <v>#VALUE!</v>
      </c>
      <c r="N40" s="261"/>
      <c r="O40" s="26" t="str">
        <f>'Alternative 3'!F40</f>
        <v>x</v>
      </c>
      <c r="P40" s="9">
        <f>3300/'Alternative 3'!$B$21</f>
        <v>66</v>
      </c>
      <c r="Q40" s="9" t="e">
        <f>2*'Alternative 3'!$K40/'Alternative 3'!$B$17</f>
        <v>#VALUE!</v>
      </c>
      <c r="R40" s="9">
        <f>13000/'Alternative 3'!$B$21</f>
        <v>260</v>
      </c>
      <c r="S40" s="9" t="e">
        <f>IF(AND(P40&lt;Q40,Q40&lt;=R40),((((662/Q40)+0.399*'Alternative 3'!$B$21))/0.1450377),(0.6*'Alternative 3'!$B$21))</f>
        <v>#VALUE!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</row>
    <row r="41" spans="1:239" s="2" customFormat="1" ht="15" customHeight="1" x14ac:dyDescent="0.25">
      <c r="A41" s="26"/>
      <c r="B41" s="26" t="str">
        <f>'Alternative 1'!F41</f>
        <v>x</v>
      </c>
      <c r="C41" s="261"/>
      <c r="D41" s="9">
        <f>3300/'Alternative 1'!$B$21</f>
        <v>66</v>
      </c>
      <c r="E41" s="9" t="e">
        <f>2*'Alternative 1'!$K41/'Alternative 1'!$B$17</f>
        <v>#VALUE!</v>
      </c>
      <c r="F41" s="9">
        <f>13000/'Alternative 1'!$B$21</f>
        <v>260</v>
      </c>
      <c r="G41" s="9" t="e">
        <f>IF(AND(D41&lt;E41,E41&lt;=F41),((((662/E41)+0.399*'Alternative 1'!$B$21))/0.1450377),(0.6*'Alternative 1'!$B$21))</f>
        <v>#VALUE!</v>
      </c>
      <c r="H41" s="261"/>
      <c r="I41" s="26" t="str">
        <f>'Alternative 2'!F41</f>
        <v>x</v>
      </c>
      <c r="J41" s="9">
        <f>3300/'Alternative 2'!$B$21</f>
        <v>66</v>
      </c>
      <c r="K41" s="9" t="e">
        <f>2*'Alternative 2'!$K41/'Alternative 2'!$B$17</f>
        <v>#VALUE!</v>
      </c>
      <c r="L41" s="9">
        <f>13000/'Alternative 2'!$B$21</f>
        <v>260</v>
      </c>
      <c r="M41" s="9" t="e">
        <f>IF(AND(J41&lt;K41,K41&lt;=L41),((((662/K41)+0.399*'Alternative 2'!$B$21))/0.1450377),(0.6*'Alternative 2'!$B$21))</f>
        <v>#VALUE!</v>
      </c>
      <c r="N41" s="261"/>
      <c r="O41" s="26" t="str">
        <f>'Alternative 3'!F41</f>
        <v>x</v>
      </c>
      <c r="P41" s="9">
        <f>3300/'Alternative 3'!$B$21</f>
        <v>66</v>
      </c>
      <c r="Q41" s="9" t="e">
        <f>2*'Alternative 3'!$K41/'Alternative 3'!$B$17</f>
        <v>#VALUE!</v>
      </c>
      <c r="R41" s="9">
        <f>13000/'Alternative 3'!$B$21</f>
        <v>260</v>
      </c>
      <c r="S41" s="9" t="e">
        <f>IF(AND(P41&lt;Q41,Q41&lt;=R41),((((662/Q41)+0.399*'Alternative 3'!$B$21))/0.1450377),(0.6*'Alternative 3'!$B$21))</f>
        <v>#VALUE!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</row>
    <row r="42" spans="1:239" s="2" customFormat="1" ht="15" customHeight="1" x14ac:dyDescent="0.25">
      <c r="A42" s="26"/>
      <c r="B42" s="26" t="str">
        <f>'Alternative 1'!F42</f>
        <v>x</v>
      </c>
      <c r="C42" s="261"/>
      <c r="D42" s="9">
        <f>3300/'Alternative 1'!$B$21</f>
        <v>66</v>
      </c>
      <c r="E42" s="9" t="e">
        <f>2*'Alternative 1'!$K42/'Alternative 1'!$B$17</f>
        <v>#VALUE!</v>
      </c>
      <c r="F42" s="9">
        <f>13000/'Alternative 1'!$B$21</f>
        <v>260</v>
      </c>
      <c r="G42" s="9" t="e">
        <f>IF(AND(D42&lt;E42,E42&lt;=F42),((((662/E42)+0.399*'Alternative 1'!$B$21))/0.1450377),(0.6*'Alternative 1'!$B$21))</f>
        <v>#VALUE!</v>
      </c>
      <c r="H42" s="261"/>
      <c r="I42" s="26" t="str">
        <f>'Alternative 2'!F42</f>
        <v>x</v>
      </c>
      <c r="J42" s="9">
        <f>3300/'Alternative 2'!$B$21</f>
        <v>66</v>
      </c>
      <c r="K42" s="9" t="e">
        <f>2*'Alternative 2'!$K42/'Alternative 2'!$B$17</f>
        <v>#VALUE!</v>
      </c>
      <c r="L42" s="9">
        <f>13000/'Alternative 2'!$B$21</f>
        <v>260</v>
      </c>
      <c r="M42" s="9" t="e">
        <f>IF(AND(J42&lt;K42,K42&lt;=L42),((((662/K42)+0.399*'Alternative 2'!$B$21))/0.1450377),(0.6*'Alternative 2'!$B$21))</f>
        <v>#VALUE!</v>
      </c>
      <c r="N42" s="261"/>
      <c r="O42" s="26" t="str">
        <f>'Alternative 3'!F42</f>
        <v>x</v>
      </c>
      <c r="P42" s="9">
        <f>3300/'Alternative 3'!$B$21</f>
        <v>66</v>
      </c>
      <c r="Q42" s="9" t="e">
        <f>2*'Alternative 3'!$K42/'Alternative 3'!$B$17</f>
        <v>#VALUE!</v>
      </c>
      <c r="R42" s="9">
        <f>13000/'Alternative 3'!$B$21</f>
        <v>260</v>
      </c>
      <c r="S42" s="9" t="e">
        <f>IF(AND(P42&lt;Q42,Q42&lt;=R42),((((662/Q42)+0.399*'Alternative 3'!$B$21))/0.1450377),(0.6*'Alternative 3'!$B$21))</f>
        <v>#VALUE!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</row>
    <row r="43" spans="1:239" s="2" customFormat="1" ht="15" customHeight="1" x14ac:dyDescent="0.25">
      <c r="A43" s="26"/>
      <c r="B43" s="26" t="str">
        <f>'Alternative 1'!F43</f>
        <v>x</v>
      </c>
      <c r="C43" s="261"/>
      <c r="D43" s="9">
        <f>3300/'Alternative 1'!$B$21</f>
        <v>66</v>
      </c>
      <c r="E43" s="9" t="e">
        <f>2*'Alternative 1'!$K43/'Alternative 1'!$B$17</f>
        <v>#VALUE!</v>
      </c>
      <c r="F43" s="9">
        <f>13000/'Alternative 1'!$B$21</f>
        <v>260</v>
      </c>
      <c r="G43" s="9" t="e">
        <f>IF(AND(D43&lt;E43,E43&lt;=F43),((((662/E43)+0.399*'Alternative 1'!$B$21))/0.1450377),(0.6*'Alternative 1'!$B$21))</f>
        <v>#VALUE!</v>
      </c>
      <c r="H43" s="261"/>
      <c r="I43" s="26" t="str">
        <f>'Alternative 2'!F43</f>
        <v>x</v>
      </c>
      <c r="J43" s="9">
        <f>3300/'Alternative 2'!$B$21</f>
        <v>66</v>
      </c>
      <c r="K43" s="9" t="e">
        <f>2*'Alternative 2'!$K43/'Alternative 2'!$B$17</f>
        <v>#VALUE!</v>
      </c>
      <c r="L43" s="9">
        <f>13000/'Alternative 2'!$B$21</f>
        <v>260</v>
      </c>
      <c r="M43" s="9" t="e">
        <f>IF(AND(J43&lt;K43,K43&lt;=L43),((((662/K43)+0.399*'Alternative 2'!$B$21))/0.1450377),(0.6*'Alternative 2'!$B$21))</f>
        <v>#VALUE!</v>
      </c>
      <c r="N43" s="261"/>
      <c r="O43" s="26" t="str">
        <f>'Alternative 3'!F43</f>
        <v>x</v>
      </c>
      <c r="P43" s="9">
        <f>3300/'Alternative 3'!$B$21</f>
        <v>66</v>
      </c>
      <c r="Q43" s="9" t="e">
        <f>2*'Alternative 3'!$K43/'Alternative 3'!$B$17</f>
        <v>#VALUE!</v>
      </c>
      <c r="R43" s="9">
        <f>13000/'Alternative 3'!$B$21</f>
        <v>260</v>
      </c>
      <c r="S43" s="9" t="e">
        <f>IF(AND(P43&lt;Q43,Q43&lt;=R43),((((662/Q43)+0.399*'Alternative 3'!$B$21))/0.1450377),(0.6*'Alternative 3'!$B$21))</f>
        <v>#VALUE!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</row>
    <row r="44" spans="1:239" s="2" customFormat="1" ht="15" customHeight="1" x14ac:dyDescent="0.25">
      <c r="A44" s="26"/>
      <c r="B44" s="26" t="str">
        <f>'Alternative 1'!F44</f>
        <v>x</v>
      </c>
      <c r="C44" s="261"/>
      <c r="D44" s="9">
        <f>3300/'Alternative 1'!$B$21</f>
        <v>66</v>
      </c>
      <c r="E44" s="9" t="e">
        <f>2*'Alternative 1'!$K44/'Alternative 1'!$B$17</f>
        <v>#VALUE!</v>
      </c>
      <c r="F44" s="9">
        <f>13000/'Alternative 1'!$B$21</f>
        <v>260</v>
      </c>
      <c r="G44" s="9" t="e">
        <f>IF(AND(D44&lt;E44,E44&lt;=F44),((((662/E44)+0.399*'Alternative 1'!$B$21))/0.1450377),(0.6*'Alternative 1'!$B$21))</f>
        <v>#VALUE!</v>
      </c>
      <c r="H44" s="261"/>
      <c r="I44" s="26" t="str">
        <f>'Alternative 2'!F44</f>
        <v>x</v>
      </c>
      <c r="J44" s="9">
        <f>3300/'Alternative 2'!$B$21</f>
        <v>66</v>
      </c>
      <c r="K44" s="9" t="e">
        <f>2*'Alternative 2'!$K44/'Alternative 2'!$B$17</f>
        <v>#VALUE!</v>
      </c>
      <c r="L44" s="9">
        <f>13000/'Alternative 2'!$B$21</f>
        <v>260</v>
      </c>
      <c r="M44" s="9" t="e">
        <f>IF(AND(J44&lt;K44,K44&lt;=L44),((((662/K44)+0.399*'Alternative 2'!$B$21))/0.1450377),(0.6*'Alternative 2'!$B$21))</f>
        <v>#VALUE!</v>
      </c>
      <c r="N44" s="261"/>
      <c r="O44" s="26" t="str">
        <f>'Alternative 3'!F44</f>
        <v>x</v>
      </c>
      <c r="P44" s="9">
        <f>3300/'Alternative 3'!$B$21</f>
        <v>66</v>
      </c>
      <c r="Q44" s="9" t="e">
        <f>2*'Alternative 3'!$K44/'Alternative 3'!$B$17</f>
        <v>#VALUE!</v>
      </c>
      <c r="R44" s="9">
        <f>13000/'Alternative 3'!$B$21</f>
        <v>260</v>
      </c>
      <c r="S44" s="9" t="e">
        <f>IF(AND(P44&lt;Q44,Q44&lt;=R44),((((662/Q44)+0.399*'Alternative 3'!$B$21))/0.1450377),(0.6*'Alternative 3'!$B$21))</f>
        <v>#VALUE!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</row>
    <row r="45" spans="1:239" s="2" customFormat="1" ht="15" customHeight="1" x14ac:dyDescent="0.25">
      <c r="A45" s="26"/>
      <c r="B45" s="26" t="str">
        <f>'Alternative 1'!F45</f>
        <v>x</v>
      </c>
      <c r="C45" s="261"/>
      <c r="D45" s="9">
        <f>3300/'Alternative 1'!$B$21</f>
        <v>66</v>
      </c>
      <c r="E45" s="9" t="e">
        <f>2*'Alternative 1'!$K45/'Alternative 1'!$B$17</f>
        <v>#VALUE!</v>
      </c>
      <c r="F45" s="9">
        <f>13000/'Alternative 1'!$B$21</f>
        <v>260</v>
      </c>
      <c r="G45" s="9" t="e">
        <f>IF(AND(D45&lt;E45,E45&lt;=F45),((((662/E45)+0.399*'Alternative 1'!$B$21))/0.1450377),(0.6*'Alternative 1'!$B$21))</f>
        <v>#VALUE!</v>
      </c>
      <c r="H45" s="261"/>
      <c r="I45" s="26" t="str">
        <f>'Alternative 2'!F45</f>
        <v>x</v>
      </c>
      <c r="J45" s="9">
        <f>3300/'Alternative 2'!$B$21</f>
        <v>66</v>
      </c>
      <c r="K45" s="9" t="e">
        <f>2*'Alternative 2'!$K45/'Alternative 2'!$B$17</f>
        <v>#VALUE!</v>
      </c>
      <c r="L45" s="9">
        <f>13000/'Alternative 2'!$B$21</f>
        <v>260</v>
      </c>
      <c r="M45" s="9" t="e">
        <f>IF(AND(J45&lt;K45,K45&lt;=L45),((((662/K45)+0.399*'Alternative 2'!$B$21))/0.1450377),(0.6*'Alternative 2'!$B$21))</f>
        <v>#VALUE!</v>
      </c>
      <c r="N45" s="261"/>
      <c r="O45" s="26" t="str">
        <f>'Alternative 3'!F45</f>
        <v>x</v>
      </c>
      <c r="P45" s="9">
        <f>3300/'Alternative 3'!$B$21</f>
        <v>66</v>
      </c>
      <c r="Q45" s="9" t="e">
        <f>2*'Alternative 3'!$K45/'Alternative 3'!$B$17</f>
        <v>#VALUE!</v>
      </c>
      <c r="R45" s="9">
        <f>13000/'Alternative 3'!$B$21</f>
        <v>260</v>
      </c>
      <c r="S45" s="9" t="e">
        <f>IF(AND(P45&lt;Q45,Q45&lt;=R45),((((662/Q45)+0.399*'Alternative 3'!$B$21))/0.1450377),(0.6*'Alternative 3'!$B$21))</f>
        <v>#VALUE!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</row>
    <row r="46" spans="1:239" s="2" customFormat="1" ht="15" customHeight="1" x14ac:dyDescent="0.25">
      <c r="A46" s="26"/>
      <c r="B46" s="26" t="str">
        <f>'Alternative 1'!F46</f>
        <v>x</v>
      </c>
      <c r="C46" s="261"/>
      <c r="D46" s="9">
        <f>3300/'Alternative 1'!$B$21</f>
        <v>66</v>
      </c>
      <c r="E46" s="9" t="e">
        <f>2*'Alternative 1'!$K46/'Alternative 1'!$B$17</f>
        <v>#VALUE!</v>
      </c>
      <c r="F46" s="9">
        <f>13000/'Alternative 1'!$B$21</f>
        <v>260</v>
      </c>
      <c r="G46" s="9" t="e">
        <f>IF(AND(D46&lt;E46,E46&lt;=F46),((((662/E46)+0.399*'Alternative 1'!$B$21))/0.1450377),(0.6*'Alternative 1'!$B$21))</f>
        <v>#VALUE!</v>
      </c>
      <c r="H46" s="261"/>
      <c r="I46" s="26" t="str">
        <f>'Alternative 2'!F46</f>
        <v>x</v>
      </c>
      <c r="J46" s="9">
        <f>3300/'Alternative 2'!$B$21</f>
        <v>66</v>
      </c>
      <c r="K46" s="9" t="e">
        <f>2*'Alternative 2'!$K46/'Alternative 2'!$B$17</f>
        <v>#VALUE!</v>
      </c>
      <c r="L46" s="9">
        <f>13000/'Alternative 2'!$B$21</f>
        <v>260</v>
      </c>
      <c r="M46" s="9" t="e">
        <f>IF(AND(J46&lt;K46,K46&lt;=L46),((((662/K46)+0.399*'Alternative 2'!$B$21))/0.1450377),(0.6*'Alternative 2'!$B$21))</f>
        <v>#VALUE!</v>
      </c>
      <c r="N46" s="261"/>
      <c r="O46" s="26" t="str">
        <f>'Alternative 3'!F46</f>
        <v>x</v>
      </c>
      <c r="P46" s="9">
        <f>3300/'Alternative 3'!$B$21</f>
        <v>66</v>
      </c>
      <c r="Q46" s="9" t="e">
        <f>2*'Alternative 3'!$K46/'Alternative 3'!$B$17</f>
        <v>#VALUE!</v>
      </c>
      <c r="R46" s="9">
        <f>13000/'Alternative 3'!$B$21</f>
        <v>260</v>
      </c>
      <c r="S46" s="9" t="e">
        <f>IF(AND(P46&lt;Q46,Q46&lt;=R46),((((662/Q46)+0.399*'Alternative 3'!$B$21))/0.1450377),(0.6*'Alternative 3'!$B$21))</f>
        <v>#VALUE!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</row>
    <row r="47" spans="1:239" s="3" customFormat="1" ht="15" customHeight="1" x14ac:dyDescent="0.25">
      <c r="A47" s="26"/>
      <c r="B47" s="26" t="str">
        <f>'Alternative 1'!F47</f>
        <v>x</v>
      </c>
      <c r="C47" s="261"/>
      <c r="D47" s="9">
        <f>3300/'Alternative 1'!$B$21</f>
        <v>66</v>
      </c>
      <c r="E47" s="9" t="e">
        <f>2*'Alternative 1'!$K47/'Alternative 1'!$B$17</f>
        <v>#VALUE!</v>
      </c>
      <c r="F47" s="9">
        <f>13000/'Alternative 1'!$B$21</f>
        <v>260</v>
      </c>
      <c r="G47" s="9" t="e">
        <f>IF(AND(D47&lt;E47,E47&lt;=F47),((((662/E47)+0.399*'Alternative 1'!$B$21))/0.1450377),(0.6*'Alternative 1'!$B$21))</f>
        <v>#VALUE!</v>
      </c>
      <c r="H47" s="261"/>
      <c r="I47" s="26" t="str">
        <f>'Alternative 2'!F47</f>
        <v>x</v>
      </c>
      <c r="J47" s="9">
        <f>3300/'Alternative 2'!$B$21</f>
        <v>66</v>
      </c>
      <c r="K47" s="9" t="e">
        <f>2*'Alternative 2'!$K47/'Alternative 2'!$B$17</f>
        <v>#VALUE!</v>
      </c>
      <c r="L47" s="9">
        <f>13000/'Alternative 2'!$B$21</f>
        <v>260</v>
      </c>
      <c r="M47" s="9" t="e">
        <f>IF(AND(J47&lt;K47,K47&lt;=L47),((((662/K47)+0.399*'Alternative 2'!$B$21))/0.1450377),(0.6*'Alternative 2'!$B$21))</f>
        <v>#VALUE!</v>
      </c>
      <c r="N47" s="261"/>
      <c r="O47" s="26" t="str">
        <f>'Alternative 3'!F47</f>
        <v>x</v>
      </c>
      <c r="P47" s="9">
        <f>3300/'Alternative 3'!$B$21</f>
        <v>66</v>
      </c>
      <c r="Q47" s="9" t="e">
        <f>2*'Alternative 3'!$K47/'Alternative 3'!$B$17</f>
        <v>#VALUE!</v>
      </c>
      <c r="R47" s="9">
        <f>13000/'Alternative 3'!$B$21</f>
        <v>260</v>
      </c>
      <c r="S47" s="9" t="e">
        <f>IF(AND(P47&lt;Q47,Q47&lt;=R47),((((662/Q47)+0.399*'Alternative 3'!$B$21))/0.1450377),(0.6*'Alternative 3'!$B$21))</f>
        <v>#VALUE!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</row>
    <row r="48" spans="1:239" s="3" customFormat="1" ht="15" customHeight="1" x14ac:dyDescent="0.25">
      <c r="A48" s="26"/>
      <c r="B48" s="26" t="str">
        <f>'Alternative 1'!F48</f>
        <v>x</v>
      </c>
      <c r="C48" s="261"/>
      <c r="D48" s="9">
        <f>3300/'Alternative 1'!$B$21</f>
        <v>66</v>
      </c>
      <c r="E48" s="9" t="e">
        <f>2*'Alternative 1'!$K48/'Alternative 1'!$B$17</f>
        <v>#VALUE!</v>
      </c>
      <c r="F48" s="9">
        <f>13000/'Alternative 1'!$B$21</f>
        <v>260</v>
      </c>
      <c r="G48" s="9" t="e">
        <f>IF(AND(D48&lt;E48,E48&lt;=F48),((((662/E48)+0.399*'Alternative 1'!$B$21))/0.1450377),(0.6*'Alternative 1'!$B$21))</f>
        <v>#VALUE!</v>
      </c>
      <c r="H48" s="261"/>
      <c r="I48" s="26" t="str">
        <f>'Alternative 2'!F48</f>
        <v>x</v>
      </c>
      <c r="J48" s="9">
        <f>3300/'Alternative 2'!$B$21</f>
        <v>66</v>
      </c>
      <c r="K48" s="9" t="e">
        <f>2*'Alternative 2'!$K48/'Alternative 2'!$B$17</f>
        <v>#VALUE!</v>
      </c>
      <c r="L48" s="9">
        <f>13000/'Alternative 2'!$B$21</f>
        <v>260</v>
      </c>
      <c r="M48" s="9" t="e">
        <f>IF(AND(J48&lt;K48,K48&lt;=L48),((((662/K48)+0.399*'Alternative 2'!$B$21))/0.1450377),(0.6*'Alternative 2'!$B$21))</f>
        <v>#VALUE!</v>
      </c>
      <c r="N48" s="261"/>
      <c r="O48" s="26" t="str">
        <f>'Alternative 3'!F48</f>
        <v>x</v>
      </c>
      <c r="P48" s="9">
        <f>3300/'Alternative 3'!$B$21</f>
        <v>66</v>
      </c>
      <c r="Q48" s="9" t="e">
        <f>2*'Alternative 3'!$K48/'Alternative 3'!$B$17</f>
        <v>#VALUE!</v>
      </c>
      <c r="R48" s="9">
        <f>13000/'Alternative 3'!$B$21</f>
        <v>260</v>
      </c>
      <c r="S48" s="9" t="e">
        <f>IF(AND(P48&lt;Q48,Q48&lt;=R48),((((662/Q48)+0.399*'Alternative 3'!$B$21))/0.1450377),(0.6*'Alternative 3'!$B$21))</f>
        <v>#VALUE!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</row>
    <row r="49" spans="1:239" s="3" customFormat="1" ht="15" customHeight="1" x14ac:dyDescent="0.25">
      <c r="A49" s="26"/>
      <c r="B49" s="26" t="str">
        <f>'Alternative 1'!F49</f>
        <v>x</v>
      </c>
      <c r="C49" s="261"/>
      <c r="D49" s="9">
        <f>3300/'Alternative 1'!$B$21</f>
        <v>66</v>
      </c>
      <c r="E49" s="9" t="e">
        <f>2*'Alternative 1'!$K49/'Alternative 1'!$B$17</f>
        <v>#VALUE!</v>
      </c>
      <c r="F49" s="9">
        <f>13000/'Alternative 1'!$B$21</f>
        <v>260</v>
      </c>
      <c r="G49" s="9" t="e">
        <f>IF(AND(D49&lt;E49,E49&lt;=F49),((((662/E49)+0.399*'Alternative 1'!$B$21))/0.1450377),(0.6*'Alternative 1'!$B$21))</f>
        <v>#VALUE!</v>
      </c>
      <c r="H49" s="261"/>
      <c r="I49" s="26" t="str">
        <f>'Alternative 2'!F49</f>
        <v>x</v>
      </c>
      <c r="J49" s="9">
        <f>3300/'Alternative 2'!$B$21</f>
        <v>66</v>
      </c>
      <c r="K49" s="9" t="e">
        <f>2*'Alternative 2'!$K49/'Alternative 2'!$B$17</f>
        <v>#VALUE!</v>
      </c>
      <c r="L49" s="9">
        <f>13000/'Alternative 2'!$B$21</f>
        <v>260</v>
      </c>
      <c r="M49" s="9" t="e">
        <f>IF(AND(J49&lt;K49,K49&lt;=L49),((((662/K49)+0.399*'Alternative 2'!$B$21))/0.1450377),(0.6*'Alternative 2'!$B$21))</f>
        <v>#VALUE!</v>
      </c>
      <c r="N49" s="261"/>
      <c r="O49" s="26" t="str">
        <f>'Alternative 3'!F49</f>
        <v>x</v>
      </c>
      <c r="P49" s="9">
        <f>3300/'Alternative 3'!$B$21</f>
        <v>66</v>
      </c>
      <c r="Q49" s="9" t="e">
        <f>2*'Alternative 3'!$K49/'Alternative 3'!$B$17</f>
        <v>#VALUE!</v>
      </c>
      <c r="R49" s="9">
        <f>13000/'Alternative 3'!$B$21</f>
        <v>260</v>
      </c>
      <c r="S49" s="9" t="e">
        <f>IF(AND(P49&lt;Q49,Q49&lt;=R49),((((662/Q49)+0.399*'Alternative 3'!$B$21))/0.1450377),(0.6*'Alternative 3'!$B$21))</f>
        <v>#VALUE!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</row>
    <row r="50" spans="1:239" s="3" customFormat="1" ht="15" customHeight="1" x14ac:dyDescent="0.25">
      <c r="A50" s="26"/>
      <c r="B50" s="26" t="str">
        <f>'Alternative 1'!F50</f>
        <v>x</v>
      </c>
      <c r="C50" s="261"/>
      <c r="D50" s="9">
        <f>3300/'Alternative 1'!$B$21</f>
        <v>66</v>
      </c>
      <c r="E50" s="9" t="e">
        <f>2*'Alternative 1'!$K50/'Alternative 1'!$B$17</f>
        <v>#VALUE!</v>
      </c>
      <c r="F50" s="9">
        <f>13000/'Alternative 1'!$B$21</f>
        <v>260</v>
      </c>
      <c r="G50" s="9" t="e">
        <f>IF(AND(D50&lt;E50,E50&lt;=F50),((((662/E50)+0.399*'Alternative 1'!$B$21))/0.1450377),(0.6*'Alternative 1'!$B$21))</f>
        <v>#VALUE!</v>
      </c>
      <c r="H50" s="261"/>
      <c r="I50" s="26" t="str">
        <f>'Alternative 2'!F50</f>
        <v>x</v>
      </c>
      <c r="J50" s="9">
        <f>3300/'Alternative 2'!$B$21</f>
        <v>66</v>
      </c>
      <c r="K50" s="9" t="e">
        <f>2*'Alternative 2'!$K50/'Alternative 2'!$B$17</f>
        <v>#VALUE!</v>
      </c>
      <c r="L50" s="9">
        <f>13000/'Alternative 2'!$B$21</f>
        <v>260</v>
      </c>
      <c r="M50" s="9" t="e">
        <f>IF(AND(J50&lt;K50,K50&lt;=L50),((((662/K50)+0.399*'Alternative 2'!$B$21))/0.1450377),(0.6*'Alternative 2'!$B$21))</f>
        <v>#VALUE!</v>
      </c>
      <c r="N50" s="261"/>
      <c r="O50" s="26" t="str">
        <f>'Alternative 3'!F50</f>
        <v>x</v>
      </c>
      <c r="P50" s="9">
        <f>3300/'Alternative 3'!$B$21</f>
        <v>66</v>
      </c>
      <c r="Q50" s="9" t="e">
        <f>2*'Alternative 3'!$K50/'Alternative 3'!$B$17</f>
        <v>#VALUE!</v>
      </c>
      <c r="R50" s="9">
        <f>13000/'Alternative 3'!$B$21</f>
        <v>260</v>
      </c>
      <c r="S50" s="9" t="e">
        <f>IF(AND(P50&lt;Q50,Q50&lt;=R50),((((662/Q50)+0.399*'Alternative 3'!$B$21))/0.1450377),(0.6*'Alternative 3'!$B$21))</f>
        <v>#VALUE!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</row>
    <row r="51" spans="1:239" s="3" customFormat="1" ht="15" customHeight="1" x14ac:dyDescent="0.25">
      <c r="A51" s="26"/>
      <c r="B51" s="26" t="str">
        <f>'Alternative 1'!F51</f>
        <v>x</v>
      </c>
      <c r="C51" s="261"/>
      <c r="D51" s="9">
        <f>3300/'Alternative 1'!$B$21</f>
        <v>66</v>
      </c>
      <c r="E51" s="9" t="e">
        <f>2*'Alternative 1'!$K51/'Alternative 1'!$B$17</f>
        <v>#VALUE!</v>
      </c>
      <c r="F51" s="9">
        <f>13000/'Alternative 1'!$B$21</f>
        <v>260</v>
      </c>
      <c r="G51" s="9" t="e">
        <f>IF(AND(D51&lt;E51,E51&lt;=F51),((((662/E51)+0.399*'Alternative 1'!$B$21))/0.1450377),(0.6*'Alternative 1'!$B$21))</f>
        <v>#VALUE!</v>
      </c>
      <c r="H51" s="261"/>
      <c r="I51" s="26" t="str">
        <f>'Alternative 2'!F51</f>
        <v>x</v>
      </c>
      <c r="J51" s="9">
        <f>3300/'Alternative 2'!$B$21</f>
        <v>66</v>
      </c>
      <c r="K51" s="9" t="e">
        <f>2*'Alternative 2'!$K51/'Alternative 2'!$B$17</f>
        <v>#VALUE!</v>
      </c>
      <c r="L51" s="9">
        <f>13000/'Alternative 2'!$B$21</f>
        <v>260</v>
      </c>
      <c r="M51" s="9" t="e">
        <f>IF(AND(J51&lt;K51,K51&lt;=L51),((((662/K51)+0.399*'Alternative 2'!$B$21))/0.1450377),(0.6*'Alternative 2'!$B$21))</f>
        <v>#VALUE!</v>
      </c>
      <c r="N51" s="261"/>
      <c r="O51" s="26" t="str">
        <f>'Alternative 3'!F51</f>
        <v>x</v>
      </c>
      <c r="P51" s="9">
        <f>3300/'Alternative 3'!$B$21</f>
        <v>66</v>
      </c>
      <c r="Q51" s="9" t="e">
        <f>2*'Alternative 3'!$K51/'Alternative 3'!$B$17</f>
        <v>#VALUE!</v>
      </c>
      <c r="R51" s="9">
        <f>13000/'Alternative 3'!$B$21</f>
        <v>260</v>
      </c>
      <c r="S51" s="9" t="e">
        <f>IF(AND(P51&lt;Q51,Q51&lt;=R51),((((662/Q51)+0.399*'Alternative 3'!$B$21))/0.1450377),(0.6*'Alternative 3'!$B$21))</f>
        <v>#VALUE!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</row>
    <row r="52" spans="1:239" s="3" customFormat="1" ht="15" customHeight="1" x14ac:dyDescent="0.25">
      <c r="A52" s="26"/>
      <c r="B52" s="26" t="str">
        <f>'Alternative 1'!F52</f>
        <v>x</v>
      </c>
      <c r="C52" s="261"/>
      <c r="D52" s="9">
        <f>3300/'Alternative 1'!$B$21</f>
        <v>66</v>
      </c>
      <c r="E52" s="9" t="e">
        <f>2*'Alternative 1'!$K52/'Alternative 1'!$B$17</f>
        <v>#VALUE!</v>
      </c>
      <c r="F52" s="9">
        <f>13000/'Alternative 1'!$B$21</f>
        <v>260</v>
      </c>
      <c r="G52" s="9" t="e">
        <f>IF(AND(D52&lt;E52,E52&lt;=F52),((((662/E52)+0.399*'Alternative 1'!$B$21))/0.1450377),(0.6*'Alternative 1'!$B$21))</f>
        <v>#VALUE!</v>
      </c>
      <c r="H52" s="261"/>
      <c r="I52" s="26" t="str">
        <f>'Alternative 2'!F52</f>
        <v>x</v>
      </c>
      <c r="J52" s="9">
        <f>3300/'Alternative 2'!$B$21</f>
        <v>66</v>
      </c>
      <c r="K52" s="9" t="e">
        <f>2*'Alternative 2'!$K52/'Alternative 2'!$B$17</f>
        <v>#VALUE!</v>
      </c>
      <c r="L52" s="9">
        <f>13000/'Alternative 2'!$B$21</f>
        <v>260</v>
      </c>
      <c r="M52" s="9" t="e">
        <f>IF(AND(J52&lt;K52,K52&lt;=L52),((((662/K52)+0.399*'Alternative 2'!$B$21))/0.1450377),(0.6*'Alternative 2'!$B$21))</f>
        <v>#VALUE!</v>
      </c>
      <c r="N52" s="261"/>
      <c r="O52" s="26" t="str">
        <f>'Alternative 3'!F52</f>
        <v>x</v>
      </c>
      <c r="P52" s="9">
        <f>3300/'Alternative 3'!$B$21</f>
        <v>66</v>
      </c>
      <c r="Q52" s="9" t="e">
        <f>2*'Alternative 3'!$K52/'Alternative 3'!$B$17</f>
        <v>#VALUE!</v>
      </c>
      <c r="R52" s="9">
        <f>13000/'Alternative 3'!$B$21</f>
        <v>260</v>
      </c>
      <c r="S52" s="9" t="e">
        <f>IF(AND(P52&lt;Q52,Q52&lt;=R52),((((662/Q52)+0.399*'Alternative 3'!$B$21))/0.1450377),(0.6*'Alternative 3'!$B$21))</f>
        <v>#VALUE!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</row>
    <row r="53" spans="1:239" s="3" customFormat="1" ht="15" customHeight="1" x14ac:dyDescent="0.25">
      <c r="A53" s="26"/>
      <c r="B53" s="26" t="str">
        <f>'Alternative 1'!F53</f>
        <v>x</v>
      </c>
      <c r="C53" s="261"/>
      <c r="D53" s="9">
        <f>3300/'Alternative 1'!$B$21</f>
        <v>66</v>
      </c>
      <c r="E53" s="9" t="e">
        <f>2*'Alternative 1'!$K53/'Alternative 1'!$B$17</f>
        <v>#VALUE!</v>
      </c>
      <c r="F53" s="9">
        <f>13000/'Alternative 1'!$B$21</f>
        <v>260</v>
      </c>
      <c r="G53" s="9" t="e">
        <f>IF(AND(D53&lt;E53,E53&lt;=F53),((((662/E53)+0.399*'Alternative 1'!$B$21))/0.1450377),(0.6*'Alternative 1'!$B$21))</f>
        <v>#VALUE!</v>
      </c>
      <c r="H53" s="261"/>
      <c r="I53" s="26" t="str">
        <f>'Alternative 2'!F53</f>
        <v>x</v>
      </c>
      <c r="J53" s="9">
        <f>3300/'Alternative 2'!$B$21</f>
        <v>66</v>
      </c>
      <c r="K53" s="9" t="e">
        <f>2*'Alternative 2'!$K53/'Alternative 2'!$B$17</f>
        <v>#VALUE!</v>
      </c>
      <c r="L53" s="9">
        <f>13000/'Alternative 2'!$B$21</f>
        <v>260</v>
      </c>
      <c r="M53" s="9" t="e">
        <f>IF(AND(J53&lt;K53,K53&lt;=L53),((((662/K53)+0.399*'Alternative 2'!$B$21))/0.1450377),(0.6*'Alternative 2'!$B$21))</f>
        <v>#VALUE!</v>
      </c>
      <c r="N53" s="261"/>
      <c r="O53" s="26" t="str">
        <f>'Alternative 3'!F53</f>
        <v>x</v>
      </c>
      <c r="P53" s="9">
        <f>3300/'Alternative 3'!$B$21</f>
        <v>66</v>
      </c>
      <c r="Q53" s="9" t="e">
        <f>2*'Alternative 3'!$K53/'Alternative 3'!$B$17</f>
        <v>#VALUE!</v>
      </c>
      <c r="R53" s="9">
        <f>13000/'Alternative 3'!$B$21</f>
        <v>260</v>
      </c>
      <c r="S53" s="9" t="e">
        <f>IF(AND(P53&lt;Q53,Q53&lt;=R53),((((662/Q53)+0.399*'Alternative 3'!$B$21))/0.1450377),(0.6*'Alternative 3'!$B$21))</f>
        <v>#VALUE!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</row>
    <row r="54" spans="1:239" s="3" customFormat="1" ht="15" customHeight="1" x14ac:dyDescent="0.25">
      <c r="A54" s="26"/>
      <c r="B54" s="26" t="str">
        <f>'Alternative 1'!F54</f>
        <v>x</v>
      </c>
      <c r="C54" s="261"/>
      <c r="D54" s="9">
        <f>3300/'Alternative 1'!$B$21</f>
        <v>66</v>
      </c>
      <c r="E54" s="9" t="e">
        <f>2*'Alternative 1'!$K54/'Alternative 1'!$B$17</f>
        <v>#VALUE!</v>
      </c>
      <c r="F54" s="9">
        <f>13000/'Alternative 1'!$B$21</f>
        <v>260</v>
      </c>
      <c r="G54" s="9" t="e">
        <f>IF(AND(D54&lt;E54,E54&lt;=F54),((((662/E54)+0.399*'Alternative 1'!$B$21))/0.1450377),(0.6*'Alternative 1'!$B$21))</f>
        <v>#VALUE!</v>
      </c>
      <c r="H54" s="261"/>
      <c r="I54" s="26" t="str">
        <f>'Alternative 2'!F54</f>
        <v>x</v>
      </c>
      <c r="J54" s="9">
        <f>3300/'Alternative 2'!$B$21</f>
        <v>66</v>
      </c>
      <c r="K54" s="9" t="e">
        <f>2*'Alternative 2'!$K54/'Alternative 2'!$B$17</f>
        <v>#VALUE!</v>
      </c>
      <c r="L54" s="9">
        <f>13000/'Alternative 2'!$B$21</f>
        <v>260</v>
      </c>
      <c r="M54" s="9" t="e">
        <f>IF(AND(J54&lt;K54,K54&lt;=L54),((((662/K54)+0.399*'Alternative 2'!$B$21))/0.1450377),(0.6*'Alternative 2'!$B$21))</f>
        <v>#VALUE!</v>
      </c>
      <c r="N54" s="261"/>
      <c r="O54" s="26" t="str">
        <f>'Alternative 3'!F54</f>
        <v>x</v>
      </c>
      <c r="P54" s="9">
        <f>3300/'Alternative 3'!$B$21</f>
        <v>66</v>
      </c>
      <c r="Q54" s="9" t="e">
        <f>2*'Alternative 3'!$K54/'Alternative 3'!$B$17</f>
        <v>#VALUE!</v>
      </c>
      <c r="R54" s="9">
        <f>13000/'Alternative 3'!$B$21</f>
        <v>260</v>
      </c>
      <c r="S54" s="9" t="e">
        <f>IF(AND(P54&lt;Q54,Q54&lt;=R54),((((662/Q54)+0.399*'Alternative 3'!$B$21))/0.1450377),(0.6*'Alternative 3'!$B$21))</f>
        <v>#VALUE!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</row>
    <row r="55" spans="1:239" s="3" customFormat="1" ht="15" customHeight="1" x14ac:dyDescent="0.25">
      <c r="A55" s="26"/>
      <c r="B55" s="26" t="str">
        <f>'Alternative 1'!F55</f>
        <v>x</v>
      </c>
      <c r="C55" s="261"/>
      <c r="D55" s="9">
        <f>3300/'Alternative 1'!$B$21</f>
        <v>66</v>
      </c>
      <c r="E55" s="9" t="e">
        <f>2*'Alternative 1'!$K55/'Alternative 1'!$B$17</f>
        <v>#VALUE!</v>
      </c>
      <c r="F55" s="9">
        <f>13000/'Alternative 1'!$B$21</f>
        <v>260</v>
      </c>
      <c r="G55" s="9" t="e">
        <f>IF(AND(D55&lt;E55,E55&lt;=F55),((((662/E55)+0.399*'Alternative 1'!$B$21))/0.1450377),(0.6*'Alternative 1'!$B$21))</f>
        <v>#VALUE!</v>
      </c>
      <c r="H55" s="261"/>
      <c r="I55" s="26" t="str">
        <f>'Alternative 2'!F55</f>
        <v>x</v>
      </c>
      <c r="J55" s="9">
        <f>3300/'Alternative 2'!$B$21</f>
        <v>66</v>
      </c>
      <c r="K55" s="9" t="e">
        <f>2*'Alternative 2'!$K55/'Alternative 2'!$B$17</f>
        <v>#VALUE!</v>
      </c>
      <c r="L55" s="9">
        <f>13000/'Alternative 2'!$B$21</f>
        <v>260</v>
      </c>
      <c r="M55" s="9" t="e">
        <f>IF(AND(J55&lt;K55,K55&lt;=L55),((((662/K55)+0.399*'Alternative 2'!$B$21))/0.1450377),(0.6*'Alternative 2'!$B$21))</f>
        <v>#VALUE!</v>
      </c>
      <c r="N55" s="261"/>
      <c r="O55" s="26" t="str">
        <f>'Alternative 3'!F55</f>
        <v>x</v>
      </c>
      <c r="P55" s="9">
        <f>3300/'Alternative 3'!$B$21</f>
        <v>66</v>
      </c>
      <c r="Q55" s="9" t="e">
        <f>2*'Alternative 3'!$K55/'Alternative 3'!$B$17</f>
        <v>#VALUE!</v>
      </c>
      <c r="R55" s="9">
        <f>13000/'Alternative 3'!$B$21</f>
        <v>260</v>
      </c>
      <c r="S55" s="9" t="e">
        <f>IF(AND(P55&lt;Q55,Q55&lt;=R55),((((662/Q55)+0.399*'Alternative 3'!$B$21))/0.1450377),(0.6*'Alternative 3'!$B$21))</f>
        <v>#VALUE!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</row>
    <row r="56" spans="1:239" s="3" customFormat="1" ht="15" customHeight="1" x14ac:dyDescent="0.25">
      <c r="A56" s="26"/>
      <c r="B56" s="26" t="str">
        <f>'Alternative 1'!F56</f>
        <v>x</v>
      </c>
      <c r="C56" s="261"/>
      <c r="D56" s="9">
        <f>3300/'Alternative 1'!$B$21</f>
        <v>66</v>
      </c>
      <c r="E56" s="9" t="e">
        <f>2*'Alternative 1'!$K56/'Alternative 1'!$B$17</f>
        <v>#VALUE!</v>
      </c>
      <c r="F56" s="9">
        <f>13000/'Alternative 1'!$B$21</f>
        <v>260</v>
      </c>
      <c r="G56" s="9" t="e">
        <f>IF(AND(D56&lt;E56,E56&lt;=F56),((((662/E56)+0.399*'Alternative 1'!$B$21))/0.1450377),(0.6*'Alternative 1'!$B$21))</f>
        <v>#VALUE!</v>
      </c>
      <c r="H56" s="261"/>
      <c r="I56" s="26" t="str">
        <f>'Alternative 2'!F56</f>
        <v>x</v>
      </c>
      <c r="J56" s="9">
        <f>3300/'Alternative 2'!$B$21</f>
        <v>66</v>
      </c>
      <c r="K56" s="9" t="e">
        <f>2*'Alternative 2'!$K56/'Alternative 2'!$B$17</f>
        <v>#VALUE!</v>
      </c>
      <c r="L56" s="9">
        <f>13000/'Alternative 2'!$B$21</f>
        <v>260</v>
      </c>
      <c r="M56" s="9" t="e">
        <f>IF(AND(J56&lt;K56,K56&lt;=L56),((((662/K56)+0.399*'Alternative 2'!$B$21))/0.1450377),(0.6*'Alternative 2'!$B$21))</f>
        <v>#VALUE!</v>
      </c>
      <c r="N56" s="261"/>
      <c r="O56" s="26" t="str">
        <f>'Alternative 3'!F56</f>
        <v>x</v>
      </c>
      <c r="P56" s="9">
        <f>3300/'Alternative 3'!$B$21</f>
        <v>66</v>
      </c>
      <c r="Q56" s="9" t="e">
        <f>2*'Alternative 3'!$K56/'Alternative 3'!$B$17</f>
        <v>#VALUE!</v>
      </c>
      <c r="R56" s="9">
        <f>13000/'Alternative 3'!$B$21</f>
        <v>260</v>
      </c>
      <c r="S56" s="9" t="e">
        <f>IF(AND(P56&lt;Q56,Q56&lt;=R56),((((662/Q56)+0.399*'Alternative 3'!$B$21))/0.1450377),(0.6*'Alternative 3'!$B$21))</f>
        <v>#VALUE!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</row>
    <row r="57" spans="1:239" s="3" customFormat="1" ht="15" customHeight="1" x14ac:dyDescent="0.25">
      <c r="A57" s="26"/>
      <c r="B57" s="26" t="str">
        <f>'Alternative 1'!F57</f>
        <v>x</v>
      </c>
      <c r="C57" s="261"/>
      <c r="D57" s="9">
        <f>3300/'Alternative 1'!$B$21</f>
        <v>66</v>
      </c>
      <c r="E57" s="9" t="e">
        <f>2*'Alternative 1'!$K57/'Alternative 1'!$B$17</f>
        <v>#VALUE!</v>
      </c>
      <c r="F57" s="9">
        <f>13000/'Alternative 1'!$B$21</f>
        <v>260</v>
      </c>
      <c r="G57" s="9" t="e">
        <f>IF(AND(D57&lt;E57,E57&lt;=F57),((((662/E57)+0.399*'Alternative 1'!$B$21))/0.1450377),(0.6*'Alternative 1'!$B$21))</f>
        <v>#VALUE!</v>
      </c>
      <c r="H57" s="261"/>
      <c r="I57" s="26" t="str">
        <f>'Alternative 2'!F57</f>
        <v>x</v>
      </c>
      <c r="J57" s="9">
        <f>3300/'Alternative 2'!$B$21</f>
        <v>66</v>
      </c>
      <c r="K57" s="9" t="e">
        <f>2*'Alternative 2'!$K57/'Alternative 2'!$B$17</f>
        <v>#VALUE!</v>
      </c>
      <c r="L57" s="9">
        <f>13000/'Alternative 2'!$B$21</f>
        <v>260</v>
      </c>
      <c r="M57" s="9" t="e">
        <f>IF(AND(J57&lt;K57,K57&lt;=L57),((((662/K57)+0.399*'Alternative 2'!$B$21))/0.1450377),(0.6*'Alternative 2'!$B$21))</f>
        <v>#VALUE!</v>
      </c>
      <c r="N57" s="261"/>
      <c r="O57" s="26" t="str">
        <f>'Alternative 3'!F57</f>
        <v>x</v>
      </c>
      <c r="P57" s="9">
        <f>3300/'Alternative 3'!$B$21</f>
        <v>66</v>
      </c>
      <c r="Q57" s="9" t="e">
        <f>2*'Alternative 3'!$K57/'Alternative 3'!$B$17</f>
        <v>#VALUE!</v>
      </c>
      <c r="R57" s="9">
        <f>13000/'Alternative 3'!$B$21</f>
        <v>260</v>
      </c>
      <c r="S57" s="9" t="e">
        <f>IF(AND(P57&lt;Q57,Q57&lt;=R57),((((662/Q57)+0.399*'Alternative 3'!$B$21))/0.1450377),(0.6*'Alternative 3'!$B$21))</f>
        <v>#VALUE!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</row>
    <row r="58" spans="1:239" s="3" customFormat="1" ht="15" customHeight="1" x14ac:dyDescent="0.25">
      <c r="A58" s="26"/>
      <c r="B58" s="26" t="str">
        <f>'Alternative 1'!F58</f>
        <v>x</v>
      </c>
      <c r="C58" s="261"/>
      <c r="D58" s="9">
        <f>3300/'Alternative 1'!$B$21</f>
        <v>66</v>
      </c>
      <c r="E58" s="9" t="e">
        <f>2*'Alternative 1'!$K58/'Alternative 1'!$B$17</f>
        <v>#VALUE!</v>
      </c>
      <c r="F58" s="9">
        <f>13000/'Alternative 1'!$B$21</f>
        <v>260</v>
      </c>
      <c r="G58" s="9" t="e">
        <f>IF(AND(D58&lt;E58,E58&lt;=F58),((((662/E58)+0.399*'Alternative 1'!$B$21))/0.1450377),(0.6*'Alternative 1'!$B$21))</f>
        <v>#VALUE!</v>
      </c>
      <c r="H58" s="261"/>
      <c r="I58" s="26" t="str">
        <f>'Alternative 2'!F58</f>
        <v>x</v>
      </c>
      <c r="J58" s="9">
        <f>3300/'Alternative 2'!$B$21</f>
        <v>66</v>
      </c>
      <c r="K58" s="9" t="e">
        <f>2*'Alternative 2'!$K58/'Alternative 2'!$B$17</f>
        <v>#VALUE!</v>
      </c>
      <c r="L58" s="9">
        <f>13000/'Alternative 2'!$B$21</f>
        <v>260</v>
      </c>
      <c r="M58" s="9" t="e">
        <f>IF(AND(J58&lt;K58,K58&lt;=L58),((((662/K58)+0.399*'Alternative 2'!$B$21))/0.1450377),(0.6*'Alternative 2'!$B$21))</f>
        <v>#VALUE!</v>
      </c>
      <c r="N58" s="261"/>
      <c r="O58" s="26" t="str">
        <f>'Alternative 3'!F58</f>
        <v>x</v>
      </c>
      <c r="P58" s="9">
        <f>3300/'Alternative 3'!$B$21</f>
        <v>66</v>
      </c>
      <c r="Q58" s="9" t="e">
        <f>2*'Alternative 3'!$K58/'Alternative 3'!$B$17</f>
        <v>#VALUE!</v>
      </c>
      <c r="R58" s="9">
        <f>13000/'Alternative 3'!$B$21</f>
        <v>260</v>
      </c>
      <c r="S58" s="9" t="e">
        <f>IF(AND(P58&lt;Q58,Q58&lt;=R58),((((662/Q58)+0.399*'Alternative 3'!$B$21))/0.1450377),(0.6*'Alternative 3'!$B$21))</f>
        <v>#VALUE!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</row>
    <row r="59" spans="1:239" s="3" customFormat="1" ht="15" customHeight="1" x14ac:dyDescent="0.25">
      <c r="A59" s="26"/>
      <c r="B59" s="26" t="str">
        <f>'Alternative 1'!F59</f>
        <v>x</v>
      </c>
      <c r="C59" s="261"/>
      <c r="D59" s="9">
        <f>3300/'Alternative 1'!$B$21</f>
        <v>66</v>
      </c>
      <c r="E59" s="9" t="e">
        <f>2*'Alternative 1'!$K59/'Alternative 1'!$B$17</f>
        <v>#VALUE!</v>
      </c>
      <c r="F59" s="9">
        <f>13000/'Alternative 1'!$B$21</f>
        <v>260</v>
      </c>
      <c r="G59" s="9" t="e">
        <f>IF(AND(D59&lt;E59,E59&lt;=F59),((((662/E59)+0.399*'Alternative 1'!$B$21))/0.1450377),(0.6*'Alternative 1'!$B$21))</f>
        <v>#VALUE!</v>
      </c>
      <c r="H59" s="261"/>
      <c r="I59" s="26" t="str">
        <f>'Alternative 2'!F59</f>
        <v>x</v>
      </c>
      <c r="J59" s="9">
        <f>3300/'Alternative 2'!$B$21</f>
        <v>66</v>
      </c>
      <c r="K59" s="9" t="e">
        <f>2*'Alternative 2'!$K59/'Alternative 2'!$B$17</f>
        <v>#VALUE!</v>
      </c>
      <c r="L59" s="9">
        <f>13000/'Alternative 2'!$B$21</f>
        <v>260</v>
      </c>
      <c r="M59" s="9" t="e">
        <f>IF(AND(J59&lt;K59,K59&lt;=L59),((((662/K59)+0.399*'Alternative 2'!$B$21))/0.1450377),(0.6*'Alternative 2'!$B$21))</f>
        <v>#VALUE!</v>
      </c>
      <c r="N59" s="261"/>
      <c r="O59" s="26" t="str">
        <f>'Alternative 3'!F59</f>
        <v>x</v>
      </c>
      <c r="P59" s="9">
        <f>3300/'Alternative 3'!$B$21</f>
        <v>66</v>
      </c>
      <c r="Q59" s="9" t="e">
        <f>2*'Alternative 3'!$K59/'Alternative 3'!$B$17</f>
        <v>#VALUE!</v>
      </c>
      <c r="R59" s="9">
        <f>13000/'Alternative 3'!$B$21</f>
        <v>260</v>
      </c>
      <c r="S59" s="9" t="e">
        <f>IF(AND(P59&lt;Q59,Q59&lt;=R59),((((662/Q59)+0.399*'Alternative 3'!$B$21))/0.1450377),(0.6*'Alternative 3'!$B$21))</f>
        <v>#VALUE!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</row>
    <row r="60" spans="1:239" s="3" customFormat="1" ht="15" customHeight="1" x14ac:dyDescent="0.25">
      <c r="A60" s="26"/>
      <c r="B60" s="26" t="str">
        <f>'Alternative 1'!F60</f>
        <v>x</v>
      </c>
      <c r="C60" s="261"/>
      <c r="D60" s="9">
        <f>3300/'Alternative 1'!$B$21</f>
        <v>66</v>
      </c>
      <c r="E60" s="9" t="e">
        <f>2*'Alternative 1'!$K60/'Alternative 1'!$B$17</f>
        <v>#VALUE!</v>
      </c>
      <c r="F60" s="9">
        <f>13000/'Alternative 1'!$B$21</f>
        <v>260</v>
      </c>
      <c r="G60" s="9" t="e">
        <f>IF(AND(D60&lt;E60,E60&lt;=F60),((((662/E60)+0.399*'Alternative 1'!$B$21))/0.1450377),(0.6*'Alternative 1'!$B$21))</f>
        <v>#VALUE!</v>
      </c>
      <c r="H60" s="261"/>
      <c r="I60" s="26" t="str">
        <f>'Alternative 2'!F60</f>
        <v>x</v>
      </c>
      <c r="J60" s="9">
        <f>3300/'Alternative 2'!$B$21</f>
        <v>66</v>
      </c>
      <c r="K60" s="9" t="e">
        <f>2*'Alternative 2'!$K60/'Alternative 2'!$B$17</f>
        <v>#VALUE!</v>
      </c>
      <c r="L60" s="9">
        <f>13000/'Alternative 2'!$B$21</f>
        <v>260</v>
      </c>
      <c r="M60" s="9" t="e">
        <f>IF(AND(J60&lt;K60,K60&lt;=L60),((((662/K60)+0.399*'Alternative 2'!$B$21))/0.1450377),(0.6*'Alternative 2'!$B$21))</f>
        <v>#VALUE!</v>
      </c>
      <c r="N60" s="261"/>
      <c r="O60" s="26" t="str">
        <f>'Alternative 3'!F60</f>
        <v>x</v>
      </c>
      <c r="P60" s="9">
        <f>3300/'Alternative 3'!$B$21</f>
        <v>66</v>
      </c>
      <c r="Q60" s="9" t="e">
        <f>2*'Alternative 3'!$K60/'Alternative 3'!$B$17</f>
        <v>#VALUE!</v>
      </c>
      <c r="R60" s="9">
        <f>13000/'Alternative 3'!$B$21</f>
        <v>260</v>
      </c>
      <c r="S60" s="9" t="e">
        <f>IF(AND(P60&lt;Q60,Q60&lt;=R60),((((662/Q60)+0.399*'Alternative 3'!$B$21))/0.1450377),(0.6*'Alternative 3'!$B$21))</f>
        <v>#VALUE!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</row>
    <row r="61" spans="1:239" s="3" customFormat="1" ht="15" customHeight="1" x14ac:dyDescent="0.25">
      <c r="A61" s="26"/>
      <c r="B61" s="26" t="str">
        <f>'Alternative 1'!F61</f>
        <v>x</v>
      </c>
      <c r="C61" s="261"/>
      <c r="D61" s="9">
        <f>3300/'Alternative 1'!$B$21</f>
        <v>66</v>
      </c>
      <c r="E61" s="9" t="e">
        <f>2*'Alternative 1'!$K61/'Alternative 1'!$B$17</f>
        <v>#VALUE!</v>
      </c>
      <c r="F61" s="9">
        <f>13000/'Alternative 1'!$B$21</f>
        <v>260</v>
      </c>
      <c r="G61" s="9" t="e">
        <f>IF(AND(D61&lt;E61,E61&lt;=F61),((((662/E61)+0.399*'Alternative 1'!$B$21))/0.1450377),(0.6*'Alternative 1'!$B$21))</f>
        <v>#VALUE!</v>
      </c>
      <c r="H61" s="261"/>
      <c r="I61" s="26" t="str">
        <f>'Alternative 2'!F61</f>
        <v>x</v>
      </c>
      <c r="J61" s="9">
        <f>3300/'Alternative 2'!$B$21</f>
        <v>66</v>
      </c>
      <c r="K61" s="9" t="e">
        <f>2*'Alternative 2'!$K61/'Alternative 2'!$B$17</f>
        <v>#VALUE!</v>
      </c>
      <c r="L61" s="9">
        <f>13000/'Alternative 2'!$B$21</f>
        <v>260</v>
      </c>
      <c r="M61" s="9" t="e">
        <f>IF(AND(J61&lt;K61,K61&lt;=L61),((((662/K61)+0.399*'Alternative 2'!$B$21))/0.1450377),(0.6*'Alternative 2'!$B$21))</f>
        <v>#VALUE!</v>
      </c>
      <c r="N61" s="261"/>
      <c r="O61" s="26" t="str">
        <f>'Alternative 3'!F61</f>
        <v>x</v>
      </c>
      <c r="P61" s="9">
        <f>3300/'Alternative 3'!$B$21</f>
        <v>66</v>
      </c>
      <c r="Q61" s="9" t="e">
        <f>2*'Alternative 3'!$K61/'Alternative 3'!$B$17</f>
        <v>#VALUE!</v>
      </c>
      <c r="R61" s="9">
        <f>13000/'Alternative 3'!$B$21</f>
        <v>260</v>
      </c>
      <c r="S61" s="9" t="e">
        <f>IF(AND(P61&lt;Q61,Q61&lt;=R61),((((662/Q61)+0.399*'Alternative 3'!$B$21))/0.1450377),(0.6*'Alternative 3'!$B$21))</f>
        <v>#VALUE!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</row>
    <row r="62" spans="1:239" s="3" customFormat="1" ht="15" customHeight="1" x14ac:dyDescent="0.25">
      <c r="A62" s="26"/>
      <c r="B62" s="26" t="str">
        <f>'Alternative 1'!F62</f>
        <v>x</v>
      </c>
      <c r="C62" s="261"/>
      <c r="D62" s="9">
        <f>3300/'Alternative 1'!$B$21</f>
        <v>66</v>
      </c>
      <c r="E62" s="9" t="e">
        <f>2*'Alternative 1'!$K62/'Alternative 1'!$B$17</f>
        <v>#VALUE!</v>
      </c>
      <c r="F62" s="9">
        <f>13000/'Alternative 1'!$B$21</f>
        <v>260</v>
      </c>
      <c r="G62" s="9" t="e">
        <f>IF(AND(D62&lt;E62,E62&lt;=F62),((((662/E62)+0.399*'Alternative 1'!$B$21))/0.1450377),(0.6*'Alternative 1'!$B$21))</f>
        <v>#VALUE!</v>
      </c>
      <c r="H62" s="261"/>
      <c r="I62" s="26" t="str">
        <f>'Alternative 2'!F62</f>
        <v>x</v>
      </c>
      <c r="J62" s="9">
        <f>3300/'Alternative 2'!$B$21</f>
        <v>66</v>
      </c>
      <c r="K62" s="9" t="e">
        <f>2*'Alternative 2'!$K62/'Alternative 2'!$B$17</f>
        <v>#VALUE!</v>
      </c>
      <c r="L62" s="9">
        <f>13000/'Alternative 2'!$B$21</f>
        <v>260</v>
      </c>
      <c r="M62" s="9" t="e">
        <f>IF(AND(J62&lt;K62,K62&lt;=L62),((((662/K62)+0.399*'Alternative 2'!$B$21))/0.1450377),(0.6*'Alternative 2'!$B$21))</f>
        <v>#VALUE!</v>
      </c>
      <c r="N62" s="261"/>
      <c r="O62" s="26" t="str">
        <f>'Alternative 3'!F62</f>
        <v>x</v>
      </c>
      <c r="P62" s="9">
        <f>3300/'Alternative 3'!$B$21</f>
        <v>66</v>
      </c>
      <c r="Q62" s="9" t="e">
        <f>2*'Alternative 3'!$K62/'Alternative 3'!$B$17</f>
        <v>#VALUE!</v>
      </c>
      <c r="R62" s="9">
        <f>13000/'Alternative 3'!$B$21</f>
        <v>260</v>
      </c>
      <c r="S62" s="9" t="e">
        <f>IF(AND(P62&lt;Q62,Q62&lt;=R62),((((662/Q62)+0.399*'Alternative 3'!$B$21))/0.1450377),(0.6*'Alternative 3'!$B$21))</f>
        <v>#VALUE!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</row>
    <row r="63" spans="1:239" s="3" customFormat="1" ht="15" customHeight="1" x14ac:dyDescent="0.25">
      <c r="A63" s="26"/>
      <c r="B63" s="26" t="str">
        <f>'Alternative 1'!F63</f>
        <v>x</v>
      </c>
      <c r="C63" s="261"/>
      <c r="D63" s="9">
        <f>3300/'Alternative 1'!$B$21</f>
        <v>66</v>
      </c>
      <c r="E63" s="9" t="e">
        <f>2*'Alternative 1'!$K63/'Alternative 1'!$B$17</f>
        <v>#VALUE!</v>
      </c>
      <c r="F63" s="9">
        <f>13000/'Alternative 1'!$B$21</f>
        <v>260</v>
      </c>
      <c r="G63" s="9" t="e">
        <f>IF(AND(D63&lt;E63,E63&lt;=F63),((((662/E63)+0.399*'Alternative 1'!$B$21))/0.1450377),(0.6*'Alternative 1'!$B$21))</f>
        <v>#VALUE!</v>
      </c>
      <c r="H63" s="261"/>
      <c r="I63" s="26" t="str">
        <f>'Alternative 2'!F63</f>
        <v>x</v>
      </c>
      <c r="J63" s="9">
        <f>3300/'Alternative 2'!$B$21</f>
        <v>66</v>
      </c>
      <c r="K63" s="9" t="e">
        <f>2*'Alternative 2'!$K63/'Alternative 2'!$B$17</f>
        <v>#VALUE!</v>
      </c>
      <c r="L63" s="9">
        <f>13000/'Alternative 2'!$B$21</f>
        <v>260</v>
      </c>
      <c r="M63" s="9" t="e">
        <f>IF(AND(J63&lt;K63,K63&lt;=L63),((((662/K63)+0.399*'Alternative 2'!$B$21))/0.1450377),(0.6*'Alternative 2'!$B$21))</f>
        <v>#VALUE!</v>
      </c>
      <c r="N63" s="261"/>
      <c r="O63" s="26" t="str">
        <f>'Alternative 3'!F63</f>
        <v>x</v>
      </c>
      <c r="P63" s="9">
        <f>3300/'Alternative 3'!$B$21</f>
        <v>66</v>
      </c>
      <c r="Q63" s="9" t="e">
        <f>2*'Alternative 3'!$K63/'Alternative 3'!$B$17</f>
        <v>#VALUE!</v>
      </c>
      <c r="R63" s="9">
        <f>13000/'Alternative 3'!$B$21</f>
        <v>260</v>
      </c>
      <c r="S63" s="9" t="e">
        <f>IF(AND(P63&lt;Q63,Q63&lt;=R63),((((662/Q63)+0.399*'Alternative 3'!$B$21))/0.1450377),(0.6*'Alternative 3'!$B$21))</f>
        <v>#VALUE!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</row>
    <row r="64" spans="1:239" s="3" customFormat="1" ht="15" customHeight="1" x14ac:dyDescent="0.25">
      <c r="A64" s="26"/>
      <c r="B64" s="26" t="str">
        <f>'Alternative 1'!F64</f>
        <v>x</v>
      </c>
      <c r="C64" s="261"/>
      <c r="D64" s="9">
        <f>3300/'Alternative 1'!$B$21</f>
        <v>66</v>
      </c>
      <c r="E64" s="9" t="e">
        <f>2*'Alternative 1'!$K64/'Alternative 1'!$B$17</f>
        <v>#VALUE!</v>
      </c>
      <c r="F64" s="9">
        <f>13000/'Alternative 1'!$B$21</f>
        <v>260</v>
      </c>
      <c r="G64" s="9" t="e">
        <f>IF(AND(D64&lt;E64,E64&lt;=F64),((((662/E64)+0.399*'Alternative 1'!$B$21))/0.1450377),(0.6*'Alternative 1'!$B$21))</f>
        <v>#VALUE!</v>
      </c>
      <c r="H64" s="261"/>
      <c r="I64" s="26" t="str">
        <f>'Alternative 2'!F64</f>
        <v>x</v>
      </c>
      <c r="J64" s="9">
        <f>3300/'Alternative 2'!$B$21</f>
        <v>66</v>
      </c>
      <c r="K64" s="9" t="e">
        <f>2*'Alternative 2'!$K64/'Alternative 2'!$B$17</f>
        <v>#VALUE!</v>
      </c>
      <c r="L64" s="9">
        <f>13000/'Alternative 2'!$B$21</f>
        <v>260</v>
      </c>
      <c r="M64" s="9" t="e">
        <f>IF(AND(J64&lt;K64,K64&lt;=L64),((((662/K64)+0.399*'Alternative 2'!$B$21))/0.1450377),(0.6*'Alternative 2'!$B$21))</f>
        <v>#VALUE!</v>
      </c>
      <c r="N64" s="261"/>
      <c r="O64" s="26" t="str">
        <f>'Alternative 3'!F64</f>
        <v>x</v>
      </c>
      <c r="P64" s="9">
        <f>3300/'Alternative 3'!$B$21</f>
        <v>66</v>
      </c>
      <c r="Q64" s="9" t="e">
        <f>2*'Alternative 3'!$K64/'Alternative 3'!$B$17</f>
        <v>#VALUE!</v>
      </c>
      <c r="R64" s="9">
        <f>13000/'Alternative 3'!$B$21</f>
        <v>260</v>
      </c>
      <c r="S64" s="9" t="e">
        <f>IF(AND(P64&lt;Q64,Q64&lt;=R64),((((662/Q64)+0.399*'Alternative 3'!$B$21))/0.1450377),(0.6*'Alternative 3'!$B$21))</f>
        <v>#VALUE!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</row>
    <row r="65" spans="1:239" s="3" customFormat="1" ht="15" customHeight="1" x14ac:dyDescent="0.25">
      <c r="A65" s="26"/>
      <c r="B65" s="26" t="str">
        <f>'Alternative 1'!F65</f>
        <v>x</v>
      </c>
      <c r="C65" s="261"/>
      <c r="D65" s="9">
        <f>3300/'Alternative 1'!$B$21</f>
        <v>66</v>
      </c>
      <c r="E65" s="9" t="e">
        <f>2*'Alternative 1'!$K65/'Alternative 1'!$B$17</f>
        <v>#VALUE!</v>
      </c>
      <c r="F65" s="9">
        <f>13000/'Alternative 1'!$B$21</f>
        <v>260</v>
      </c>
      <c r="G65" s="9" t="e">
        <f>IF(AND(D65&lt;E65,E65&lt;=F65),((((662/E65)+0.399*'Alternative 1'!$B$21))/0.1450377),(0.6*'Alternative 1'!$B$21))</f>
        <v>#VALUE!</v>
      </c>
      <c r="H65" s="261"/>
      <c r="I65" s="26" t="str">
        <f>'Alternative 2'!F65</f>
        <v>x</v>
      </c>
      <c r="J65" s="9">
        <f>3300/'Alternative 2'!$B$21</f>
        <v>66</v>
      </c>
      <c r="K65" s="9" t="e">
        <f>2*'Alternative 2'!$K65/'Alternative 2'!$B$17</f>
        <v>#VALUE!</v>
      </c>
      <c r="L65" s="9">
        <f>13000/'Alternative 2'!$B$21</f>
        <v>260</v>
      </c>
      <c r="M65" s="9" t="e">
        <f>IF(AND(J65&lt;K65,K65&lt;=L65),((((662/K65)+0.399*'Alternative 2'!$B$21))/0.1450377),(0.6*'Alternative 2'!$B$21))</f>
        <v>#VALUE!</v>
      </c>
      <c r="N65" s="261"/>
      <c r="O65" s="26" t="str">
        <f>'Alternative 3'!F65</f>
        <v>x</v>
      </c>
      <c r="P65" s="9">
        <f>3300/'Alternative 3'!$B$21</f>
        <v>66</v>
      </c>
      <c r="Q65" s="9" t="e">
        <f>2*'Alternative 3'!$K65/'Alternative 3'!$B$17</f>
        <v>#VALUE!</v>
      </c>
      <c r="R65" s="9">
        <f>13000/'Alternative 3'!$B$21</f>
        <v>260</v>
      </c>
      <c r="S65" s="9" t="e">
        <f>IF(AND(P65&lt;Q65,Q65&lt;=R65),((((662/Q65)+0.399*'Alternative 3'!$B$21))/0.1450377),(0.6*'Alternative 3'!$B$21))</f>
        <v>#VALUE!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</row>
    <row r="66" spans="1:239" s="3" customFormat="1" ht="15" customHeight="1" x14ac:dyDescent="0.25">
      <c r="A66" s="26"/>
      <c r="B66" s="26" t="str">
        <f>'Alternative 1'!F66</f>
        <v>x</v>
      </c>
      <c r="C66" s="261"/>
      <c r="D66" s="9">
        <f>3300/'Alternative 1'!$B$21</f>
        <v>66</v>
      </c>
      <c r="E66" s="9" t="e">
        <f>2*'Alternative 1'!$K66/'Alternative 1'!$B$17</f>
        <v>#VALUE!</v>
      </c>
      <c r="F66" s="9">
        <f>13000/'Alternative 1'!$B$21</f>
        <v>260</v>
      </c>
      <c r="G66" s="9" t="e">
        <f>IF(AND(D66&lt;E66,E66&lt;=F66),((((662/E66)+0.399*'Alternative 1'!$B$21))/0.1450377),(0.6*'Alternative 1'!$B$21))</f>
        <v>#VALUE!</v>
      </c>
      <c r="H66" s="261"/>
      <c r="I66" s="26" t="str">
        <f>'Alternative 2'!F66</f>
        <v>x</v>
      </c>
      <c r="J66" s="9">
        <f>3300/'Alternative 2'!$B$21</f>
        <v>66</v>
      </c>
      <c r="K66" s="9" t="e">
        <f>2*'Alternative 2'!$K66/'Alternative 2'!$B$17</f>
        <v>#VALUE!</v>
      </c>
      <c r="L66" s="9">
        <f>13000/'Alternative 2'!$B$21</f>
        <v>260</v>
      </c>
      <c r="M66" s="9" t="e">
        <f>IF(AND(J66&lt;K66,K66&lt;=L66),((((662/K66)+0.399*'Alternative 2'!$B$21))/0.1450377),(0.6*'Alternative 2'!$B$21))</f>
        <v>#VALUE!</v>
      </c>
      <c r="N66" s="261"/>
      <c r="O66" s="26" t="str">
        <f>'Alternative 3'!F66</f>
        <v>x</v>
      </c>
      <c r="P66" s="9">
        <f>3300/'Alternative 3'!$B$21</f>
        <v>66</v>
      </c>
      <c r="Q66" s="9" t="e">
        <f>2*'Alternative 3'!$K66/'Alternative 3'!$B$17</f>
        <v>#VALUE!</v>
      </c>
      <c r="R66" s="9">
        <f>13000/'Alternative 3'!$B$21</f>
        <v>260</v>
      </c>
      <c r="S66" s="9" t="e">
        <f>IF(AND(P66&lt;Q66,Q66&lt;=R66),((((662/Q66)+0.399*'Alternative 3'!$B$21))/0.1450377),(0.6*'Alternative 3'!$B$21))</f>
        <v>#VALUE!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</row>
    <row r="67" spans="1:239" s="3" customFormat="1" ht="15" customHeight="1" x14ac:dyDescent="0.25">
      <c r="A67" s="26"/>
      <c r="B67" s="26" t="str">
        <f>'Alternative 1'!F67</f>
        <v>x</v>
      </c>
      <c r="C67" s="261"/>
      <c r="D67" s="9">
        <f>3300/'Alternative 1'!$B$21</f>
        <v>66</v>
      </c>
      <c r="E67" s="9" t="e">
        <f>2*'Alternative 1'!$K67/'Alternative 1'!$B$17</f>
        <v>#VALUE!</v>
      </c>
      <c r="F67" s="9">
        <f>13000/'Alternative 1'!$B$21</f>
        <v>260</v>
      </c>
      <c r="G67" s="9" t="e">
        <f>IF(AND(D67&lt;E67,E67&lt;=F67),((((662/E67)+0.399*'Alternative 1'!$B$21))/0.1450377),(0.6*'Alternative 1'!$B$21))</f>
        <v>#VALUE!</v>
      </c>
      <c r="H67" s="261"/>
      <c r="I67" s="26" t="str">
        <f>'Alternative 2'!F67</f>
        <v>x</v>
      </c>
      <c r="J67" s="9">
        <f>3300/'Alternative 2'!$B$21</f>
        <v>66</v>
      </c>
      <c r="K67" s="9" t="e">
        <f>2*'Alternative 2'!$K67/'Alternative 2'!$B$17</f>
        <v>#VALUE!</v>
      </c>
      <c r="L67" s="9">
        <f>13000/'Alternative 2'!$B$21</f>
        <v>260</v>
      </c>
      <c r="M67" s="9" t="e">
        <f>IF(AND(J67&lt;K67,K67&lt;=L67),((((662/K67)+0.399*'Alternative 2'!$B$21))/0.1450377),(0.6*'Alternative 2'!$B$21))</f>
        <v>#VALUE!</v>
      </c>
      <c r="N67" s="261"/>
      <c r="O67" s="26" t="str">
        <f>'Alternative 3'!F67</f>
        <v>x</v>
      </c>
      <c r="P67" s="9">
        <f>3300/'Alternative 3'!$B$21</f>
        <v>66</v>
      </c>
      <c r="Q67" s="9" t="e">
        <f>2*'Alternative 3'!$K67/'Alternative 3'!$B$17</f>
        <v>#VALUE!</v>
      </c>
      <c r="R67" s="9">
        <f>13000/'Alternative 3'!$B$21</f>
        <v>260</v>
      </c>
      <c r="S67" s="9" t="e">
        <f>IF(AND(P67&lt;Q67,Q67&lt;=R67),((((662/Q67)+0.399*'Alternative 3'!$B$21))/0.1450377),(0.6*'Alternative 3'!$B$21))</f>
        <v>#VALUE!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</row>
    <row r="68" spans="1:239" s="3" customFormat="1" ht="15" customHeight="1" x14ac:dyDescent="0.25">
      <c r="A68" s="26"/>
      <c r="B68" s="26" t="str">
        <f>'Alternative 1'!F68</f>
        <v>x</v>
      </c>
      <c r="C68" s="261"/>
      <c r="D68" s="9">
        <f>3300/'Alternative 1'!$B$21</f>
        <v>66</v>
      </c>
      <c r="E68" s="9" t="e">
        <f>2*'Alternative 1'!$K68/'Alternative 1'!$B$17</f>
        <v>#VALUE!</v>
      </c>
      <c r="F68" s="9">
        <f>13000/'Alternative 1'!$B$21</f>
        <v>260</v>
      </c>
      <c r="G68" s="9" t="e">
        <f>IF(AND(D68&lt;E68,E68&lt;=F68),((((662/E68)+0.399*'Alternative 1'!$B$21))/0.1450377),(0.6*'Alternative 1'!$B$21))</f>
        <v>#VALUE!</v>
      </c>
      <c r="H68" s="261"/>
      <c r="I68" s="26" t="str">
        <f>'Alternative 2'!F68</f>
        <v>x</v>
      </c>
      <c r="J68" s="9">
        <f>3300/'Alternative 2'!$B$21</f>
        <v>66</v>
      </c>
      <c r="K68" s="9" t="e">
        <f>2*'Alternative 2'!$K68/'Alternative 2'!$B$17</f>
        <v>#VALUE!</v>
      </c>
      <c r="L68" s="9">
        <f>13000/'Alternative 2'!$B$21</f>
        <v>260</v>
      </c>
      <c r="M68" s="9" t="e">
        <f>IF(AND(J68&lt;K68,K68&lt;=L68),((((662/K68)+0.399*'Alternative 2'!$B$21))/0.1450377),(0.6*'Alternative 2'!$B$21))</f>
        <v>#VALUE!</v>
      </c>
      <c r="N68" s="261"/>
      <c r="O68" s="26" t="str">
        <f>'Alternative 3'!F68</f>
        <v>x</v>
      </c>
      <c r="P68" s="9">
        <f>3300/'Alternative 3'!$B$21</f>
        <v>66</v>
      </c>
      <c r="Q68" s="9" t="e">
        <f>2*'Alternative 3'!$K68/'Alternative 3'!$B$17</f>
        <v>#VALUE!</v>
      </c>
      <c r="R68" s="9">
        <f>13000/'Alternative 3'!$B$21</f>
        <v>260</v>
      </c>
      <c r="S68" s="9" t="e">
        <f>IF(AND(P68&lt;Q68,Q68&lt;=R68),((((662/Q68)+0.399*'Alternative 3'!$B$21))/0.1450377),(0.6*'Alternative 3'!$B$21))</f>
        <v>#VALUE!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</row>
    <row r="69" spans="1:239" s="3" customFormat="1" ht="15" customHeight="1" x14ac:dyDescent="0.25">
      <c r="A69" s="26"/>
      <c r="B69" s="26" t="str">
        <f>'Alternative 1'!F69</f>
        <v>x</v>
      </c>
      <c r="C69" s="261"/>
      <c r="D69" s="9">
        <f>3300/'Alternative 1'!$B$21</f>
        <v>66</v>
      </c>
      <c r="E69" s="9" t="e">
        <f>2*'Alternative 1'!$K69/'Alternative 1'!$B$17</f>
        <v>#VALUE!</v>
      </c>
      <c r="F69" s="9">
        <f>13000/'Alternative 1'!$B$21</f>
        <v>260</v>
      </c>
      <c r="G69" s="9" t="e">
        <f>IF(AND(D69&lt;E69,E69&lt;=F69),((((662/E69)+0.399*'Alternative 1'!$B$21))/0.1450377),(0.6*'Alternative 1'!$B$21))</f>
        <v>#VALUE!</v>
      </c>
      <c r="H69" s="261"/>
      <c r="I69" s="26" t="str">
        <f>'Alternative 2'!F69</f>
        <v>x</v>
      </c>
      <c r="J69" s="9">
        <f>3300/'Alternative 2'!$B$21</f>
        <v>66</v>
      </c>
      <c r="K69" s="9" t="e">
        <f>2*'Alternative 2'!$K69/'Alternative 2'!$B$17</f>
        <v>#VALUE!</v>
      </c>
      <c r="L69" s="9">
        <f>13000/'Alternative 2'!$B$21</f>
        <v>260</v>
      </c>
      <c r="M69" s="9" t="e">
        <f>IF(AND(J69&lt;K69,K69&lt;=L69),((((662/K69)+0.399*'Alternative 2'!$B$21))/0.1450377),(0.6*'Alternative 2'!$B$21))</f>
        <v>#VALUE!</v>
      </c>
      <c r="N69" s="261"/>
      <c r="O69" s="26" t="str">
        <f>'Alternative 3'!F69</f>
        <v>x</v>
      </c>
      <c r="P69" s="9">
        <f>3300/'Alternative 3'!$B$21</f>
        <v>66</v>
      </c>
      <c r="Q69" s="9" t="e">
        <f>2*'Alternative 3'!$K69/'Alternative 3'!$B$17</f>
        <v>#VALUE!</v>
      </c>
      <c r="R69" s="9">
        <f>13000/'Alternative 3'!$B$21</f>
        <v>260</v>
      </c>
      <c r="S69" s="9" t="e">
        <f>IF(AND(P69&lt;Q69,Q69&lt;=R69),((((662/Q69)+0.399*'Alternative 3'!$B$21))/0.1450377),(0.6*'Alternative 3'!$B$21))</f>
        <v>#VALUE!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</row>
    <row r="70" spans="1:239" s="3" customFormat="1" ht="15" customHeight="1" x14ac:dyDescent="0.25">
      <c r="A70" s="26"/>
      <c r="B70" s="26" t="str">
        <f>'Alternative 1'!F70</f>
        <v>x</v>
      </c>
      <c r="C70" s="261"/>
      <c r="D70" s="9">
        <f>3300/'Alternative 1'!$B$21</f>
        <v>66</v>
      </c>
      <c r="E70" s="9" t="e">
        <f>2*'Alternative 1'!$K70/'Alternative 1'!$B$17</f>
        <v>#VALUE!</v>
      </c>
      <c r="F70" s="9">
        <f>13000/'Alternative 1'!$B$21</f>
        <v>260</v>
      </c>
      <c r="G70" s="9" t="e">
        <f>IF(AND(D70&lt;E70,E70&lt;=F70),((((662/E70)+0.399*'Alternative 1'!$B$21))/0.1450377),(0.6*'Alternative 1'!$B$21))</f>
        <v>#VALUE!</v>
      </c>
      <c r="H70" s="261"/>
      <c r="I70" s="26" t="str">
        <f>'Alternative 2'!F70</f>
        <v>x</v>
      </c>
      <c r="J70" s="9">
        <f>3300/'Alternative 2'!$B$21</f>
        <v>66</v>
      </c>
      <c r="K70" s="9" t="e">
        <f>2*'Alternative 2'!$K70/'Alternative 2'!$B$17</f>
        <v>#VALUE!</v>
      </c>
      <c r="L70" s="9">
        <f>13000/'Alternative 2'!$B$21</f>
        <v>260</v>
      </c>
      <c r="M70" s="9" t="e">
        <f>IF(AND(J70&lt;K70,K70&lt;=L70),((((662/K70)+0.399*'Alternative 2'!$B$21))/0.1450377),(0.6*'Alternative 2'!$B$21))</f>
        <v>#VALUE!</v>
      </c>
      <c r="N70" s="261"/>
      <c r="O70" s="26" t="str">
        <f>'Alternative 3'!F70</f>
        <v>x</v>
      </c>
      <c r="P70" s="9">
        <f>3300/'Alternative 3'!$B$21</f>
        <v>66</v>
      </c>
      <c r="Q70" s="9" t="e">
        <f>2*'Alternative 3'!$K70/'Alternative 3'!$B$17</f>
        <v>#VALUE!</v>
      </c>
      <c r="R70" s="9">
        <f>13000/'Alternative 3'!$B$21</f>
        <v>260</v>
      </c>
      <c r="S70" s="9" t="e">
        <f>IF(AND(P70&lt;Q70,Q70&lt;=R70),((((662/Q70)+0.399*'Alternative 3'!$B$21))/0.1450377),(0.6*'Alternative 3'!$B$21))</f>
        <v>#VALUE!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</row>
    <row r="71" spans="1:239" ht="15" customHeight="1" x14ac:dyDescent="0.25">
      <c r="B71" s="26" t="str">
        <f>'Alternative 1'!F71</f>
        <v>x</v>
      </c>
      <c r="C71" s="261"/>
      <c r="D71" s="9">
        <f>3300/'Alternative 1'!$B$21</f>
        <v>66</v>
      </c>
      <c r="E71" s="9" t="e">
        <f>2*'Alternative 1'!$K71/'Alternative 1'!$B$17</f>
        <v>#VALUE!</v>
      </c>
      <c r="F71" s="9">
        <f>13000/'Alternative 1'!$B$21</f>
        <v>260</v>
      </c>
      <c r="G71" s="9" t="e">
        <f>IF(AND(D71&lt;E71,E71&lt;=F71),((((662/E71)+0.399*'Alternative 1'!$B$21))/0.1450377),(0.6*'Alternative 1'!$B$21))</f>
        <v>#VALUE!</v>
      </c>
      <c r="H71" s="261"/>
      <c r="I71" s="26" t="str">
        <f>'Alternative 2'!F71</f>
        <v>x</v>
      </c>
      <c r="J71" s="9">
        <f>3300/'Alternative 2'!$B$21</f>
        <v>66</v>
      </c>
      <c r="K71" s="9" t="e">
        <f>2*'Alternative 2'!$K71/'Alternative 2'!$B$17</f>
        <v>#VALUE!</v>
      </c>
      <c r="L71" s="9">
        <f>13000/'Alternative 2'!$B$21</f>
        <v>260</v>
      </c>
      <c r="M71" s="9" t="e">
        <f>IF(AND(J71&lt;K71,K71&lt;=L71),((((662/K71)+0.399*'Alternative 2'!$B$21))/0.1450377),(0.6*'Alternative 2'!$B$21))</f>
        <v>#VALUE!</v>
      </c>
      <c r="N71" s="261"/>
      <c r="O71" s="26" t="str">
        <f>'Alternative 3'!F71</f>
        <v>x</v>
      </c>
      <c r="P71" s="9">
        <f>3300/'Alternative 3'!$B$21</f>
        <v>66</v>
      </c>
      <c r="Q71" s="9" t="e">
        <f>2*'Alternative 3'!$K71/'Alternative 3'!$B$17</f>
        <v>#VALUE!</v>
      </c>
      <c r="R71" s="9">
        <f>13000/'Alternative 3'!$B$21</f>
        <v>260</v>
      </c>
      <c r="S71" s="9" t="e">
        <f>IF(AND(P71&lt;Q71,Q71&lt;=R71),((((662/Q71)+0.399*'Alternative 3'!$B$21))/0.1450377),(0.6*'Alternative 3'!$B$21))</f>
        <v>#VALUE!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</row>
    <row r="72" spans="1:239" ht="15" customHeight="1" x14ac:dyDescent="0.25">
      <c r="B72" s="26" t="str">
        <f>'Alternative 1'!F72</f>
        <v>x</v>
      </c>
      <c r="C72" s="261"/>
      <c r="D72" s="9">
        <f>3300/'Alternative 1'!$B$21</f>
        <v>66</v>
      </c>
      <c r="E72" s="9" t="e">
        <f>2*'Alternative 1'!$K72/'Alternative 1'!$B$17</f>
        <v>#VALUE!</v>
      </c>
      <c r="F72" s="9">
        <f>13000/'Alternative 1'!$B$21</f>
        <v>260</v>
      </c>
      <c r="G72" s="9" t="e">
        <f>IF(AND(D72&lt;E72,E72&lt;=F72),((((662/E72)+0.399*'Alternative 1'!$B$21))/0.1450377),(0.6*'Alternative 1'!$B$21))</f>
        <v>#VALUE!</v>
      </c>
      <c r="H72" s="261"/>
      <c r="I72" s="26" t="str">
        <f>'Alternative 2'!F72</f>
        <v>x</v>
      </c>
      <c r="J72" s="9">
        <f>3300/'Alternative 2'!$B$21</f>
        <v>66</v>
      </c>
      <c r="K72" s="9" t="e">
        <f>2*'Alternative 2'!$K72/'Alternative 2'!$B$17</f>
        <v>#VALUE!</v>
      </c>
      <c r="L72" s="9">
        <f>13000/'Alternative 2'!$B$21</f>
        <v>260</v>
      </c>
      <c r="M72" s="9" t="e">
        <f>IF(AND(J72&lt;K72,K72&lt;=L72),((((662/K72)+0.399*'Alternative 2'!$B$21))/0.1450377),(0.6*'Alternative 2'!$B$21))</f>
        <v>#VALUE!</v>
      </c>
      <c r="N72" s="261"/>
      <c r="O72" s="26" t="str">
        <f>'Alternative 3'!F72</f>
        <v>x</v>
      </c>
      <c r="P72" s="9">
        <f>3300/'Alternative 3'!$B$21</f>
        <v>66</v>
      </c>
      <c r="Q72" s="9" t="e">
        <f>2*'Alternative 3'!$K72/'Alternative 3'!$B$17</f>
        <v>#VALUE!</v>
      </c>
      <c r="R72" s="9">
        <f>13000/'Alternative 3'!$B$21</f>
        <v>260</v>
      </c>
      <c r="S72" s="9" t="e">
        <f>IF(AND(P72&lt;Q72,Q72&lt;=R72),((((662/Q72)+0.399*'Alternative 3'!$B$21))/0.1450377),(0.6*'Alternative 3'!$B$21))</f>
        <v>#VALUE!</v>
      </c>
    </row>
    <row r="73" spans="1:239" ht="15" customHeight="1" x14ac:dyDescent="0.25">
      <c r="B73" s="26" t="str">
        <f>'Alternative 1'!F73</f>
        <v>x</v>
      </c>
      <c r="C73" s="261"/>
      <c r="D73" s="9">
        <f>3300/'Alternative 1'!$B$21</f>
        <v>66</v>
      </c>
      <c r="E73" s="9" t="e">
        <f>2*'Alternative 1'!$K73/'Alternative 1'!$B$17</f>
        <v>#VALUE!</v>
      </c>
      <c r="F73" s="9">
        <f>13000/'Alternative 1'!$B$21</f>
        <v>260</v>
      </c>
      <c r="G73" s="9" t="e">
        <f>IF(AND(D73&lt;E73,E73&lt;=F73),((((662/E73)+0.399*'Alternative 1'!$B$21))/0.1450377),(0.6*'Alternative 1'!$B$21))</f>
        <v>#VALUE!</v>
      </c>
      <c r="H73" s="261"/>
      <c r="I73" s="26" t="str">
        <f>'Alternative 2'!F73</f>
        <v>x</v>
      </c>
      <c r="J73" s="9">
        <f>3300/'Alternative 2'!$B$21</f>
        <v>66</v>
      </c>
      <c r="K73" s="9" t="e">
        <f>2*'Alternative 2'!$K73/'Alternative 2'!$B$17</f>
        <v>#VALUE!</v>
      </c>
      <c r="L73" s="9">
        <f>13000/'Alternative 2'!$B$21</f>
        <v>260</v>
      </c>
      <c r="M73" s="9" t="e">
        <f>IF(AND(J73&lt;K73,K73&lt;=L73),((((662/K73)+0.399*'Alternative 2'!$B$21))/0.1450377),(0.6*'Alternative 2'!$B$21))</f>
        <v>#VALUE!</v>
      </c>
      <c r="N73" s="261"/>
      <c r="O73" s="26" t="str">
        <f>'Alternative 3'!F73</f>
        <v>x</v>
      </c>
      <c r="P73" s="9">
        <f>3300/'Alternative 3'!$B$21</f>
        <v>66</v>
      </c>
      <c r="Q73" s="9" t="e">
        <f>2*'Alternative 3'!$K73/'Alternative 3'!$B$17</f>
        <v>#VALUE!</v>
      </c>
      <c r="R73" s="9">
        <f>13000/'Alternative 3'!$B$21</f>
        <v>260</v>
      </c>
      <c r="S73" s="9" t="e">
        <f>IF(AND(P73&lt;Q73,Q73&lt;=R73),((((662/Q73)+0.399*'Alternative 3'!$B$21))/0.1450377),(0.6*'Alternative 3'!$B$21))</f>
        <v>#VALUE!</v>
      </c>
    </row>
    <row r="74" spans="1:239" ht="15" customHeight="1" x14ac:dyDescent="0.25">
      <c r="B74" s="26" t="str">
        <f>'Alternative 1'!F74</f>
        <v>x</v>
      </c>
      <c r="C74" s="261"/>
      <c r="D74" s="9">
        <f>3300/'Alternative 1'!$B$21</f>
        <v>66</v>
      </c>
      <c r="E74" s="9" t="e">
        <f>2*'Alternative 1'!$K74/'Alternative 1'!$B$17</f>
        <v>#VALUE!</v>
      </c>
      <c r="F74" s="9">
        <f>13000/'Alternative 1'!$B$21</f>
        <v>260</v>
      </c>
      <c r="G74" s="9" t="e">
        <f>IF(AND(D74&lt;E74,E74&lt;=F74),((((662/E74)+0.399*'Alternative 1'!$B$21))/0.1450377),(0.6*'Alternative 1'!$B$21))</f>
        <v>#VALUE!</v>
      </c>
      <c r="H74" s="261"/>
      <c r="I74" s="26" t="str">
        <f>'Alternative 2'!F74</f>
        <v>x</v>
      </c>
      <c r="J74" s="9">
        <f>3300/'Alternative 2'!$B$21</f>
        <v>66</v>
      </c>
      <c r="K74" s="9" t="e">
        <f>2*'Alternative 2'!$K74/'Alternative 2'!$B$17</f>
        <v>#VALUE!</v>
      </c>
      <c r="L74" s="9">
        <f>13000/'Alternative 2'!$B$21</f>
        <v>260</v>
      </c>
      <c r="M74" s="9" t="e">
        <f>IF(AND(J74&lt;K74,K74&lt;=L74),((((662/K74)+0.399*'Alternative 2'!$B$21))/0.1450377),(0.6*'Alternative 2'!$B$21))</f>
        <v>#VALUE!</v>
      </c>
      <c r="N74" s="261"/>
      <c r="O74" s="26" t="str">
        <f>'Alternative 3'!F74</f>
        <v>x</v>
      </c>
      <c r="P74" s="9">
        <f>3300/'Alternative 3'!$B$21</f>
        <v>66</v>
      </c>
      <c r="Q74" s="9" t="e">
        <f>2*'Alternative 3'!$K74/'Alternative 3'!$B$17</f>
        <v>#VALUE!</v>
      </c>
      <c r="R74" s="9">
        <f>13000/'Alternative 3'!$B$21</f>
        <v>260</v>
      </c>
      <c r="S74" s="9" t="e">
        <f>IF(AND(P74&lt;Q74,Q74&lt;=R74),((((662/Q74)+0.399*'Alternative 3'!$B$21))/0.1450377),(0.6*'Alternative 3'!$B$21))</f>
        <v>#VALUE!</v>
      </c>
    </row>
    <row r="75" spans="1:239" ht="15" customHeight="1" x14ac:dyDescent="0.25">
      <c r="B75" s="26" t="str">
        <f>'Alternative 1'!F75</f>
        <v>x</v>
      </c>
      <c r="C75" s="261"/>
      <c r="D75" s="9">
        <f>3300/'Alternative 1'!$B$21</f>
        <v>66</v>
      </c>
      <c r="E75" s="9" t="e">
        <f>2*'Alternative 1'!$K75/'Alternative 1'!$B$17</f>
        <v>#VALUE!</v>
      </c>
      <c r="F75" s="9">
        <f>13000/'Alternative 1'!$B$21</f>
        <v>260</v>
      </c>
      <c r="G75" s="9" t="e">
        <f>IF(AND(D75&lt;E75,E75&lt;=F75),((((662/E75)+0.399*'Alternative 1'!$B$21))/0.1450377),(0.6*'Alternative 1'!$B$21))</f>
        <v>#VALUE!</v>
      </c>
      <c r="H75" s="261"/>
      <c r="I75" s="26" t="str">
        <f>'Alternative 2'!F75</f>
        <v>x</v>
      </c>
      <c r="J75" s="9">
        <f>3300/'Alternative 2'!$B$21</f>
        <v>66</v>
      </c>
      <c r="K75" s="9" t="e">
        <f>2*'Alternative 2'!$K75/'Alternative 2'!$B$17</f>
        <v>#VALUE!</v>
      </c>
      <c r="L75" s="9">
        <f>13000/'Alternative 2'!$B$21</f>
        <v>260</v>
      </c>
      <c r="M75" s="9" t="e">
        <f>IF(AND(J75&lt;K75,K75&lt;=L75),((((662/K75)+0.399*'Alternative 2'!$B$21))/0.1450377),(0.6*'Alternative 2'!$B$21))</f>
        <v>#VALUE!</v>
      </c>
      <c r="N75" s="261"/>
      <c r="O75" s="26" t="str">
        <f>'Alternative 3'!F75</f>
        <v>x</v>
      </c>
      <c r="P75" s="9">
        <f>3300/'Alternative 3'!$B$21</f>
        <v>66</v>
      </c>
      <c r="Q75" s="9" t="e">
        <f>2*'Alternative 3'!$K75/'Alternative 3'!$B$17</f>
        <v>#VALUE!</v>
      </c>
      <c r="R75" s="9">
        <f>13000/'Alternative 3'!$B$21</f>
        <v>260</v>
      </c>
      <c r="S75" s="9" t="e">
        <f>IF(AND(P75&lt;Q75,Q75&lt;=R75),((((662/Q75)+0.399*'Alternative 3'!$B$21))/0.1450377),(0.6*'Alternative 3'!$B$21))</f>
        <v>#VALUE!</v>
      </c>
    </row>
    <row r="76" spans="1:239" ht="15" customHeight="1" x14ac:dyDescent="0.25">
      <c r="B76" s="26" t="str">
        <f>'Alternative 1'!F76</f>
        <v>x</v>
      </c>
      <c r="C76" s="261"/>
      <c r="D76" s="9">
        <f>3300/'Alternative 1'!$B$21</f>
        <v>66</v>
      </c>
      <c r="E76" s="9" t="e">
        <f>2*'Alternative 1'!$K76/'Alternative 1'!$B$17</f>
        <v>#VALUE!</v>
      </c>
      <c r="F76" s="9">
        <f>13000/'Alternative 1'!$B$21</f>
        <v>260</v>
      </c>
      <c r="G76" s="9" t="e">
        <f>IF(AND(D76&lt;E76,E76&lt;=F76),((((662/E76)+0.399*'Alternative 1'!$B$21))/0.1450377),(0.6*'Alternative 1'!$B$21))</f>
        <v>#VALUE!</v>
      </c>
      <c r="H76" s="261"/>
      <c r="I76" s="26" t="str">
        <f>'Alternative 2'!F76</f>
        <v>x</v>
      </c>
      <c r="J76" s="9">
        <f>3300/'Alternative 2'!$B$21</f>
        <v>66</v>
      </c>
      <c r="K76" s="9" t="e">
        <f>2*'Alternative 2'!$K76/'Alternative 2'!$B$17</f>
        <v>#VALUE!</v>
      </c>
      <c r="L76" s="9">
        <f>13000/'Alternative 2'!$B$21</f>
        <v>260</v>
      </c>
      <c r="M76" s="9" t="e">
        <f>IF(AND(J76&lt;K76,K76&lt;=L76),((((662/K76)+0.399*'Alternative 2'!$B$21))/0.1450377),(0.6*'Alternative 2'!$B$21))</f>
        <v>#VALUE!</v>
      </c>
      <c r="N76" s="261"/>
      <c r="O76" s="26" t="str">
        <f>'Alternative 3'!F76</f>
        <v>x</v>
      </c>
      <c r="P76" s="9">
        <f>3300/'Alternative 3'!$B$21</f>
        <v>66</v>
      </c>
      <c r="Q76" s="9" t="e">
        <f>2*'Alternative 3'!$K76/'Alternative 3'!$B$17</f>
        <v>#VALUE!</v>
      </c>
      <c r="R76" s="9">
        <f>13000/'Alternative 3'!$B$21</f>
        <v>260</v>
      </c>
      <c r="S76" s="9" t="e">
        <f>IF(AND(P76&lt;Q76,Q76&lt;=R76),((((662/Q76)+0.399*'Alternative 3'!$B$21))/0.1450377),(0.6*'Alternative 3'!$B$21))</f>
        <v>#VALUE!</v>
      </c>
    </row>
    <row r="77" spans="1:239" ht="15" customHeight="1" x14ac:dyDescent="0.25">
      <c r="B77" s="26" t="str">
        <f>'Alternative 1'!F77</f>
        <v>x</v>
      </c>
      <c r="C77" s="261"/>
      <c r="D77" s="9">
        <f>3300/'Alternative 1'!$B$21</f>
        <v>66</v>
      </c>
      <c r="E77" s="9" t="e">
        <f>2*'Alternative 1'!$K77/'Alternative 1'!$B$17</f>
        <v>#VALUE!</v>
      </c>
      <c r="F77" s="9">
        <f>13000/'Alternative 1'!$B$21</f>
        <v>260</v>
      </c>
      <c r="G77" s="9" t="e">
        <f>IF(AND(D77&lt;E77,E77&lt;=F77),((((662/E77)+0.399*'Alternative 1'!$B$21))/0.1450377),(0.6*'Alternative 1'!$B$21))</f>
        <v>#VALUE!</v>
      </c>
      <c r="H77" s="261"/>
      <c r="I77" s="26" t="str">
        <f>'Alternative 2'!F77</f>
        <v>x</v>
      </c>
      <c r="J77" s="9">
        <f>3300/'Alternative 2'!$B$21</f>
        <v>66</v>
      </c>
      <c r="K77" s="9" t="e">
        <f>2*'Alternative 2'!$K77/'Alternative 2'!$B$17</f>
        <v>#VALUE!</v>
      </c>
      <c r="L77" s="9">
        <f>13000/'Alternative 2'!$B$21</f>
        <v>260</v>
      </c>
      <c r="M77" s="9" t="e">
        <f>IF(AND(J77&lt;K77,K77&lt;=L77),((((662/K77)+0.399*'Alternative 2'!$B$21))/0.1450377),(0.6*'Alternative 2'!$B$21))</f>
        <v>#VALUE!</v>
      </c>
      <c r="N77" s="261"/>
      <c r="O77" s="26" t="str">
        <f>'Alternative 3'!F77</f>
        <v>x</v>
      </c>
      <c r="P77" s="9">
        <f>3300/'Alternative 3'!$B$21</f>
        <v>66</v>
      </c>
      <c r="Q77" s="9" t="e">
        <f>2*'Alternative 3'!$K77/'Alternative 3'!$B$17</f>
        <v>#VALUE!</v>
      </c>
      <c r="R77" s="9">
        <f>13000/'Alternative 3'!$B$21</f>
        <v>260</v>
      </c>
      <c r="S77" s="9" t="e">
        <f>IF(AND(P77&lt;Q77,Q77&lt;=R77),((((662/Q77)+0.399*'Alternative 3'!$B$21))/0.1450377),(0.6*'Alternative 3'!$B$21))</f>
        <v>#VALUE!</v>
      </c>
    </row>
    <row r="78" spans="1:239" ht="15" customHeight="1" x14ac:dyDescent="0.25">
      <c r="B78" s="26" t="str">
        <f>'Alternative 1'!F78</f>
        <v>x</v>
      </c>
      <c r="C78" s="261"/>
      <c r="D78" s="9">
        <f>3300/'Alternative 1'!$B$21</f>
        <v>66</v>
      </c>
      <c r="E78" s="9" t="e">
        <f>2*'Alternative 1'!$K78/'Alternative 1'!$B$17</f>
        <v>#VALUE!</v>
      </c>
      <c r="F78" s="9">
        <f>13000/'Alternative 1'!$B$21</f>
        <v>260</v>
      </c>
      <c r="G78" s="9" t="e">
        <f>IF(AND(D78&lt;E78,E78&lt;=F78),((((662/E78)+0.399*'Alternative 1'!$B$21))/0.1450377),(0.6*'Alternative 1'!$B$21))</f>
        <v>#VALUE!</v>
      </c>
      <c r="H78" s="261"/>
      <c r="I78" s="26" t="str">
        <f>'Alternative 2'!F78</f>
        <v>x</v>
      </c>
      <c r="J78" s="9">
        <f>3300/'Alternative 2'!$B$21</f>
        <v>66</v>
      </c>
      <c r="K78" s="9" t="e">
        <f>2*'Alternative 2'!$K78/'Alternative 2'!$B$17</f>
        <v>#VALUE!</v>
      </c>
      <c r="L78" s="9">
        <f>13000/'Alternative 2'!$B$21</f>
        <v>260</v>
      </c>
      <c r="M78" s="9" t="e">
        <f>IF(AND(J78&lt;K78,K78&lt;=L78),((((662/K78)+0.399*'Alternative 2'!$B$21))/0.1450377),(0.6*'Alternative 2'!$B$21))</f>
        <v>#VALUE!</v>
      </c>
      <c r="N78" s="261"/>
      <c r="O78" s="26" t="str">
        <f>'Alternative 3'!F78</f>
        <v>x</v>
      </c>
      <c r="P78" s="9">
        <f>3300/'Alternative 3'!$B$21</f>
        <v>66</v>
      </c>
      <c r="Q78" s="9" t="e">
        <f>2*'Alternative 3'!$K78/'Alternative 3'!$B$17</f>
        <v>#VALUE!</v>
      </c>
      <c r="R78" s="9">
        <f>13000/'Alternative 3'!$B$21</f>
        <v>260</v>
      </c>
      <c r="S78" s="9" t="e">
        <f>IF(AND(P78&lt;Q78,Q78&lt;=R78),((((662/Q78)+0.399*'Alternative 3'!$B$21))/0.1450377),(0.6*'Alternative 3'!$B$21))</f>
        <v>#VALUE!</v>
      </c>
    </row>
    <row r="79" spans="1:239" ht="15" customHeight="1" x14ac:dyDescent="0.25">
      <c r="B79" s="26" t="str">
        <f>'Alternative 1'!F79</f>
        <v>x</v>
      </c>
      <c r="C79" s="261"/>
      <c r="D79" s="9">
        <f>3300/'Alternative 1'!$B$21</f>
        <v>66</v>
      </c>
      <c r="E79" s="9" t="e">
        <f>2*'Alternative 1'!$K79/'Alternative 1'!$B$17</f>
        <v>#VALUE!</v>
      </c>
      <c r="F79" s="9">
        <f>13000/'Alternative 1'!$B$21</f>
        <v>260</v>
      </c>
      <c r="G79" s="9" t="e">
        <f>IF(AND(D79&lt;E79,E79&lt;=F79),((((662/E79)+0.399*'Alternative 1'!$B$21))/0.1450377),(0.6*'Alternative 1'!$B$21))</f>
        <v>#VALUE!</v>
      </c>
      <c r="H79" s="261"/>
      <c r="I79" s="26" t="str">
        <f>'Alternative 2'!F79</f>
        <v>x</v>
      </c>
      <c r="J79" s="9">
        <f>3300/'Alternative 2'!$B$21</f>
        <v>66</v>
      </c>
      <c r="K79" s="9" t="e">
        <f>2*'Alternative 2'!$K79/'Alternative 2'!$B$17</f>
        <v>#VALUE!</v>
      </c>
      <c r="L79" s="9">
        <f>13000/'Alternative 2'!$B$21</f>
        <v>260</v>
      </c>
      <c r="M79" s="9" t="e">
        <f>IF(AND(J79&lt;K79,K79&lt;=L79),((((662/K79)+0.399*'Alternative 2'!$B$21))/0.1450377),(0.6*'Alternative 2'!$B$21))</f>
        <v>#VALUE!</v>
      </c>
      <c r="N79" s="261"/>
      <c r="O79" s="26" t="str">
        <f>'Alternative 3'!F79</f>
        <v>x</v>
      </c>
      <c r="P79" s="9">
        <f>3300/'Alternative 3'!$B$21</f>
        <v>66</v>
      </c>
      <c r="Q79" s="9" t="e">
        <f>2*'Alternative 3'!$K79/'Alternative 3'!$B$17</f>
        <v>#VALUE!</v>
      </c>
      <c r="R79" s="9">
        <f>13000/'Alternative 3'!$B$21</f>
        <v>260</v>
      </c>
      <c r="S79" s="9" t="e">
        <f>IF(AND(P79&lt;Q79,Q79&lt;=R79),((((662/Q79)+0.399*'Alternative 3'!$B$21))/0.1450377),(0.6*'Alternative 3'!$B$21))</f>
        <v>#VALUE!</v>
      </c>
    </row>
    <row r="80" spans="1:239" ht="15" customHeight="1" x14ac:dyDescent="0.25">
      <c r="B80" s="26" t="str">
        <f>'Alternative 1'!F80</f>
        <v>x</v>
      </c>
      <c r="C80" s="261"/>
      <c r="D80" s="9">
        <f>3300/'Alternative 1'!$B$21</f>
        <v>66</v>
      </c>
      <c r="E80" s="9" t="e">
        <f>2*'Alternative 1'!$K80/'Alternative 1'!$B$17</f>
        <v>#VALUE!</v>
      </c>
      <c r="F80" s="9">
        <f>13000/'Alternative 1'!$B$21</f>
        <v>260</v>
      </c>
      <c r="G80" s="9" t="e">
        <f>IF(AND(D80&lt;E80,E80&lt;=F80),((((662/E80)+0.399*'Alternative 1'!$B$21))/0.1450377),(0.6*'Alternative 1'!$B$21))</f>
        <v>#VALUE!</v>
      </c>
      <c r="H80" s="261"/>
      <c r="I80" s="26" t="str">
        <f>'Alternative 2'!F80</f>
        <v>x</v>
      </c>
      <c r="J80" s="9">
        <f>3300/'Alternative 2'!$B$21</f>
        <v>66</v>
      </c>
      <c r="K80" s="9" t="e">
        <f>2*'Alternative 2'!$K80/'Alternative 2'!$B$17</f>
        <v>#VALUE!</v>
      </c>
      <c r="L80" s="9">
        <f>13000/'Alternative 2'!$B$21</f>
        <v>260</v>
      </c>
      <c r="M80" s="9" t="e">
        <f>IF(AND(J80&lt;K80,K80&lt;=L80),((((662/K80)+0.399*'Alternative 2'!$B$21))/0.1450377),(0.6*'Alternative 2'!$B$21))</f>
        <v>#VALUE!</v>
      </c>
      <c r="N80" s="261"/>
      <c r="O80" s="26" t="str">
        <f>'Alternative 3'!F80</f>
        <v>x</v>
      </c>
      <c r="P80" s="9">
        <f>3300/'Alternative 3'!$B$21</f>
        <v>66</v>
      </c>
      <c r="Q80" s="9" t="e">
        <f>2*'Alternative 3'!$K80/'Alternative 3'!$B$17</f>
        <v>#VALUE!</v>
      </c>
      <c r="R80" s="9">
        <f>13000/'Alternative 3'!$B$21</f>
        <v>260</v>
      </c>
      <c r="S80" s="9" t="e">
        <f>IF(AND(P80&lt;Q80,Q80&lt;=R80),((((662/Q80)+0.399*'Alternative 3'!$B$21))/0.1450377),(0.6*'Alternative 3'!$B$21))</f>
        <v>#VALUE!</v>
      </c>
    </row>
    <row r="81" spans="2:19" ht="15" customHeight="1" x14ac:dyDescent="0.25">
      <c r="B81" s="26" t="str">
        <f>'Alternative 1'!F81</f>
        <v>x</v>
      </c>
      <c r="C81" s="261"/>
      <c r="D81" s="9">
        <f>3300/'Alternative 1'!$B$21</f>
        <v>66</v>
      </c>
      <c r="E81" s="9" t="e">
        <f>2*'Alternative 1'!$K81/'Alternative 1'!$B$17</f>
        <v>#VALUE!</v>
      </c>
      <c r="F81" s="9">
        <f>13000/'Alternative 1'!$B$21</f>
        <v>260</v>
      </c>
      <c r="G81" s="9" t="e">
        <f>IF(AND(D81&lt;E81,E81&lt;=F81),((((662/E81)+0.399*'Alternative 1'!$B$21))/0.1450377),(0.6*'Alternative 1'!$B$21))</f>
        <v>#VALUE!</v>
      </c>
      <c r="H81" s="261"/>
      <c r="I81" s="26" t="str">
        <f>'Alternative 2'!F81</f>
        <v>x</v>
      </c>
      <c r="J81" s="9">
        <f>3300/'Alternative 2'!$B$21</f>
        <v>66</v>
      </c>
      <c r="K81" s="9" t="e">
        <f>2*'Alternative 2'!$K81/'Alternative 2'!$B$17</f>
        <v>#VALUE!</v>
      </c>
      <c r="L81" s="9">
        <f>13000/'Alternative 2'!$B$21</f>
        <v>260</v>
      </c>
      <c r="M81" s="9" t="e">
        <f>IF(AND(J81&lt;K81,K81&lt;=L81),((((662/K81)+0.399*'Alternative 2'!$B$21))/0.1450377),(0.6*'Alternative 2'!$B$21))</f>
        <v>#VALUE!</v>
      </c>
      <c r="N81" s="261"/>
      <c r="O81" s="26" t="str">
        <f>'Alternative 3'!F81</f>
        <v>x</v>
      </c>
      <c r="P81" s="9">
        <f>3300/'Alternative 3'!$B$21</f>
        <v>66</v>
      </c>
      <c r="Q81" s="9" t="e">
        <f>2*'Alternative 3'!$K81/'Alternative 3'!$B$17</f>
        <v>#VALUE!</v>
      </c>
      <c r="R81" s="9">
        <f>13000/'Alternative 3'!$B$21</f>
        <v>260</v>
      </c>
      <c r="S81" s="9" t="e">
        <f>IF(AND(P81&lt;Q81,Q81&lt;=R81),((((662/Q81)+0.399*'Alternative 3'!$B$21))/0.1450377),(0.6*'Alternative 3'!$B$21))</f>
        <v>#VALUE!</v>
      </c>
    </row>
    <row r="82" spans="2:19" ht="15" customHeight="1" x14ac:dyDescent="0.25">
      <c r="B82" s="26" t="str">
        <f>'Alternative 1'!F82</f>
        <v>x</v>
      </c>
      <c r="C82" s="261"/>
      <c r="D82" s="9">
        <f>3300/'Alternative 1'!$B$21</f>
        <v>66</v>
      </c>
      <c r="E82" s="9" t="e">
        <f>2*'Alternative 1'!$K82/'Alternative 1'!$B$17</f>
        <v>#VALUE!</v>
      </c>
      <c r="F82" s="9">
        <f>13000/'Alternative 1'!$B$21</f>
        <v>260</v>
      </c>
      <c r="G82" s="9" t="e">
        <f>IF(AND(D82&lt;E82,E82&lt;=F82),((((662/E82)+0.399*'Alternative 1'!$B$21))/0.1450377),(0.6*'Alternative 1'!$B$21))</f>
        <v>#VALUE!</v>
      </c>
      <c r="H82" s="261"/>
      <c r="I82" s="26" t="str">
        <f>'Alternative 2'!F82</f>
        <v>x</v>
      </c>
      <c r="J82" s="9">
        <f>3300/'Alternative 2'!$B$21</f>
        <v>66</v>
      </c>
      <c r="K82" s="9" t="e">
        <f>2*'Alternative 2'!$K82/'Alternative 2'!$B$17</f>
        <v>#VALUE!</v>
      </c>
      <c r="L82" s="9">
        <f>13000/'Alternative 2'!$B$21</f>
        <v>260</v>
      </c>
      <c r="M82" s="9" t="e">
        <f>IF(AND(J82&lt;K82,K82&lt;=L82),((((662/K82)+0.399*'Alternative 2'!$B$21))/0.1450377),(0.6*'Alternative 2'!$B$21))</f>
        <v>#VALUE!</v>
      </c>
      <c r="N82" s="261"/>
      <c r="O82" s="26" t="str">
        <f>'Alternative 3'!F82</f>
        <v>x</v>
      </c>
      <c r="P82" s="9">
        <f>3300/'Alternative 3'!$B$21</f>
        <v>66</v>
      </c>
      <c r="Q82" s="9" t="e">
        <f>2*'Alternative 3'!$K82/'Alternative 3'!$B$17</f>
        <v>#VALUE!</v>
      </c>
      <c r="R82" s="9">
        <f>13000/'Alternative 3'!$B$21</f>
        <v>260</v>
      </c>
      <c r="S82" s="9" t="e">
        <f>IF(AND(P82&lt;Q82,Q82&lt;=R82),((((662/Q82)+0.399*'Alternative 3'!$B$21))/0.1450377),(0.6*'Alternative 3'!$B$21))</f>
        <v>#VALUE!</v>
      </c>
    </row>
    <row r="83" spans="2:19" ht="15" customHeight="1" x14ac:dyDescent="0.25">
      <c r="B83" s="26" t="str">
        <f>'Alternative 1'!F83</f>
        <v>x</v>
      </c>
      <c r="C83" s="261"/>
      <c r="D83" s="9">
        <f>3300/'Alternative 1'!$B$21</f>
        <v>66</v>
      </c>
      <c r="E83" s="9" t="e">
        <f>2*'Alternative 1'!$K83/'Alternative 1'!$B$17</f>
        <v>#VALUE!</v>
      </c>
      <c r="F83" s="9">
        <f>13000/'Alternative 1'!$B$21</f>
        <v>260</v>
      </c>
      <c r="G83" s="9" t="e">
        <f>IF(AND(D83&lt;E83,E83&lt;=F83),((((662/E83)+0.399*'Alternative 1'!$B$21))/0.1450377),(0.6*'Alternative 1'!$B$21))</f>
        <v>#VALUE!</v>
      </c>
      <c r="H83" s="261"/>
      <c r="I83" s="26" t="str">
        <f>'Alternative 2'!F83</f>
        <v>x</v>
      </c>
      <c r="J83" s="9">
        <f>3300/'Alternative 2'!$B$21</f>
        <v>66</v>
      </c>
      <c r="K83" s="9" t="e">
        <f>2*'Alternative 2'!$K83/'Alternative 2'!$B$17</f>
        <v>#VALUE!</v>
      </c>
      <c r="L83" s="9">
        <f>13000/'Alternative 2'!$B$21</f>
        <v>260</v>
      </c>
      <c r="M83" s="9" t="e">
        <f>IF(AND(J83&lt;K83,K83&lt;=L83),((((662/K83)+0.399*'Alternative 2'!$B$21))/0.1450377),(0.6*'Alternative 2'!$B$21))</f>
        <v>#VALUE!</v>
      </c>
      <c r="N83" s="261"/>
      <c r="O83" s="26" t="str">
        <f>'Alternative 3'!F83</f>
        <v>x</v>
      </c>
      <c r="P83" s="9">
        <f>3300/'Alternative 3'!$B$21</f>
        <v>66</v>
      </c>
      <c r="Q83" s="9" t="e">
        <f>2*'Alternative 3'!$K83/'Alternative 3'!$B$17</f>
        <v>#VALUE!</v>
      </c>
      <c r="R83" s="9">
        <f>13000/'Alternative 3'!$B$21</f>
        <v>260</v>
      </c>
      <c r="S83" s="9" t="e">
        <f>IF(AND(P83&lt;Q83,Q83&lt;=R83),((((662/Q83)+0.399*'Alternative 3'!$B$21))/0.1450377),(0.6*'Alternative 3'!$B$21))</f>
        <v>#VALUE!</v>
      </c>
    </row>
    <row r="84" spans="2:19" ht="15" customHeight="1" x14ac:dyDescent="0.25">
      <c r="B84" s="26" t="str">
        <f>'Alternative 1'!F84</f>
        <v>x</v>
      </c>
      <c r="C84" s="261"/>
      <c r="D84" s="9">
        <f>3300/'Alternative 1'!$B$21</f>
        <v>66</v>
      </c>
      <c r="E84" s="9" t="e">
        <f>2*'Alternative 1'!$K84/'Alternative 1'!$B$17</f>
        <v>#VALUE!</v>
      </c>
      <c r="F84" s="9">
        <f>13000/'Alternative 1'!$B$21</f>
        <v>260</v>
      </c>
      <c r="G84" s="9" t="e">
        <f>IF(AND(D84&lt;E84,E84&lt;=F84),((((662/E84)+0.399*'Alternative 1'!$B$21))/0.1450377),(0.6*'Alternative 1'!$B$21))</f>
        <v>#VALUE!</v>
      </c>
      <c r="H84" s="261"/>
      <c r="I84" s="26" t="str">
        <f>'Alternative 2'!F84</f>
        <v>x</v>
      </c>
      <c r="J84" s="9">
        <f>3300/'Alternative 2'!$B$21</f>
        <v>66</v>
      </c>
      <c r="K84" s="9" t="e">
        <f>2*'Alternative 2'!$K84/'Alternative 2'!$B$17</f>
        <v>#VALUE!</v>
      </c>
      <c r="L84" s="9">
        <f>13000/'Alternative 2'!$B$21</f>
        <v>260</v>
      </c>
      <c r="M84" s="9" t="e">
        <f>IF(AND(J84&lt;K84,K84&lt;=L84),((((662/K84)+0.399*'Alternative 2'!$B$21))/0.1450377),(0.6*'Alternative 2'!$B$21))</f>
        <v>#VALUE!</v>
      </c>
      <c r="N84" s="261"/>
      <c r="O84" s="26" t="str">
        <f>'Alternative 3'!F84</f>
        <v>x</v>
      </c>
      <c r="P84" s="9">
        <f>3300/'Alternative 3'!$B$21</f>
        <v>66</v>
      </c>
      <c r="Q84" s="9" t="e">
        <f>2*'Alternative 3'!$K84/'Alternative 3'!$B$17</f>
        <v>#VALUE!</v>
      </c>
      <c r="R84" s="9">
        <f>13000/'Alternative 3'!$B$21</f>
        <v>260</v>
      </c>
      <c r="S84" s="9" t="e">
        <f>IF(AND(P84&lt;Q84,Q84&lt;=R84),((((662/Q84)+0.399*'Alternative 3'!$B$21))/0.1450377),(0.6*'Alternative 3'!$B$21))</f>
        <v>#VALUE!</v>
      </c>
    </row>
    <row r="85" spans="2:19" ht="15" customHeight="1" x14ac:dyDescent="0.25">
      <c r="B85" s="26" t="str">
        <f>'Alternative 1'!F85</f>
        <v>x</v>
      </c>
      <c r="C85" s="261"/>
      <c r="D85" s="9">
        <f>3300/'Alternative 1'!$B$21</f>
        <v>66</v>
      </c>
      <c r="E85" s="9" t="e">
        <f>2*'Alternative 1'!$K85/'Alternative 1'!$B$17</f>
        <v>#VALUE!</v>
      </c>
      <c r="F85" s="9">
        <f>13000/'Alternative 1'!$B$21</f>
        <v>260</v>
      </c>
      <c r="G85" s="9" t="e">
        <f>IF(AND(D85&lt;E85,E85&lt;=F85),((((662/E85)+0.399*'Alternative 1'!$B$21))/0.1450377),(0.6*'Alternative 1'!$B$21))</f>
        <v>#VALUE!</v>
      </c>
      <c r="H85" s="261"/>
      <c r="I85" s="26" t="str">
        <f>'Alternative 2'!F85</f>
        <v>x</v>
      </c>
      <c r="J85" s="9">
        <f>3300/'Alternative 2'!$B$21</f>
        <v>66</v>
      </c>
      <c r="K85" s="9" t="e">
        <f>2*'Alternative 2'!$K85/'Alternative 2'!$B$17</f>
        <v>#VALUE!</v>
      </c>
      <c r="L85" s="9">
        <f>13000/'Alternative 2'!$B$21</f>
        <v>260</v>
      </c>
      <c r="M85" s="9" t="e">
        <f>IF(AND(J85&lt;K85,K85&lt;=L85),((((662/K85)+0.399*'Alternative 2'!$B$21))/0.1450377),(0.6*'Alternative 2'!$B$21))</f>
        <v>#VALUE!</v>
      </c>
      <c r="N85" s="261"/>
      <c r="O85" s="26" t="str">
        <f>'Alternative 3'!F85</f>
        <v>x</v>
      </c>
      <c r="P85" s="9">
        <f>3300/'Alternative 3'!$B$21</f>
        <v>66</v>
      </c>
      <c r="Q85" s="9" t="e">
        <f>2*'Alternative 3'!$K85/'Alternative 3'!$B$17</f>
        <v>#VALUE!</v>
      </c>
      <c r="R85" s="9">
        <f>13000/'Alternative 3'!$B$21</f>
        <v>260</v>
      </c>
      <c r="S85" s="9" t="e">
        <f>IF(AND(P85&lt;Q85,Q85&lt;=R85),((((662/Q85)+0.399*'Alternative 3'!$B$21))/0.1450377),(0.6*'Alternative 3'!$B$21))</f>
        <v>#VALUE!</v>
      </c>
    </row>
    <row r="86" spans="2:19" ht="15" customHeight="1" x14ac:dyDescent="0.25">
      <c r="B86" s="26" t="str">
        <f>'Alternative 1'!F86</f>
        <v>x</v>
      </c>
      <c r="C86" s="261"/>
      <c r="D86" s="9">
        <f>3300/'Alternative 1'!$B$21</f>
        <v>66</v>
      </c>
      <c r="E86" s="9" t="e">
        <f>2*'Alternative 1'!$K86/'Alternative 1'!$B$17</f>
        <v>#VALUE!</v>
      </c>
      <c r="F86" s="9">
        <f>13000/'Alternative 1'!$B$21</f>
        <v>260</v>
      </c>
      <c r="G86" s="9" t="e">
        <f>IF(AND(D86&lt;E86,E86&lt;=F86),((((662/E86)+0.399*'Alternative 1'!$B$21))/0.1450377),(0.6*'Alternative 1'!$B$21))</f>
        <v>#VALUE!</v>
      </c>
      <c r="H86" s="261"/>
      <c r="I86" s="26" t="str">
        <f>'Alternative 2'!F86</f>
        <v>x</v>
      </c>
      <c r="J86" s="9">
        <f>3300/'Alternative 2'!$B$21</f>
        <v>66</v>
      </c>
      <c r="K86" s="9" t="e">
        <f>2*'Alternative 2'!$K86/'Alternative 2'!$B$17</f>
        <v>#VALUE!</v>
      </c>
      <c r="L86" s="9">
        <f>13000/'Alternative 2'!$B$21</f>
        <v>260</v>
      </c>
      <c r="M86" s="9" t="e">
        <f>IF(AND(J86&lt;K86,K86&lt;=L86),((((662/K86)+0.399*'Alternative 2'!$B$21))/0.1450377),(0.6*'Alternative 2'!$B$21))</f>
        <v>#VALUE!</v>
      </c>
      <c r="N86" s="261"/>
      <c r="O86" s="26" t="str">
        <f>'Alternative 3'!F86</f>
        <v>x</v>
      </c>
      <c r="P86" s="9">
        <f>3300/'Alternative 3'!$B$21</f>
        <v>66</v>
      </c>
      <c r="Q86" s="9" t="e">
        <f>2*'Alternative 3'!$K86/'Alternative 3'!$B$17</f>
        <v>#VALUE!</v>
      </c>
      <c r="R86" s="9">
        <f>13000/'Alternative 3'!$B$21</f>
        <v>260</v>
      </c>
      <c r="S86" s="9" t="e">
        <f>IF(AND(P86&lt;Q86,Q86&lt;=R86),((((662/Q86)+0.399*'Alternative 3'!$B$21))/0.1450377),(0.6*'Alternative 3'!$B$21))</f>
        <v>#VALUE!</v>
      </c>
    </row>
    <row r="87" spans="2:19" ht="15" customHeight="1" x14ac:dyDescent="0.25">
      <c r="B87" s="26" t="str">
        <f>'Alternative 1'!F87</f>
        <v>x</v>
      </c>
      <c r="C87" s="261"/>
      <c r="D87" s="9">
        <f>3300/'Alternative 1'!$B$21</f>
        <v>66</v>
      </c>
      <c r="E87" s="9" t="e">
        <f>2*'Alternative 1'!$K87/'Alternative 1'!$B$17</f>
        <v>#VALUE!</v>
      </c>
      <c r="F87" s="9">
        <f>13000/'Alternative 1'!$B$21</f>
        <v>260</v>
      </c>
      <c r="G87" s="9" t="e">
        <f>IF(AND(D87&lt;E87,E87&lt;=F87),((((662/E87)+0.399*'Alternative 1'!$B$21))/0.1450377),(0.6*'Alternative 1'!$B$21))</f>
        <v>#VALUE!</v>
      </c>
      <c r="H87" s="261"/>
      <c r="I87" s="26" t="str">
        <f>'Alternative 2'!F87</f>
        <v>x</v>
      </c>
      <c r="J87" s="9">
        <f>3300/'Alternative 2'!$B$21</f>
        <v>66</v>
      </c>
      <c r="K87" s="9" t="e">
        <f>2*'Alternative 2'!$K87/'Alternative 2'!$B$17</f>
        <v>#VALUE!</v>
      </c>
      <c r="L87" s="9">
        <f>13000/'Alternative 2'!$B$21</f>
        <v>260</v>
      </c>
      <c r="M87" s="9" t="e">
        <f>IF(AND(J87&lt;K87,K87&lt;=L87),((((662/K87)+0.399*'Alternative 2'!$B$21))/0.1450377),(0.6*'Alternative 2'!$B$21))</f>
        <v>#VALUE!</v>
      </c>
      <c r="N87" s="261"/>
      <c r="O87" s="26" t="str">
        <f>'Alternative 3'!F87</f>
        <v>x</v>
      </c>
      <c r="P87" s="9">
        <f>3300/'Alternative 3'!$B$21</f>
        <v>66</v>
      </c>
      <c r="Q87" s="9" t="e">
        <f>2*'Alternative 3'!$K87/'Alternative 3'!$B$17</f>
        <v>#VALUE!</v>
      </c>
      <c r="R87" s="9">
        <f>13000/'Alternative 3'!$B$21</f>
        <v>260</v>
      </c>
      <c r="S87" s="9" t="e">
        <f>IF(AND(P87&lt;Q87,Q87&lt;=R87),((((662/Q87)+0.399*'Alternative 3'!$B$21))/0.1450377),(0.6*'Alternative 3'!$B$21))</f>
        <v>#VALUE!</v>
      </c>
    </row>
    <row r="88" spans="2:19" ht="15" customHeight="1" x14ac:dyDescent="0.25">
      <c r="B88" s="26" t="str">
        <f>'Alternative 1'!F88</f>
        <v>x</v>
      </c>
      <c r="C88" s="261"/>
      <c r="D88" s="9">
        <f>3300/'Alternative 1'!$B$21</f>
        <v>66</v>
      </c>
      <c r="E88" s="9" t="e">
        <f>2*'Alternative 1'!$K88/'Alternative 1'!$B$17</f>
        <v>#VALUE!</v>
      </c>
      <c r="F88" s="9">
        <f>13000/'Alternative 1'!$B$21</f>
        <v>260</v>
      </c>
      <c r="G88" s="9" t="e">
        <f>IF(AND(D88&lt;E88,E88&lt;=F88),((((662/E88)+0.399*'Alternative 1'!$B$21))/0.1450377),(0.6*'Alternative 1'!$B$21))</f>
        <v>#VALUE!</v>
      </c>
      <c r="H88" s="261"/>
      <c r="I88" s="26" t="str">
        <f>'Alternative 2'!F88</f>
        <v>x</v>
      </c>
      <c r="J88" s="9">
        <f>3300/'Alternative 2'!$B$21</f>
        <v>66</v>
      </c>
      <c r="K88" s="9" t="e">
        <f>2*'Alternative 2'!$K88/'Alternative 2'!$B$17</f>
        <v>#VALUE!</v>
      </c>
      <c r="L88" s="9">
        <f>13000/'Alternative 2'!$B$21</f>
        <v>260</v>
      </c>
      <c r="M88" s="9" t="e">
        <f>IF(AND(J88&lt;K88,K88&lt;=L88),((((662/K88)+0.399*'Alternative 2'!$B$21))/0.1450377),(0.6*'Alternative 2'!$B$21))</f>
        <v>#VALUE!</v>
      </c>
      <c r="N88" s="261"/>
      <c r="O88" s="26" t="str">
        <f>'Alternative 3'!F88</f>
        <v>x</v>
      </c>
      <c r="P88" s="9">
        <f>3300/'Alternative 3'!$B$21</f>
        <v>66</v>
      </c>
      <c r="Q88" s="9" t="e">
        <f>2*'Alternative 3'!$K88/'Alternative 3'!$B$17</f>
        <v>#VALUE!</v>
      </c>
      <c r="R88" s="9">
        <f>13000/'Alternative 3'!$B$21</f>
        <v>260</v>
      </c>
      <c r="S88" s="9" t="e">
        <f>IF(AND(P88&lt;Q88,Q88&lt;=R88),((((662/Q88)+0.399*'Alternative 3'!$B$21))/0.1450377),(0.6*'Alternative 3'!$B$21))</f>
        <v>#VALUE!</v>
      </c>
    </row>
    <row r="89" spans="2:19" ht="15" customHeight="1" x14ac:dyDescent="0.25">
      <c r="B89" s="26" t="str">
        <f>'Alternative 1'!F89</f>
        <v>x</v>
      </c>
      <c r="C89" s="261"/>
      <c r="D89" s="9">
        <f>3300/'Alternative 1'!$B$21</f>
        <v>66</v>
      </c>
      <c r="E89" s="9" t="e">
        <f>2*'Alternative 1'!$K89/'Alternative 1'!$B$17</f>
        <v>#VALUE!</v>
      </c>
      <c r="F89" s="9">
        <f>13000/'Alternative 1'!$B$21</f>
        <v>260</v>
      </c>
      <c r="G89" s="9" t="e">
        <f>IF(AND(D89&lt;E89,E89&lt;=F89),((((662/E89)+0.399*'Alternative 1'!$B$21))/0.1450377),(0.6*'Alternative 1'!$B$21))</f>
        <v>#VALUE!</v>
      </c>
      <c r="H89" s="261"/>
      <c r="I89" s="26" t="str">
        <f>'Alternative 2'!F89</f>
        <v>x</v>
      </c>
      <c r="J89" s="9">
        <f>3300/'Alternative 2'!$B$21</f>
        <v>66</v>
      </c>
      <c r="K89" s="9" t="e">
        <f>2*'Alternative 2'!$K89/'Alternative 2'!$B$17</f>
        <v>#VALUE!</v>
      </c>
      <c r="L89" s="9">
        <f>13000/'Alternative 2'!$B$21</f>
        <v>260</v>
      </c>
      <c r="M89" s="9" t="e">
        <f>IF(AND(J89&lt;K89,K89&lt;=L89),((((662/K89)+0.399*'Alternative 2'!$B$21))/0.1450377),(0.6*'Alternative 2'!$B$21))</f>
        <v>#VALUE!</v>
      </c>
      <c r="N89" s="261"/>
      <c r="O89" s="26" t="str">
        <f>'Alternative 3'!F89</f>
        <v>x</v>
      </c>
      <c r="P89" s="9">
        <f>3300/'Alternative 3'!$B$21</f>
        <v>66</v>
      </c>
      <c r="Q89" s="9" t="e">
        <f>2*'Alternative 3'!$K89/'Alternative 3'!$B$17</f>
        <v>#VALUE!</v>
      </c>
      <c r="R89" s="9">
        <f>13000/'Alternative 3'!$B$21</f>
        <v>260</v>
      </c>
      <c r="S89" s="9" t="e">
        <f>IF(AND(P89&lt;Q89,Q89&lt;=R89),((((662/Q89)+0.399*'Alternative 3'!$B$21))/0.1450377),(0.6*'Alternative 3'!$B$21))</f>
        <v>#VALUE!</v>
      </c>
    </row>
    <row r="90" spans="2:19" ht="15" customHeight="1" x14ac:dyDescent="0.25">
      <c r="B90" s="26" t="str">
        <f>'Alternative 1'!F90</f>
        <v>x</v>
      </c>
      <c r="C90" s="261"/>
      <c r="D90" s="9">
        <f>3300/'Alternative 1'!$B$21</f>
        <v>66</v>
      </c>
      <c r="E90" s="9" t="e">
        <f>2*'Alternative 1'!$K90/'Alternative 1'!$B$17</f>
        <v>#VALUE!</v>
      </c>
      <c r="F90" s="9">
        <f>13000/'Alternative 1'!$B$21</f>
        <v>260</v>
      </c>
      <c r="G90" s="9" t="e">
        <f>IF(AND(D90&lt;E90,E90&lt;=F90),((((662/E90)+0.399*'Alternative 1'!$B$21))/0.1450377),(0.6*'Alternative 1'!$B$21))</f>
        <v>#VALUE!</v>
      </c>
      <c r="H90" s="261"/>
      <c r="I90" s="26" t="str">
        <f>'Alternative 2'!F90</f>
        <v>x</v>
      </c>
      <c r="J90" s="9">
        <f>3300/'Alternative 2'!$B$21</f>
        <v>66</v>
      </c>
      <c r="K90" s="9" t="e">
        <f>2*'Alternative 2'!$K90/'Alternative 2'!$B$17</f>
        <v>#VALUE!</v>
      </c>
      <c r="L90" s="9">
        <f>13000/'Alternative 2'!$B$21</f>
        <v>260</v>
      </c>
      <c r="M90" s="9" t="e">
        <f>IF(AND(J90&lt;K90,K90&lt;=L90),((((662/K90)+0.399*'Alternative 2'!$B$21))/0.1450377),(0.6*'Alternative 2'!$B$21))</f>
        <v>#VALUE!</v>
      </c>
      <c r="N90" s="261"/>
      <c r="O90" s="26" t="str">
        <f>'Alternative 3'!F90</f>
        <v>x</v>
      </c>
      <c r="P90" s="9">
        <f>3300/'Alternative 3'!$B$21</f>
        <v>66</v>
      </c>
      <c r="Q90" s="9" t="e">
        <f>2*'Alternative 3'!$K90/'Alternative 3'!$B$17</f>
        <v>#VALUE!</v>
      </c>
      <c r="R90" s="9">
        <f>13000/'Alternative 3'!$B$21</f>
        <v>260</v>
      </c>
      <c r="S90" s="9" t="e">
        <f>IF(AND(P90&lt;Q90,Q90&lt;=R90),((((662/Q90)+0.399*'Alternative 3'!$B$21))/0.1450377),(0.6*'Alternative 3'!$B$21))</f>
        <v>#VALUE!</v>
      </c>
    </row>
    <row r="91" spans="2:19" ht="15" customHeight="1" x14ac:dyDescent="0.25">
      <c r="B91" s="26" t="str">
        <f>'Alternative 1'!F91</f>
        <v>x</v>
      </c>
      <c r="C91" s="261"/>
      <c r="D91" s="9">
        <f>3300/'Alternative 1'!$B$21</f>
        <v>66</v>
      </c>
      <c r="E91" s="9" t="e">
        <f>2*'Alternative 1'!$K91/'Alternative 1'!$B$17</f>
        <v>#VALUE!</v>
      </c>
      <c r="F91" s="9">
        <f>13000/'Alternative 1'!$B$21</f>
        <v>260</v>
      </c>
      <c r="G91" s="9" t="e">
        <f>IF(AND(D91&lt;E91,E91&lt;=F91),((((662/E91)+0.399*'Alternative 1'!$B$21))/0.1450377),(0.6*'Alternative 1'!$B$21))</f>
        <v>#VALUE!</v>
      </c>
      <c r="H91" s="261"/>
      <c r="I91" s="26" t="str">
        <f>'Alternative 2'!F91</f>
        <v>x</v>
      </c>
      <c r="J91" s="9">
        <f>3300/'Alternative 2'!$B$21</f>
        <v>66</v>
      </c>
      <c r="K91" s="9" t="e">
        <f>2*'Alternative 2'!$K91/'Alternative 2'!$B$17</f>
        <v>#VALUE!</v>
      </c>
      <c r="L91" s="9">
        <f>13000/'Alternative 2'!$B$21</f>
        <v>260</v>
      </c>
      <c r="M91" s="9" t="e">
        <f>IF(AND(J91&lt;K91,K91&lt;=L91),((((662/K91)+0.399*'Alternative 2'!$B$21))/0.1450377),(0.6*'Alternative 2'!$B$21))</f>
        <v>#VALUE!</v>
      </c>
      <c r="N91" s="261"/>
      <c r="O91" s="26" t="str">
        <f>'Alternative 3'!F91</f>
        <v>x</v>
      </c>
      <c r="P91" s="9">
        <f>3300/'Alternative 3'!$B$21</f>
        <v>66</v>
      </c>
      <c r="Q91" s="9" t="e">
        <f>2*'Alternative 3'!$K91/'Alternative 3'!$B$17</f>
        <v>#VALUE!</v>
      </c>
      <c r="R91" s="9">
        <f>13000/'Alternative 3'!$B$21</f>
        <v>260</v>
      </c>
      <c r="S91" s="9" t="e">
        <f>IF(AND(P91&lt;Q91,Q91&lt;=R91),((((662/Q91)+0.399*'Alternative 3'!$B$21))/0.1450377),(0.6*'Alternative 3'!$B$21))</f>
        <v>#VALUE!</v>
      </c>
    </row>
    <row r="92" spans="2:19" ht="15" customHeight="1" x14ac:dyDescent="0.25">
      <c r="B92" s="26" t="str">
        <f>'Alternative 1'!F92</f>
        <v>x</v>
      </c>
      <c r="C92" s="261"/>
      <c r="D92" s="9">
        <f>3300/'Alternative 1'!$B$21</f>
        <v>66</v>
      </c>
      <c r="E92" s="9" t="e">
        <f>2*'Alternative 1'!$K92/'Alternative 1'!$B$17</f>
        <v>#VALUE!</v>
      </c>
      <c r="F92" s="9">
        <f>13000/'Alternative 1'!$B$21</f>
        <v>260</v>
      </c>
      <c r="G92" s="9" t="e">
        <f>IF(AND(D92&lt;E92,E92&lt;=F92),((((662/E92)+0.399*'Alternative 1'!$B$21))/0.1450377),(0.6*'Alternative 1'!$B$21))</f>
        <v>#VALUE!</v>
      </c>
      <c r="H92" s="261"/>
      <c r="I92" s="26" t="str">
        <f>'Alternative 2'!F92</f>
        <v>x</v>
      </c>
      <c r="J92" s="9">
        <f>3300/'Alternative 2'!$B$21</f>
        <v>66</v>
      </c>
      <c r="K92" s="9" t="e">
        <f>2*'Alternative 2'!$K92/'Alternative 2'!$B$17</f>
        <v>#VALUE!</v>
      </c>
      <c r="L92" s="9">
        <f>13000/'Alternative 2'!$B$21</f>
        <v>260</v>
      </c>
      <c r="M92" s="9" t="e">
        <f>IF(AND(J92&lt;K92,K92&lt;=L92),((((662/K92)+0.399*'Alternative 2'!$B$21))/0.1450377),(0.6*'Alternative 2'!$B$21))</f>
        <v>#VALUE!</v>
      </c>
      <c r="N92" s="261"/>
      <c r="O92" s="26" t="str">
        <f>'Alternative 3'!F92</f>
        <v>x</v>
      </c>
      <c r="P92" s="9">
        <f>3300/'Alternative 3'!$B$21</f>
        <v>66</v>
      </c>
      <c r="Q92" s="9" t="e">
        <f>2*'Alternative 3'!$K92/'Alternative 3'!$B$17</f>
        <v>#VALUE!</v>
      </c>
      <c r="R92" s="9">
        <f>13000/'Alternative 3'!$B$21</f>
        <v>260</v>
      </c>
      <c r="S92" s="9" t="e">
        <f>IF(AND(P92&lt;Q92,Q92&lt;=R92),((((662/Q92)+0.399*'Alternative 3'!$B$21))/0.1450377),(0.6*'Alternative 3'!$B$21))</f>
        <v>#VALUE!</v>
      </c>
    </row>
    <row r="93" spans="2:19" ht="15" customHeight="1" x14ac:dyDescent="0.25">
      <c r="B93" s="26" t="str">
        <f>'Alternative 1'!F93</f>
        <v>x</v>
      </c>
      <c r="C93" s="261"/>
      <c r="D93" s="9">
        <f>3300/'Alternative 1'!$B$21</f>
        <v>66</v>
      </c>
      <c r="E93" s="9" t="e">
        <f>2*'Alternative 1'!$K93/'Alternative 1'!$B$17</f>
        <v>#VALUE!</v>
      </c>
      <c r="F93" s="9">
        <f>13000/'Alternative 1'!$B$21</f>
        <v>260</v>
      </c>
      <c r="G93" s="9" t="e">
        <f>IF(AND(D93&lt;E93,E93&lt;=F93),((((662/E93)+0.399*'Alternative 1'!$B$21))/0.1450377),(0.6*'Alternative 1'!$B$21))</f>
        <v>#VALUE!</v>
      </c>
      <c r="H93" s="261"/>
      <c r="I93" s="26" t="str">
        <f>'Alternative 2'!F93</f>
        <v>x</v>
      </c>
      <c r="J93" s="9">
        <f>3300/'Alternative 2'!$B$21</f>
        <v>66</v>
      </c>
      <c r="K93" s="9" t="e">
        <f>2*'Alternative 2'!$K93/'Alternative 2'!$B$17</f>
        <v>#VALUE!</v>
      </c>
      <c r="L93" s="9">
        <f>13000/'Alternative 2'!$B$21</f>
        <v>260</v>
      </c>
      <c r="M93" s="9" t="e">
        <f>IF(AND(J93&lt;K93,K93&lt;=L93),((((662/K93)+0.399*'Alternative 2'!$B$21))/0.1450377),(0.6*'Alternative 2'!$B$21))</f>
        <v>#VALUE!</v>
      </c>
      <c r="N93" s="261"/>
      <c r="O93" s="26" t="str">
        <f>'Alternative 3'!F93</f>
        <v>x</v>
      </c>
      <c r="P93" s="9">
        <f>3300/'Alternative 3'!$B$21</f>
        <v>66</v>
      </c>
      <c r="Q93" s="9" t="e">
        <f>2*'Alternative 3'!$K93/'Alternative 3'!$B$17</f>
        <v>#VALUE!</v>
      </c>
      <c r="R93" s="9">
        <f>13000/'Alternative 3'!$B$21</f>
        <v>260</v>
      </c>
      <c r="S93" s="9" t="e">
        <f>IF(AND(P93&lt;Q93,Q93&lt;=R93),((((662/Q93)+0.399*'Alternative 3'!$B$21))/0.1450377),(0.6*'Alternative 3'!$B$21))</f>
        <v>#VALUE!</v>
      </c>
    </row>
    <row r="94" spans="2:19" ht="51.75" customHeight="1" x14ac:dyDescent="0.25">
      <c r="D94" s="9"/>
      <c r="G94" s="9"/>
    </row>
  </sheetData>
  <customSheetViews>
    <customSheetView guid="{73608749-DAD6-470A-871E-DA0A326E9E7B}" scale="85" hiddenRows="1" hiddenColumns="1" topLeftCell="AC8">
      <selection activeCell="AM8" sqref="A1:XFD1048576"/>
      <pageMargins left="0.7" right="0.7" top="0.75" bottom="0.75" header="0.3" footer="0.3"/>
      <pageSetup orientation="portrait" horizontalDpi="4294967293" verticalDpi="0" r:id="rId1"/>
    </customSheetView>
  </customSheetViews>
  <mergeCells count="10">
    <mergeCell ref="I1:M1"/>
    <mergeCell ref="D2:G2"/>
    <mergeCell ref="O1:S1"/>
    <mergeCell ref="N1:N93"/>
    <mergeCell ref="O2:S2"/>
    <mergeCell ref="I2:M2"/>
    <mergeCell ref="H1:H93"/>
    <mergeCell ref="C1:C93"/>
    <mergeCell ref="D1:G1"/>
    <mergeCell ref="B1:B2"/>
  </mergeCells>
  <pageMargins left="0.7" right="0.7" top="0.75" bottom="0.75" header="0.3" footer="0.3"/>
  <pageSetup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U492"/>
  <sheetViews>
    <sheetView topLeftCell="B8" zoomScale="90" zoomScaleNormal="90" workbookViewId="0">
      <selection activeCell="H30" sqref="H30"/>
    </sheetView>
  </sheetViews>
  <sheetFormatPr defaultColWidth="9.140625" defaultRowHeight="51.75" customHeight="1" x14ac:dyDescent="0.25"/>
  <cols>
    <col min="1" max="1" width="12.7109375" style="26" hidden="1" customWidth="1"/>
    <col min="2" max="2" width="14.7109375" style="12" customWidth="1"/>
    <col min="3" max="3" width="15.28515625" style="12" customWidth="1"/>
    <col min="4" max="4" width="2.28515625" style="12" customWidth="1"/>
    <col min="5" max="5" width="15" style="12" customWidth="1"/>
    <col min="6" max="6" width="15.85546875" style="12" customWidth="1"/>
    <col min="7" max="7" width="2.28515625" style="12" customWidth="1"/>
    <col min="8" max="8" width="15.28515625" style="10" customWidth="1"/>
    <col min="9" max="9" width="16.42578125" style="10" customWidth="1"/>
    <col min="10" max="10" width="9.140625" style="10"/>
    <col min="11" max="11" width="13" style="10" bestFit="1" customWidth="1"/>
    <col min="12" max="16384" width="9.140625" style="10"/>
  </cols>
  <sheetData>
    <row r="1" spans="1:229" ht="36.75" customHeight="1" x14ac:dyDescent="0.25">
      <c r="A1" s="240" t="s">
        <v>120</v>
      </c>
      <c r="B1" s="241"/>
      <c r="C1" s="241"/>
      <c r="D1" s="269"/>
      <c r="E1" s="241" t="s">
        <v>121</v>
      </c>
      <c r="F1" s="241"/>
      <c r="G1" s="267"/>
      <c r="H1" s="263" t="s">
        <v>122</v>
      </c>
      <c r="I1" s="263"/>
    </row>
    <row r="2" spans="1:229" s="19" customFormat="1" ht="51.75" customHeight="1" x14ac:dyDescent="0.3">
      <c r="A2" s="87"/>
      <c r="B2" s="265" t="s">
        <v>191</v>
      </c>
      <c r="C2" s="266"/>
      <c r="D2" s="270"/>
      <c r="E2" s="265" t="s">
        <v>191</v>
      </c>
      <c r="F2" s="266"/>
      <c r="G2" s="268"/>
      <c r="H2" s="265" t="s">
        <v>191</v>
      </c>
      <c r="I2" s="266"/>
    </row>
    <row r="3" spans="1:229" ht="72" customHeight="1" x14ac:dyDescent="0.25">
      <c r="B3" s="123" t="s">
        <v>192</v>
      </c>
      <c r="C3" s="124" t="s">
        <v>193</v>
      </c>
      <c r="D3" s="270"/>
      <c r="E3" s="123" t="s">
        <v>192</v>
      </c>
      <c r="F3" s="124" t="s">
        <v>193</v>
      </c>
      <c r="G3" s="268"/>
      <c r="H3" s="123" t="s">
        <v>192</v>
      </c>
      <c r="I3" s="124" t="s">
        <v>193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</row>
    <row r="4" spans="1:229" s="3" customFormat="1" ht="15" customHeight="1" x14ac:dyDescent="0.25">
      <c r="A4" s="26"/>
      <c r="B4" s="146">
        <v>0</v>
      </c>
      <c r="C4" s="147">
        <v>0.25</v>
      </c>
      <c r="D4" s="270"/>
      <c r="E4" s="146">
        <v>0</v>
      </c>
      <c r="F4" s="147">
        <v>0.25</v>
      </c>
      <c r="G4" s="268"/>
      <c r="H4" s="146">
        <v>0</v>
      </c>
      <c r="I4" s="147">
        <v>0.25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spans="1:229" s="3" customFormat="1" ht="15" customHeight="1" x14ac:dyDescent="0.25">
      <c r="A5" s="26"/>
      <c r="B5" s="146">
        <v>0.1</v>
      </c>
      <c r="C5" s="147">
        <v>1.35</v>
      </c>
      <c r="D5" s="270"/>
      <c r="E5" s="146">
        <v>0.1</v>
      </c>
      <c r="F5" s="147">
        <v>1.35</v>
      </c>
      <c r="G5" s="268"/>
      <c r="H5" s="146">
        <v>0.1</v>
      </c>
      <c r="I5" s="147">
        <v>1.35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spans="1:229" s="3" customFormat="1" ht="15" customHeight="1" x14ac:dyDescent="0.25">
      <c r="A6" s="26"/>
      <c r="B6" s="146">
        <v>0.2</v>
      </c>
      <c r="C6" s="147">
        <v>1.593</v>
      </c>
      <c r="D6" s="270"/>
      <c r="E6" s="146">
        <v>0.2</v>
      </c>
      <c r="F6" s="147">
        <v>1.593</v>
      </c>
      <c r="G6" s="268"/>
      <c r="H6" s="146">
        <v>0.2</v>
      </c>
      <c r="I6" s="147">
        <v>1.593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spans="1:229" s="3" customFormat="1" ht="15" customHeight="1" x14ac:dyDescent="0.25">
      <c r="A7" s="26"/>
      <c r="B7" s="146">
        <v>0.3</v>
      </c>
      <c r="C7" s="147">
        <v>1.7629999999999999</v>
      </c>
      <c r="D7" s="270"/>
      <c r="E7" s="146">
        <v>0.3</v>
      </c>
      <c r="F7" s="147">
        <v>1.7629999999999999</v>
      </c>
      <c r="G7" s="268"/>
      <c r="H7" s="146">
        <v>0.3</v>
      </c>
      <c r="I7" s="147">
        <v>1.7629999999999999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29" s="3" customFormat="1" ht="15" customHeight="1" x14ac:dyDescent="0.25">
      <c r="A8" s="26"/>
      <c r="B8" s="146">
        <v>0.4</v>
      </c>
      <c r="C8" s="147">
        <v>1.9039999999999999</v>
      </c>
      <c r="D8" s="270"/>
      <c r="E8" s="146">
        <v>0.4</v>
      </c>
      <c r="F8" s="147">
        <v>1.9039999999999999</v>
      </c>
      <c r="G8" s="268"/>
      <c r="H8" s="146">
        <v>0.4</v>
      </c>
      <c r="I8" s="147">
        <v>1.9039999999999999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29" s="3" customFormat="1" ht="15" customHeight="1" x14ac:dyDescent="0.25">
      <c r="A9" s="26"/>
      <c r="B9" s="146">
        <v>0.5</v>
      </c>
      <c r="C9" s="147">
        <v>2.0230000000000001</v>
      </c>
      <c r="D9" s="270"/>
      <c r="E9" s="146">
        <v>0.5</v>
      </c>
      <c r="F9" s="147">
        <v>2.0230000000000001</v>
      </c>
      <c r="G9" s="268"/>
      <c r="H9" s="146">
        <v>0.5</v>
      </c>
      <c r="I9" s="147">
        <v>2.0230000000000001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spans="1:229" s="3" customFormat="1" ht="15" customHeight="1" x14ac:dyDescent="0.25">
      <c r="A10" s="26"/>
      <c r="B10" s="146">
        <v>0.6</v>
      </c>
      <c r="C10" s="147">
        <v>2.1280000000000001</v>
      </c>
      <c r="D10" s="270"/>
      <c r="E10" s="146">
        <v>0.6</v>
      </c>
      <c r="F10" s="147">
        <v>2.1280000000000001</v>
      </c>
      <c r="G10" s="268"/>
      <c r="H10" s="146">
        <v>0.6</v>
      </c>
      <c r="I10" s="147">
        <v>2.1280000000000001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spans="1:229" s="3" customFormat="1" ht="15" customHeight="1" x14ac:dyDescent="0.25">
      <c r="A11" s="26"/>
      <c r="B11" s="146">
        <v>0.7</v>
      </c>
      <c r="C11" s="147">
        <v>2.2229999999999999</v>
      </c>
      <c r="D11" s="270"/>
      <c r="E11" s="146">
        <v>0.7</v>
      </c>
      <c r="F11" s="147">
        <v>2.2229999999999999</v>
      </c>
      <c r="G11" s="268"/>
      <c r="H11" s="146">
        <v>0.7</v>
      </c>
      <c r="I11" s="147">
        <v>2.2229999999999999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spans="1:229" s="3" customFormat="1" ht="15" customHeight="1" x14ac:dyDescent="0.25">
      <c r="A12" s="26"/>
      <c r="B12" s="146">
        <v>0.8</v>
      </c>
      <c r="C12" s="147">
        <v>2.3109999999999999</v>
      </c>
      <c r="D12" s="270"/>
      <c r="E12" s="146">
        <v>0.8</v>
      </c>
      <c r="F12" s="147">
        <v>2.3109999999999999</v>
      </c>
      <c r="G12" s="268"/>
      <c r="H12" s="146">
        <v>0.8</v>
      </c>
      <c r="I12" s="147">
        <v>2.3109999999999999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spans="1:229" s="3" customFormat="1" ht="15" customHeight="1" x14ac:dyDescent="0.25">
      <c r="A13" s="26"/>
      <c r="B13" s="146">
        <v>0.9</v>
      </c>
      <c r="C13" s="147">
        <v>2.3919999999999999</v>
      </c>
      <c r="D13" s="270"/>
      <c r="E13" s="146">
        <v>0.9</v>
      </c>
      <c r="F13" s="147">
        <v>2.3919999999999999</v>
      </c>
      <c r="G13" s="268"/>
      <c r="H13" s="146">
        <v>0.9</v>
      </c>
      <c r="I13" s="147">
        <v>2.3919999999999999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spans="1:229" s="3" customFormat="1" ht="15" customHeight="1" x14ac:dyDescent="0.25">
      <c r="A14" s="26"/>
      <c r="B14" s="146">
        <v>1</v>
      </c>
      <c r="C14" s="147">
        <f>(3.14159)^2/(4)</f>
        <v>2.4673969320249998</v>
      </c>
      <c r="D14" s="270"/>
      <c r="E14" s="146">
        <v>1</v>
      </c>
      <c r="F14" s="147">
        <f>(3.14159)^2/(4)</f>
        <v>2.4673969320249998</v>
      </c>
      <c r="G14" s="268"/>
      <c r="H14" s="146">
        <v>1</v>
      </c>
      <c r="I14" s="147">
        <f>(3.14159)^2/(4)</f>
        <v>2.4673969320249998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spans="1:229" s="3" customFormat="1" ht="15" customHeight="1" x14ac:dyDescent="0.25">
      <c r="A15" s="26"/>
      <c r="B15" s="264"/>
      <c r="C15" s="264"/>
      <c r="D15" s="270"/>
      <c r="E15" s="264"/>
      <c r="F15" s="264"/>
      <c r="G15" s="268"/>
      <c r="H15" s="264"/>
      <c r="I15" s="26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spans="1:229" s="3" customFormat="1" ht="15" customHeight="1" x14ac:dyDescent="0.25">
      <c r="A16" s="26"/>
      <c r="B16" s="38" t="s">
        <v>194</v>
      </c>
      <c r="C16" s="126">
        <f>(VLOOKUP('Alternative 1'!$B$12,'Alternative 1'!$F$3:$P$93,7,FALSE)/'Alternative 1'!$L$3)</f>
        <v>0.28962571366731199</v>
      </c>
      <c r="D16" s="270"/>
      <c r="E16" s="38" t="s">
        <v>194</v>
      </c>
      <c r="F16" s="126">
        <f>(VLOOKUP('Alternative 2'!$B$12,'Alternative 2'!$F$3:$P$93,7,FALSE)/'Alternative 2'!$L$3)</f>
        <v>0.28962571366731199</v>
      </c>
      <c r="G16" s="268"/>
      <c r="H16" s="38" t="s">
        <v>194</v>
      </c>
      <c r="I16" s="126">
        <f>(VLOOKUP('Alternative 3'!$B$12,'Alternative 3'!$F$3:$P$93,7,FALSE)/'Alternative 3'!$L$3)</f>
        <v>0.28962571366731199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spans="1:229" s="3" customFormat="1" ht="15" customHeight="1" x14ac:dyDescent="0.25">
      <c r="A17" s="26"/>
      <c r="B17" s="127" t="s">
        <v>195</v>
      </c>
      <c r="C17" s="130">
        <f>VLOOKUP(ROUND(C16,1),B4:C14,2,FALSE)</f>
        <v>1.7629999999999999</v>
      </c>
      <c r="D17" s="270"/>
      <c r="E17" s="127" t="s">
        <v>195</v>
      </c>
      <c r="F17" s="127">
        <f>VLOOKUP(ROUND(F16,1),E4:F14,2,FALSE)</f>
        <v>1.7629999999999999</v>
      </c>
      <c r="G17" s="268"/>
      <c r="H17" s="127" t="s">
        <v>195</v>
      </c>
      <c r="I17" s="127">
        <f>VLOOKUP(ROUND(I16,1),H4:I14,2,FALSE)</f>
        <v>1.7629999999999999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spans="1:229" s="3" customFormat="1" ht="15" customHeight="1" x14ac:dyDescent="0.25">
      <c r="A18" s="26"/>
      <c r="B18" s="38" t="s">
        <v>196</v>
      </c>
      <c r="C18" s="125">
        <f>SQRT(3.14159^2/(C17))</f>
        <v>2.3660469038622698</v>
      </c>
      <c r="D18" s="270"/>
      <c r="E18" s="38" t="s">
        <v>196</v>
      </c>
      <c r="F18" s="125">
        <f>SQRT(3.14159^2/(F17))</f>
        <v>2.3660469038622698</v>
      </c>
      <c r="G18" s="268"/>
      <c r="H18" s="38" t="s">
        <v>196</v>
      </c>
      <c r="I18" s="125">
        <f>SQRT(3.14159^2/(I17))</f>
        <v>2.3660469038622698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spans="1:229" s="3" customFormat="1" ht="15" customHeight="1" x14ac:dyDescent="0.25">
      <c r="A19" s="26"/>
      <c r="B19" s="128" t="s">
        <v>197</v>
      </c>
      <c r="C19" s="125">
        <f>(C18*'Alternative 1'!$B$26)/('Alternative 1'!$L$3)</f>
        <v>1144.6938403213526</v>
      </c>
      <c r="D19" s="270"/>
      <c r="E19" s="128" t="s">
        <v>197</v>
      </c>
      <c r="F19" s="125">
        <f>(F18*'Alternative 2'!$B$26)/('Alternative 2'!$L$3)</f>
        <v>1144.6938403213526</v>
      </c>
      <c r="G19" s="268"/>
      <c r="H19" s="128" t="s">
        <v>197</v>
      </c>
      <c r="I19" s="125">
        <f>(I18*'Alternative 3'!$B$26)/('Alternative 3'!$L$3)</f>
        <v>1144.6938403213526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spans="1:229" s="3" customFormat="1" ht="15" customHeight="1" x14ac:dyDescent="0.25">
      <c r="A20" s="26"/>
      <c r="B20" s="128" t="s">
        <v>219</v>
      </c>
      <c r="C20" s="125">
        <f>((3.14159^2)*29000)/(C19)^2</f>
        <v>0.21843303390679203</v>
      </c>
      <c r="D20" s="270"/>
      <c r="E20" s="128" t="s">
        <v>219</v>
      </c>
      <c r="F20" s="125">
        <f>((3.14159^2)*29000)/(F19)^2</f>
        <v>0.21843303390679203</v>
      </c>
      <c r="G20" s="268"/>
      <c r="H20" s="128" t="s">
        <v>219</v>
      </c>
      <c r="I20" s="125">
        <f>((3.14159^2)*29000)/(I19)^2</f>
        <v>0.21843303390679203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spans="1:229" s="3" customFormat="1" ht="15" customHeight="1" x14ac:dyDescent="0.25">
      <c r="A21" s="115"/>
      <c r="B21" s="128" t="s">
        <v>220</v>
      </c>
      <c r="C21" s="125">
        <f>IF((C19&gt;113),(0.877*C20),(0.658^(50/C20))*50)</f>
        <v>0.19156577073625661</v>
      </c>
      <c r="D21" s="270"/>
      <c r="E21" s="128" t="s">
        <v>220</v>
      </c>
      <c r="F21" s="125">
        <f>IF(F19&gt;113, 0.877*F20,( 0.658^(50/F20))*50)</f>
        <v>0.19156577073625661</v>
      </c>
      <c r="G21" s="268"/>
      <c r="H21" s="128" t="s">
        <v>220</v>
      </c>
      <c r="I21" s="125">
        <f>IF(I19&gt;113, 0.877*I20,(0.658^(50/I20))*50)</f>
        <v>0.19156577073625661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spans="1:229" s="3" customFormat="1" ht="15" customHeight="1" x14ac:dyDescent="0.25">
      <c r="A22" s="115"/>
      <c r="B22" s="128" t="s">
        <v>221</v>
      </c>
      <c r="C22" s="125">
        <f>C21/1.67</f>
        <v>0.1147100423570399</v>
      </c>
      <c r="D22" s="270"/>
      <c r="E22" s="128" t="s">
        <v>221</v>
      </c>
      <c r="F22" s="125">
        <f>F21/1.67</f>
        <v>0.1147100423570399</v>
      </c>
      <c r="G22" s="268"/>
      <c r="H22" s="128" t="s">
        <v>221</v>
      </c>
      <c r="I22" s="125">
        <f>I21/1.67</f>
        <v>0.1147100423570399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spans="1:229" s="3" customFormat="1" ht="15" customHeight="1" x14ac:dyDescent="0.25">
      <c r="A23" s="115"/>
      <c r="B23" s="9" t="s">
        <v>202</v>
      </c>
      <c r="C23" s="148">
        <f>'Combined Stress'!I3</f>
        <v>9.2995614292993578E-2</v>
      </c>
      <c r="D23" s="270"/>
      <c r="E23" s="9" t="s">
        <v>202</v>
      </c>
      <c r="F23" s="148">
        <f>'Combined Stress'!T3</f>
        <v>9.2995614292993578E-2</v>
      </c>
      <c r="G23" s="268"/>
      <c r="H23" s="9" t="s">
        <v>202</v>
      </c>
      <c r="I23" s="148">
        <f>'Combined Stress'!AE3</f>
        <v>0.16938486248423676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</row>
    <row r="24" spans="1:229" s="2" customFormat="1" ht="15" customHeight="1" x14ac:dyDescent="0.25">
      <c r="A24" s="2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</row>
    <row r="25" spans="1:229" s="2" customFormat="1" ht="15" customHeight="1" x14ac:dyDescent="0.25">
      <c r="A25" s="2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</row>
    <row r="26" spans="1:229" s="2" customFormat="1" ht="15" customHeight="1" x14ac:dyDescent="0.25">
      <c r="A26" s="2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</row>
    <row r="27" spans="1:229" s="2" customFormat="1" ht="15" customHeight="1" x14ac:dyDescent="0.25">
      <c r="A27" s="2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</row>
    <row r="28" spans="1:229" s="2" customFormat="1" ht="15" customHeight="1" x14ac:dyDescent="0.25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</row>
    <row r="29" spans="1:229" s="2" customFormat="1" ht="15" customHeight="1" x14ac:dyDescent="0.25">
      <c r="A29" s="2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</row>
    <row r="30" spans="1:229" s="2" customFormat="1" ht="15" customHeight="1" x14ac:dyDescent="0.25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</row>
    <row r="31" spans="1:229" s="2" customFormat="1" ht="15" customHeight="1" x14ac:dyDescent="0.25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</row>
    <row r="32" spans="1:229" s="2" customFormat="1" ht="15" customHeight="1" x14ac:dyDescent="0.25">
      <c r="A32" s="2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</row>
    <row r="33" spans="1:229" s="2" customFormat="1" ht="15" customHeight="1" x14ac:dyDescent="0.25">
      <c r="A33" s="2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</row>
    <row r="34" spans="1:229" s="2" customFormat="1" ht="15" customHeight="1" x14ac:dyDescent="0.25">
      <c r="A34" s="2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</row>
    <row r="35" spans="1:229" s="2" customFormat="1" ht="15" customHeight="1" x14ac:dyDescent="0.25">
      <c r="A35" s="2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</row>
    <row r="36" spans="1:229" s="2" customFormat="1" ht="15" customHeight="1" x14ac:dyDescent="0.25">
      <c r="A36" s="2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</row>
    <row r="37" spans="1:229" s="2" customFormat="1" ht="15" customHeight="1" x14ac:dyDescent="0.25">
      <c r="A37" s="2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</row>
    <row r="38" spans="1:229" s="2" customFormat="1" ht="15" customHeight="1" x14ac:dyDescent="0.25">
      <c r="A38" s="2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</row>
    <row r="39" spans="1:229" s="2" customFormat="1" ht="15" customHeight="1" x14ac:dyDescent="0.25">
      <c r="A39" s="2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</row>
    <row r="40" spans="1:229" s="2" customFormat="1" ht="15" customHeight="1" x14ac:dyDescent="0.25">
      <c r="A40" s="2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</row>
    <row r="41" spans="1:229" s="2" customFormat="1" ht="15" customHeight="1" x14ac:dyDescent="0.25">
      <c r="A41" s="2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</row>
    <row r="42" spans="1:229" s="2" customFormat="1" ht="15" customHeight="1" x14ac:dyDescent="0.25">
      <c r="A42" s="2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</row>
    <row r="43" spans="1:229" s="2" customFormat="1" ht="15" customHeight="1" x14ac:dyDescent="0.25">
      <c r="A43" s="2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</row>
    <row r="44" spans="1:229" s="2" customFormat="1" ht="15" customHeight="1" x14ac:dyDescent="0.25">
      <c r="A44" s="2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</row>
    <row r="45" spans="1:229" s="2" customFormat="1" ht="15" customHeight="1" x14ac:dyDescent="0.25">
      <c r="A45" s="2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</row>
    <row r="46" spans="1:229" s="2" customFormat="1" ht="15" customHeight="1" x14ac:dyDescent="0.25">
      <c r="A46" s="2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</row>
    <row r="47" spans="1:229" s="2" customFormat="1" ht="15" customHeight="1" x14ac:dyDescent="0.25">
      <c r="A47" s="2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</row>
    <row r="48" spans="1:229" s="3" customFormat="1" ht="15" customHeight="1" x14ac:dyDescent="0.25">
      <c r="A48" s="2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</row>
    <row r="49" spans="1:229" s="3" customFormat="1" ht="15" customHeight="1" x14ac:dyDescent="0.25">
      <c r="A49" s="2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</row>
    <row r="50" spans="1:229" s="3" customFormat="1" ht="15" customHeight="1" x14ac:dyDescent="0.25">
      <c r="A50" s="2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</row>
    <row r="51" spans="1:229" s="3" customFormat="1" ht="15" customHeight="1" x14ac:dyDescent="0.25">
      <c r="A51" s="2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</row>
    <row r="52" spans="1:229" s="3" customFormat="1" ht="15" customHeight="1" x14ac:dyDescent="0.25">
      <c r="A52" s="2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</row>
    <row r="53" spans="1:229" s="3" customFormat="1" ht="15" customHeight="1" x14ac:dyDescent="0.25">
      <c r="A53" s="2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</row>
    <row r="54" spans="1:229" s="3" customFormat="1" ht="15" customHeight="1" x14ac:dyDescent="0.25">
      <c r="A54" s="2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</row>
    <row r="55" spans="1:229" s="3" customFormat="1" ht="15" customHeight="1" x14ac:dyDescent="0.25">
      <c r="A55" s="2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</row>
    <row r="56" spans="1:229" s="3" customFormat="1" ht="15" customHeight="1" x14ac:dyDescent="0.25">
      <c r="A56" s="2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</row>
    <row r="57" spans="1:229" s="3" customFormat="1" ht="15" customHeight="1" x14ac:dyDescent="0.25">
      <c r="A57" s="2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</row>
    <row r="58" spans="1:229" s="3" customFormat="1" ht="15" customHeight="1" x14ac:dyDescent="0.25">
      <c r="A58" s="2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</row>
    <row r="59" spans="1:229" s="3" customFormat="1" ht="15" customHeight="1" x14ac:dyDescent="0.25">
      <c r="A59" s="2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</row>
    <row r="60" spans="1:229" s="3" customFormat="1" ht="15" customHeight="1" x14ac:dyDescent="0.25">
      <c r="A60" s="2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</row>
    <row r="61" spans="1:229" s="3" customFormat="1" ht="15" customHeight="1" x14ac:dyDescent="0.25">
      <c r="A61" s="2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</row>
    <row r="62" spans="1:229" s="3" customFormat="1" ht="15" customHeight="1" x14ac:dyDescent="0.25">
      <c r="A62" s="2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</row>
    <row r="63" spans="1:229" s="3" customFormat="1" ht="15" customHeight="1" x14ac:dyDescent="0.25">
      <c r="A63" s="2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</row>
    <row r="64" spans="1:229" s="3" customFormat="1" ht="15" customHeight="1" x14ac:dyDescent="0.25">
      <c r="A64" s="2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</row>
    <row r="65" spans="1:229" s="3" customFormat="1" ht="15" customHeight="1" x14ac:dyDescent="0.25">
      <c r="A65" s="2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</row>
    <row r="66" spans="1:229" s="3" customFormat="1" ht="15" customHeight="1" x14ac:dyDescent="0.25">
      <c r="A66" s="2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</row>
    <row r="67" spans="1:229" s="3" customFormat="1" ht="15" customHeight="1" x14ac:dyDescent="0.25">
      <c r="A67" s="2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</row>
    <row r="68" spans="1:229" s="3" customFormat="1" ht="15" customHeight="1" x14ac:dyDescent="0.25">
      <c r="A68" s="2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</row>
    <row r="69" spans="1:229" s="3" customFormat="1" ht="15" customHeight="1" x14ac:dyDescent="0.25">
      <c r="A69" s="2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</row>
    <row r="70" spans="1:229" s="3" customFormat="1" ht="15" customHeight="1" x14ac:dyDescent="0.25">
      <c r="A70" s="2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</row>
    <row r="71" spans="1:229" s="3" customFormat="1" ht="15" customHeight="1" x14ac:dyDescent="0.25">
      <c r="A71" s="2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</row>
    <row r="72" spans="1:229" ht="1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</row>
    <row r="73" spans="1:229" ht="15" customHeight="1" x14ac:dyDescent="0.25">
      <c r="B73" s="4"/>
      <c r="C73" s="4"/>
      <c r="D73" s="4"/>
      <c r="E73" s="4"/>
      <c r="F73" s="4"/>
      <c r="G73" s="4"/>
      <c r="H73" s="4"/>
      <c r="I73" s="4"/>
    </row>
    <row r="74" spans="1:229" ht="15" customHeight="1" x14ac:dyDescent="0.25">
      <c r="B74" s="4"/>
      <c r="C74" s="4"/>
      <c r="D74" s="4"/>
      <c r="E74" s="4"/>
      <c r="F74" s="4"/>
      <c r="G74" s="4"/>
      <c r="H74" s="4"/>
      <c r="I74" s="4"/>
    </row>
    <row r="75" spans="1:229" ht="15" customHeight="1" x14ac:dyDescent="0.25">
      <c r="B75" s="4"/>
      <c r="C75" s="4"/>
      <c r="D75" s="4"/>
      <c r="E75" s="4"/>
      <c r="F75" s="4"/>
      <c r="G75" s="4"/>
      <c r="H75" s="4"/>
      <c r="I75" s="4"/>
    </row>
    <row r="76" spans="1:229" ht="15" customHeight="1" x14ac:dyDescent="0.25">
      <c r="B76" s="4"/>
      <c r="C76" s="4"/>
      <c r="D76" s="4"/>
      <c r="E76" s="4"/>
      <c r="F76" s="4"/>
      <c r="G76" s="4"/>
      <c r="H76" s="4"/>
      <c r="I76" s="4"/>
    </row>
    <row r="77" spans="1:229" ht="15" customHeight="1" x14ac:dyDescent="0.25">
      <c r="B77" s="4"/>
      <c r="C77" s="4"/>
      <c r="D77" s="4"/>
      <c r="E77" s="4"/>
      <c r="F77" s="4"/>
      <c r="G77" s="4"/>
      <c r="H77" s="4"/>
      <c r="I77" s="4"/>
    </row>
    <row r="78" spans="1:229" ht="15" customHeight="1" x14ac:dyDescent="0.25">
      <c r="B78" s="4"/>
      <c r="C78" s="4"/>
      <c r="D78" s="4"/>
      <c r="E78" s="4"/>
      <c r="F78" s="4"/>
      <c r="G78" s="4"/>
      <c r="H78" s="4"/>
      <c r="I78" s="4"/>
    </row>
    <row r="79" spans="1:229" ht="15" customHeight="1" x14ac:dyDescent="0.25">
      <c r="B79" s="4"/>
      <c r="C79" s="4"/>
      <c r="D79" s="4"/>
      <c r="E79" s="4"/>
      <c r="F79" s="4"/>
      <c r="G79" s="4"/>
      <c r="H79" s="4"/>
      <c r="I79" s="4"/>
    </row>
    <row r="80" spans="1:229" ht="15" customHeight="1" x14ac:dyDescent="0.25">
      <c r="B80" s="4"/>
      <c r="C80" s="4"/>
      <c r="D80" s="4"/>
      <c r="E80" s="4"/>
      <c r="F80" s="4"/>
      <c r="G80" s="4"/>
      <c r="H80" s="4"/>
      <c r="I80" s="4"/>
    </row>
    <row r="81" spans="2:9" ht="15" customHeight="1" x14ac:dyDescent="0.25">
      <c r="B81" s="4"/>
      <c r="C81" s="4"/>
      <c r="D81" s="4"/>
      <c r="E81" s="4"/>
      <c r="F81" s="4"/>
      <c r="G81" s="4"/>
      <c r="H81" s="4"/>
      <c r="I81" s="4"/>
    </row>
    <row r="82" spans="2:9" ht="15" customHeight="1" x14ac:dyDescent="0.25">
      <c r="B82" s="4"/>
      <c r="C82" s="4"/>
      <c r="D82" s="4"/>
      <c r="E82" s="4"/>
      <c r="F82" s="4"/>
      <c r="G82" s="4"/>
      <c r="H82" s="4"/>
      <c r="I82" s="4"/>
    </row>
    <row r="83" spans="2:9" ht="15" customHeight="1" x14ac:dyDescent="0.25">
      <c r="B83" s="4"/>
      <c r="C83" s="4"/>
      <c r="D83" s="4"/>
      <c r="E83" s="4"/>
      <c r="F83" s="4"/>
      <c r="G83" s="4"/>
      <c r="H83" s="4"/>
      <c r="I83" s="4"/>
    </row>
    <row r="84" spans="2:9" ht="15" customHeight="1" x14ac:dyDescent="0.25">
      <c r="B84" s="4"/>
      <c r="C84" s="4"/>
      <c r="D84" s="4"/>
      <c r="E84" s="4"/>
      <c r="F84" s="4"/>
      <c r="G84" s="4"/>
      <c r="H84" s="4"/>
      <c r="I84" s="4"/>
    </row>
    <row r="85" spans="2:9" ht="15" customHeight="1" x14ac:dyDescent="0.25">
      <c r="B85" s="4"/>
      <c r="C85" s="4"/>
      <c r="D85" s="4"/>
      <c r="E85" s="4"/>
      <c r="F85" s="4"/>
      <c r="G85" s="4"/>
      <c r="H85" s="4"/>
      <c r="I85" s="4"/>
    </row>
    <row r="86" spans="2:9" ht="15" customHeight="1" x14ac:dyDescent="0.25">
      <c r="B86" s="4"/>
      <c r="C86" s="4"/>
      <c r="D86" s="4"/>
      <c r="E86" s="4"/>
      <c r="F86" s="4"/>
      <c r="G86" s="4"/>
      <c r="H86" s="4"/>
      <c r="I86" s="4"/>
    </row>
    <row r="87" spans="2:9" ht="15" customHeight="1" x14ac:dyDescent="0.25">
      <c r="B87" s="4"/>
      <c r="C87" s="4"/>
      <c r="D87" s="4"/>
      <c r="E87" s="4"/>
      <c r="F87" s="4"/>
      <c r="G87" s="4"/>
      <c r="H87" s="4"/>
      <c r="I87" s="4"/>
    </row>
    <row r="88" spans="2:9" ht="15" customHeight="1" x14ac:dyDescent="0.25">
      <c r="B88" s="4"/>
      <c r="C88" s="4"/>
      <c r="D88" s="4"/>
      <c r="E88" s="4"/>
      <c r="F88" s="4"/>
      <c r="G88" s="4"/>
      <c r="H88" s="4"/>
      <c r="I88" s="4"/>
    </row>
    <row r="89" spans="2:9" ht="15" customHeight="1" x14ac:dyDescent="0.25">
      <c r="B89" s="4"/>
      <c r="C89" s="4"/>
      <c r="D89" s="4"/>
      <c r="E89" s="4"/>
      <c r="F89" s="4"/>
      <c r="G89" s="4"/>
      <c r="H89" s="4"/>
      <c r="I89" s="4"/>
    </row>
    <row r="90" spans="2:9" ht="15" customHeight="1" x14ac:dyDescent="0.25">
      <c r="B90" s="4"/>
      <c r="C90" s="4"/>
      <c r="D90" s="4"/>
      <c r="E90" s="4"/>
      <c r="F90" s="4"/>
      <c r="G90" s="4"/>
      <c r="H90" s="4"/>
      <c r="I90" s="4"/>
    </row>
    <row r="91" spans="2:9" ht="15" customHeight="1" x14ac:dyDescent="0.25">
      <c r="B91" s="4"/>
      <c r="C91" s="4"/>
      <c r="D91" s="4"/>
      <c r="E91" s="4"/>
      <c r="F91" s="4"/>
      <c r="G91" s="4"/>
      <c r="H91" s="4"/>
      <c r="I91" s="4"/>
    </row>
    <row r="92" spans="2:9" ht="15" customHeight="1" x14ac:dyDescent="0.25">
      <c r="B92" s="4"/>
      <c r="C92" s="4"/>
      <c r="D92" s="4"/>
      <c r="E92" s="4"/>
      <c r="F92" s="4"/>
      <c r="G92" s="4"/>
      <c r="H92" s="4"/>
      <c r="I92" s="4"/>
    </row>
    <row r="93" spans="2:9" ht="15" customHeight="1" x14ac:dyDescent="0.25">
      <c r="B93" s="4"/>
      <c r="C93" s="4"/>
      <c r="D93" s="4"/>
      <c r="E93" s="4"/>
      <c r="F93" s="4"/>
      <c r="G93" s="4"/>
      <c r="H93" s="4"/>
      <c r="I93" s="4"/>
    </row>
    <row r="94" spans="2:9" ht="15" customHeight="1" x14ac:dyDescent="0.25">
      <c r="B94" s="4"/>
      <c r="C94" s="4"/>
      <c r="D94" s="4"/>
      <c r="E94" s="4"/>
      <c r="F94" s="4"/>
      <c r="G94" s="4"/>
      <c r="H94" s="4"/>
      <c r="I94" s="4"/>
    </row>
    <row r="95" spans="2:9" ht="51.75" customHeight="1" x14ac:dyDescent="0.25">
      <c r="B95" s="4"/>
      <c r="C95" s="4"/>
      <c r="D95" s="4"/>
      <c r="E95" s="4"/>
      <c r="F95" s="4"/>
      <c r="G95" s="4"/>
      <c r="H95" s="4"/>
      <c r="I95" s="4"/>
    </row>
    <row r="96" spans="2:9" ht="51.75" customHeight="1" x14ac:dyDescent="0.25">
      <c r="B96" s="4"/>
      <c r="C96" s="4"/>
      <c r="D96" s="4"/>
      <c r="E96" s="4"/>
      <c r="F96" s="4"/>
      <c r="G96" s="4"/>
      <c r="H96" s="4"/>
      <c r="I96" s="4"/>
    </row>
    <row r="97" spans="2:9" ht="51.75" customHeight="1" x14ac:dyDescent="0.25">
      <c r="B97" s="4"/>
      <c r="C97" s="4"/>
      <c r="D97" s="4"/>
      <c r="E97" s="4"/>
      <c r="F97" s="4"/>
      <c r="G97" s="4"/>
      <c r="H97" s="4"/>
      <c r="I97" s="4"/>
    </row>
    <row r="98" spans="2:9" ht="51.75" customHeight="1" x14ac:dyDescent="0.25">
      <c r="B98" s="4"/>
      <c r="C98" s="4"/>
      <c r="D98" s="4"/>
      <c r="E98" s="4"/>
      <c r="F98" s="4"/>
      <c r="G98" s="4"/>
      <c r="H98" s="4"/>
      <c r="I98" s="4"/>
    </row>
    <row r="99" spans="2:9" ht="51.75" customHeight="1" x14ac:dyDescent="0.25">
      <c r="B99" s="4"/>
      <c r="C99" s="4"/>
      <c r="D99" s="4"/>
      <c r="E99" s="4"/>
      <c r="F99" s="4"/>
      <c r="G99" s="4"/>
      <c r="H99" s="4"/>
      <c r="I99" s="4"/>
    </row>
    <row r="100" spans="2:9" ht="51.75" customHeight="1" x14ac:dyDescent="0.25">
      <c r="B100" s="4"/>
      <c r="C100" s="4"/>
      <c r="D100" s="4"/>
      <c r="E100" s="4"/>
      <c r="F100" s="4"/>
      <c r="G100" s="4"/>
      <c r="H100" s="4"/>
      <c r="I100" s="4"/>
    </row>
    <row r="101" spans="2:9" ht="51.75" customHeight="1" x14ac:dyDescent="0.25">
      <c r="B101" s="4"/>
      <c r="C101" s="4"/>
      <c r="D101" s="4"/>
      <c r="E101" s="4"/>
      <c r="F101" s="4"/>
      <c r="G101" s="4"/>
      <c r="H101" s="4"/>
      <c r="I101" s="4"/>
    </row>
    <row r="102" spans="2:9" ht="51.75" customHeight="1" x14ac:dyDescent="0.25">
      <c r="B102" s="4"/>
      <c r="C102" s="4"/>
      <c r="D102" s="4"/>
      <c r="E102" s="4"/>
      <c r="F102" s="4"/>
      <c r="G102" s="4"/>
      <c r="H102" s="4"/>
      <c r="I102" s="4"/>
    </row>
    <row r="103" spans="2:9" ht="51.75" customHeight="1" x14ac:dyDescent="0.25">
      <c r="B103" s="4"/>
      <c r="C103" s="4"/>
      <c r="D103" s="4"/>
      <c r="E103" s="4"/>
      <c r="F103" s="4"/>
      <c r="G103" s="4"/>
      <c r="H103" s="4"/>
      <c r="I103" s="4"/>
    </row>
    <row r="104" spans="2:9" ht="51.75" customHeight="1" x14ac:dyDescent="0.25">
      <c r="B104" s="4"/>
      <c r="C104" s="4"/>
      <c r="D104" s="4"/>
      <c r="E104" s="4"/>
      <c r="F104" s="4"/>
      <c r="G104" s="4"/>
      <c r="H104" s="4"/>
      <c r="I104" s="4"/>
    </row>
    <row r="105" spans="2:9" ht="51.75" customHeight="1" x14ac:dyDescent="0.25">
      <c r="B105" s="4"/>
      <c r="C105" s="4"/>
      <c r="D105" s="4"/>
      <c r="E105" s="4"/>
      <c r="F105" s="4"/>
      <c r="G105" s="4"/>
      <c r="H105" s="4"/>
      <c r="I105" s="4"/>
    </row>
    <row r="106" spans="2:9" ht="51.75" customHeight="1" x14ac:dyDescent="0.25">
      <c r="B106" s="4"/>
      <c r="C106" s="4"/>
      <c r="D106" s="4"/>
      <c r="E106" s="4"/>
      <c r="F106" s="4"/>
      <c r="G106" s="4"/>
      <c r="H106" s="4"/>
      <c r="I106" s="4"/>
    </row>
    <row r="107" spans="2:9" ht="51.75" customHeight="1" x14ac:dyDescent="0.25">
      <c r="B107" s="4"/>
      <c r="C107" s="4"/>
      <c r="D107" s="4"/>
      <c r="E107" s="4"/>
      <c r="F107" s="4"/>
      <c r="G107" s="4"/>
      <c r="H107" s="4"/>
      <c r="I107" s="4"/>
    </row>
    <row r="108" spans="2:9" ht="51.75" customHeight="1" x14ac:dyDescent="0.25">
      <c r="B108" s="4"/>
      <c r="C108" s="4"/>
      <c r="D108" s="4"/>
      <c r="E108" s="4"/>
      <c r="F108" s="4"/>
      <c r="G108" s="4"/>
      <c r="H108" s="4"/>
      <c r="I108" s="4"/>
    </row>
    <row r="109" spans="2:9" ht="51.75" customHeight="1" x14ac:dyDescent="0.25">
      <c r="B109" s="4"/>
      <c r="C109" s="4"/>
      <c r="D109" s="4"/>
      <c r="E109" s="4"/>
      <c r="F109" s="4"/>
      <c r="G109" s="4"/>
      <c r="H109" s="4"/>
      <c r="I109" s="4"/>
    </row>
    <row r="110" spans="2:9" ht="51.75" customHeight="1" x14ac:dyDescent="0.25">
      <c r="B110" s="4"/>
      <c r="C110" s="4"/>
      <c r="D110" s="4"/>
      <c r="E110" s="4"/>
      <c r="F110" s="4"/>
      <c r="G110" s="4"/>
      <c r="H110" s="4"/>
      <c r="I110" s="4"/>
    </row>
    <row r="111" spans="2:9" ht="51.75" customHeight="1" x14ac:dyDescent="0.25">
      <c r="B111" s="4"/>
      <c r="C111" s="4"/>
      <c r="D111" s="4"/>
      <c r="E111" s="4"/>
      <c r="F111" s="4"/>
      <c r="G111" s="4"/>
      <c r="H111" s="4"/>
      <c r="I111" s="4"/>
    </row>
    <row r="112" spans="2:9" ht="51.75" customHeight="1" x14ac:dyDescent="0.25">
      <c r="B112" s="4"/>
      <c r="C112" s="4"/>
      <c r="D112" s="4"/>
      <c r="E112" s="4"/>
      <c r="F112" s="4"/>
      <c r="G112" s="4"/>
      <c r="H112" s="4"/>
      <c r="I112" s="4"/>
    </row>
    <row r="113" spans="2:9" ht="51.75" customHeight="1" x14ac:dyDescent="0.25">
      <c r="B113" s="4"/>
      <c r="C113" s="4"/>
      <c r="D113" s="4"/>
      <c r="E113" s="4"/>
      <c r="F113" s="4"/>
      <c r="G113" s="4"/>
      <c r="H113" s="4"/>
      <c r="I113" s="4"/>
    </row>
    <row r="114" spans="2:9" ht="51.75" customHeight="1" x14ac:dyDescent="0.25">
      <c r="B114" s="4"/>
      <c r="C114" s="4"/>
      <c r="D114" s="4"/>
      <c r="E114" s="4"/>
      <c r="F114" s="4"/>
      <c r="G114" s="4"/>
      <c r="H114" s="4"/>
      <c r="I114" s="4"/>
    </row>
    <row r="115" spans="2:9" ht="51.75" customHeight="1" x14ac:dyDescent="0.25">
      <c r="B115" s="4"/>
      <c r="C115" s="4"/>
      <c r="D115" s="4"/>
      <c r="E115" s="4"/>
      <c r="F115" s="4"/>
      <c r="G115" s="4"/>
      <c r="H115" s="4"/>
      <c r="I115" s="4"/>
    </row>
    <row r="116" spans="2:9" ht="51.75" customHeight="1" x14ac:dyDescent="0.25">
      <c r="B116" s="4"/>
      <c r="C116" s="4"/>
      <c r="D116" s="4"/>
      <c r="E116" s="4"/>
      <c r="F116" s="4"/>
      <c r="G116" s="4"/>
      <c r="H116" s="4"/>
      <c r="I116" s="4"/>
    </row>
    <row r="117" spans="2:9" ht="51.75" customHeight="1" x14ac:dyDescent="0.25">
      <c r="B117" s="4"/>
      <c r="C117" s="4"/>
      <c r="D117" s="4"/>
      <c r="E117" s="4"/>
      <c r="F117" s="4"/>
      <c r="G117" s="4"/>
      <c r="H117" s="4"/>
      <c r="I117" s="4"/>
    </row>
    <row r="118" spans="2:9" ht="51.75" customHeight="1" x14ac:dyDescent="0.25">
      <c r="B118" s="4"/>
      <c r="C118" s="4"/>
      <c r="D118" s="4"/>
      <c r="E118" s="4"/>
      <c r="F118" s="4"/>
      <c r="G118" s="4"/>
      <c r="H118" s="4"/>
      <c r="I118" s="4"/>
    </row>
    <row r="119" spans="2:9" ht="51.75" customHeight="1" x14ac:dyDescent="0.25">
      <c r="B119" s="4"/>
      <c r="C119" s="4"/>
      <c r="D119" s="4"/>
      <c r="E119" s="4"/>
      <c r="F119" s="4"/>
      <c r="G119" s="4"/>
      <c r="H119" s="4"/>
      <c r="I119" s="4"/>
    </row>
    <row r="120" spans="2:9" ht="51.75" customHeight="1" x14ac:dyDescent="0.25">
      <c r="B120" s="4"/>
      <c r="C120" s="4"/>
      <c r="D120" s="4"/>
      <c r="E120" s="4"/>
      <c r="F120" s="4"/>
      <c r="G120" s="4"/>
      <c r="H120" s="4"/>
      <c r="I120" s="4"/>
    </row>
    <row r="121" spans="2:9" ht="51.75" customHeight="1" x14ac:dyDescent="0.25">
      <c r="B121" s="4"/>
      <c r="C121" s="4"/>
      <c r="D121" s="4"/>
      <c r="E121" s="4"/>
      <c r="F121" s="4"/>
      <c r="G121" s="4"/>
      <c r="H121" s="4"/>
      <c r="I121" s="4"/>
    </row>
    <row r="122" spans="2:9" ht="51.75" customHeight="1" x14ac:dyDescent="0.25">
      <c r="B122" s="4"/>
      <c r="C122" s="4"/>
      <c r="D122" s="4"/>
      <c r="E122" s="4"/>
      <c r="F122" s="4"/>
      <c r="G122" s="4"/>
      <c r="H122" s="4"/>
      <c r="I122" s="4"/>
    </row>
    <row r="123" spans="2:9" ht="51.75" customHeight="1" x14ac:dyDescent="0.25">
      <c r="B123" s="4"/>
      <c r="C123" s="4"/>
      <c r="D123" s="4"/>
      <c r="E123" s="4"/>
      <c r="F123" s="4"/>
      <c r="G123" s="4"/>
      <c r="H123" s="4"/>
      <c r="I123" s="4"/>
    </row>
    <row r="124" spans="2:9" ht="51.75" customHeight="1" x14ac:dyDescent="0.25">
      <c r="B124" s="4"/>
      <c r="C124" s="4"/>
      <c r="D124" s="4"/>
      <c r="E124" s="4"/>
      <c r="F124" s="4"/>
      <c r="G124" s="4"/>
      <c r="H124" s="4"/>
      <c r="I124" s="4"/>
    </row>
    <row r="125" spans="2:9" ht="51.75" customHeight="1" x14ac:dyDescent="0.25">
      <c r="B125" s="4"/>
      <c r="C125" s="4"/>
      <c r="D125" s="4"/>
      <c r="E125" s="4"/>
      <c r="F125" s="4"/>
      <c r="G125" s="4"/>
      <c r="H125" s="4"/>
      <c r="I125" s="4"/>
    </row>
    <row r="126" spans="2:9" ht="51.75" customHeight="1" x14ac:dyDescent="0.25">
      <c r="B126" s="4"/>
      <c r="C126" s="4"/>
      <c r="D126" s="4"/>
      <c r="E126" s="4"/>
      <c r="F126" s="4"/>
      <c r="G126" s="4"/>
      <c r="H126" s="4"/>
      <c r="I126" s="4"/>
    </row>
    <row r="127" spans="2:9" ht="51.75" customHeight="1" x14ac:dyDescent="0.25">
      <c r="B127" s="4"/>
      <c r="C127" s="4"/>
      <c r="D127" s="4"/>
      <c r="E127" s="4"/>
      <c r="F127" s="4"/>
      <c r="G127" s="4"/>
      <c r="H127" s="4"/>
      <c r="I127" s="4"/>
    </row>
    <row r="128" spans="2:9" ht="51.75" customHeight="1" x14ac:dyDescent="0.25">
      <c r="B128" s="4"/>
      <c r="C128" s="4"/>
      <c r="D128" s="4"/>
      <c r="E128" s="4"/>
      <c r="F128" s="4"/>
      <c r="G128" s="4"/>
      <c r="H128" s="4"/>
      <c r="I128" s="4"/>
    </row>
    <row r="129" spans="2:9" ht="51.75" customHeight="1" x14ac:dyDescent="0.25">
      <c r="B129" s="4"/>
      <c r="C129" s="4"/>
      <c r="D129" s="4"/>
      <c r="E129" s="4"/>
      <c r="F129" s="4"/>
      <c r="G129" s="4"/>
      <c r="H129" s="4"/>
      <c r="I129" s="4"/>
    </row>
    <row r="130" spans="2:9" ht="51.75" customHeight="1" x14ac:dyDescent="0.25">
      <c r="B130" s="4"/>
      <c r="C130" s="4"/>
      <c r="D130" s="4"/>
      <c r="E130" s="4"/>
      <c r="F130" s="4"/>
      <c r="G130" s="4"/>
      <c r="H130" s="4"/>
      <c r="I130" s="4"/>
    </row>
    <row r="131" spans="2:9" ht="51.75" customHeight="1" x14ac:dyDescent="0.25">
      <c r="B131" s="4"/>
      <c r="C131" s="4"/>
      <c r="D131" s="4"/>
      <c r="E131" s="4"/>
      <c r="F131" s="4"/>
      <c r="G131" s="4"/>
      <c r="H131" s="4"/>
      <c r="I131" s="4"/>
    </row>
    <row r="132" spans="2:9" ht="51.75" customHeight="1" x14ac:dyDescent="0.25">
      <c r="B132" s="4"/>
      <c r="C132" s="4"/>
      <c r="D132" s="4"/>
      <c r="E132" s="4"/>
      <c r="F132" s="4"/>
      <c r="G132" s="4"/>
      <c r="H132" s="4"/>
      <c r="I132" s="4"/>
    </row>
    <row r="133" spans="2:9" ht="51.75" customHeight="1" x14ac:dyDescent="0.25">
      <c r="B133" s="4"/>
      <c r="C133" s="4"/>
      <c r="D133" s="4"/>
      <c r="E133" s="4"/>
      <c r="F133" s="4"/>
      <c r="G133" s="4"/>
      <c r="H133" s="4"/>
      <c r="I133" s="4"/>
    </row>
    <row r="134" spans="2:9" ht="51.75" customHeight="1" x14ac:dyDescent="0.25">
      <c r="B134" s="4"/>
      <c r="C134" s="4"/>
      <c r="D134" s="4"/>
      <c r="E134" s="4"/>
      <c r="F134" s="4"/>
      <c r="G134" s="4"/>
      <c r="H134" s="4"/>
      <c r="I134" s="4"/>
    </row>
    <row r="135" spans="2:9" ht="51.75" customHeight="1" x14ac:dyDescent="0.25">
      <c r="B135" s="4"/>
      <c r="C135" s="4"/>
      <c r="D135" s="4"/>
      <c r="E135" s="4"/>
      <c r="F135" s="4"/>
      <c r="G135" s="4"/>
      <c r="H135" s="4"/>
      <c r="I135" s="4"/>
    </row>
    <row r="136" spans="2:9" ht="51.75" customHeight="1" x14ac:dyDescent="0.25">
      <c r="B136" s="4"/>
      <c r="C136" s="4"/>
      <c r="D136" s="4"/>
      <c r="E136" s="4"/>
      <c r="F136" s="4"/>
      <c r="G136" s="4"/>
      <c r="H136" s="4"/>
      <c r="I136" s="4"/>
    </row>
    <row r="137" spans="2:9" ht="51.75" customHeight="1" x14ac:dyDescent="0.25">
      <c r="B137" s="4"/>
      <c r="C137" s="4"/>
      <c r="D137" s="4"/>
      <c r="E137" s="4"/>
      <c r="F137" s="4"/>
      <c r="G137" s="4"/>
      <c r="H137" s="4"/>
      <c r="I137" s="4"/>
    </row>
    <row r="138" spans="2:9" ht="51.75" customHeight="1" x14ac:dyDescent="0.25">
      <c r="B138" s="4"/>
      <c r="C138" s="4"/>
      <c r="D138" s="4"/>
      <c r="E138" s="4"/>
      <c r="F138" s="4"/>
      <c r="G138" s="4"/>
      <c r="H138" s="4"/>
      <c r="I138" s="4"/>
    </row>
    <row r="139" spans="2:9" ht="51.75" customHeight="1" x14ac:dyDescent="0.25">
      <c r="B139" s="4"/>
      <c r="C139" s="4"/>
      <c r="D139" s="4"/>
      <c r="E139" s="4"/>
      <c r="F139" s="4"/>
      <c r="G139" s="4"/>
      <c r="H139" s="4"/>
      <c r="I139" s="4"/>
    </row>
    <row r="140" spans="2:9" ht="51.75" customHeight="1" x14ac:dyDescent="0.25">
      <c r="B140" s="4"/>
      <c r="C140" s="4"/>
      <c r="D140" s="4"/>
      <c r="E140" s="4"/>
      <c r="F140" s="4"/>
      <c r="G140" s="4"/>
      <c r="H140" s="4"/>
      <c r="I140" s="4"/>
    </row>
    <row r="141" spans="2:9" ht="51.75" customHeight="1" x14ac:dyDescent="0.25">
      <c r="B141" s="4"/>
      <c r="C141" s="4"/>
      <c r="D141" s="4"/>
      <c r="E141" s="4"/>
      <c r="F141" s="4"/>
      <c r="G141" s="4"/>
      <c r="H141" s="4"/>
      <c r="I141" s="4"/>
    </row>
    <row r="142" spans="2:9" ht="51.75" customHeight="1" x14ac:dyDescent="0.25">
      <c r="B142" s="4"/>
      <c r="C142" s="4"/>
      <c r="D142" s="4"/>
      <c r="E142" s="4"/>
      <c r="F142" s="4"/>
      <c r="G142" s="4"/>
      <c r="H142" s="4"/>
      <c r="I142" s="4"/>
    </row>
    <row r="143" spans="2:9" ht="51.75" customHeight="1" x14ac:dyDescent="0.25">
      <c r="B143" s="4"/>
      <c r="C143" s="4"/>
      <c r="D143" s="4"/>
      <c r="E143" s="4"/>
      <c r="F143" s="4"/>
      <c r="G143" s="4"/>
      <c r="H143" s="4"/>
      <c r="I143" s="4"/>
    </row>
    <row r="144" spans="2:9" ht="51.75" customHeight="1" x14ac:dyDescent="0.25">
      <c r="B144" s="4"/>
      <c r="C144" s="4"/>
      <c r="D144" s="4"/>
      <c r="E144" s="4"/>
      <c r="F144" s="4"/>
      <c r="G144" s="4"/>
      <c r="H144" s="4"/>
      <c r="I144" s="4"/>
    </row>
    <row r="145" spans="2:9" ht="51.75" customHeight="1" x14ac:dyDescent="0.25">
      <c r="B145" s="4"/>
      <c r="C145" s="4"/>
      <c r="D145" s="4"/>
      <c r="E145" s="4"/>
      <c r="F145" s="4"/>
      <c r="G145" s="4"/>
      <c r="H145" s="4"/>
      <c r="I145" s="4"/>
    </row>
    <row r="146" spans="2:9" ht="51.75" customHeight="1" x14ac:dyDescent="0.25">
      <c r="B146" s="4"/>
      <c r="C146" s="4"/>
      <c r="D146" s="4"/>
      <c r="E146" s="4"/>
      <c r="F146" s="4"/>
      <c r="G146" s="4"/>
      <c r="H146" s="4"/>
      <c r="I146" s="4"/>
    </row>
    <row r="147" spans="2:9" ht="51.75" customHeight="1" x14ac:dyDescent="0.25">
      <c r="B147" s="4"/>
      <c r="C147" s="4"/>
      <c r="D147" s="4"/>
      <c r="E147" s="4"/>
      <c r="F147" s="4"/>
      <c r="G147" s="4"/>
      <c r="H147" s="4"/>
      <c r="I147" s="4"/>
    </row>
    <row r="148" spans="2:9" ht="51.75" customHeight="1" x14ac:dyDescent="0.25">
      <c r="B148" s="4"/>
      <c r="C148" s="4"/>
      <c r="D148" s="4"/>
      <c r="E148" s="4"/>
      <c r="F148" s="4"/>
      <c r="G148" s="4"/>
      <c r="H148" s="4"/>
      <c r="I148" s="4"/>
    </row>
    <row r="149" spans="2:9" ht="51.75" customHeight="1" x14ac:dyDescent="0.25">
      <c r="B149" s="4"/>
      <c r="C149" s="4"/>
      <c r="D149" s="4"/>
      <c r="E149" s="4"/>
      <c r="F149" s="4"/>
      <c r="G149" s="4"/>
      <c r="H149" s="4"/>
      <c r="I149" s="4"/>
    </row>
    <row r="150" spans="2:9" ht="51.75" customHeight="1" x14ac:dyDescent="0.25">
      <c r="B150" s="4"/>
      <c r="C150" s="4"/>
      <c r="D150" s="4"/>
      <c r="E150" s="4"/>
      <c r="F150" s="4"/>
      <c r="G150" s="4"/>
      <c r="H150" s="4"/>
      <c r="I150" s="4"/>
    </row>
    <row r="151" spans="2:9" ht="51.75" customHeight="1" x14ac:dyDescent="0.25">
      <c r="B151" s="4"/>
      <c r="C151" s="4"/>
      <c r="D151" s="4"/>
      <c r="E151" s="4"/>
      <c r="F151" s="4"/>
      <c r="G151" s="4"/>
      <c r="H151" s="4"/>
      <c r="I151" s="4"/>
    </row>
    <row r="152" spans="2:9" ht="51.75" customHeight="1" x14ac:dyDescent="0.25">
      <c r="B152" s="4"/>
      <c r="C152" s="4"/>
      <c r="D152" s="4"/>
      <c r="E152" s="4"/>
      <c r="F152" s="4"/>
      <c r="G152" s="4"/>
      <c r="H152" s="4"/>
      <c r="I152" s="4"/>
    </row>
    <row r="153" spans="2:9" ht="51.75" customHeight="1" x14ac:dyDescent="0.25">
      <c r="B153" s="4"/>
      <c r="C153" s="4"/>
      <c r="D153" s="4"/>
      <c r="E153" s="4"/>
      <c r="F153" s="4"/>
      <c r="G153" s="4"/>
      <c r="H153" s="4"/>
      <c r="I153" s="4"/>
    </row>
    <row r="154" spans="2:9" ht="51.75" customHeight="1" x14ac:dyDescent="0.25">
      <c r="B154" s="4"/>
      <c r="C154" s="4"/>
      <c r="D154" s="4"/>
      <c r="E154" s="4"/>
      <c r="F154" s="4"/>
      <c r="G154" s="4"/>
      <c r="H154" s="4"/>
      <c r="I154" s="4"/>
    </row>
    <row r="155" spans="2:9" ht="51.75" customHeight="1" x14ac:dyDescent="0.25">
      <c r="B155" s="4"/>
      <c r="C155" s="4"/>
      <c r="D155" s="4"/>
      <c r="E155" s="4"/>
      <c r="F155" s="4"/>
      <c r="G155" s="4"/>
      <c r="H155" s="4"/>
      <c r="I155" s="4"/>
    </row>
    <row r="156" spans="2:9" ht="51.75" customHeight="1" x14ac:dyDescent="0.25">
      <c r="B156" s="4"/>
      <c r="C156" s="4"/>
      <c r="D156" s="4"/>
      <c r="E156" s="4"/>
      <c r="F156" s="4"/>
      <c r="G156" s="4"/>
      <c r="H156" s="4"/>
      <c r="I156" s="4"/>
    </row>
    <row r="157" spans="2:9" ht="51.75" customHeight="1" x14ac:dyDescent="0.25">
      <c r="B157" s="4"/>
      <c r="C157" s="4"/>
      <c r="D157" s="4"/>
      <c r="E157" s="4"/>
      <c r="F157" s="4"/>
      <c r="G157" s="4"/>
      <c r="H157" s="4"/>
      <c r="I157" s="4"/>
    </row>
    <row r="158" spans="2:9" ht="51.75" customHeight="1" x14ac:dyDescent="0.25">
      <c r="B158" s="4"/>
      <c r="C158" s="4"/>
      <c r="D158" s="4"/>
      <c r="E158" s="4"/>
      <c r="F158" s="4"/>
      <c r="G158" s="4"/>
      <c r="H158" s="4"/>
      <c r="I158" s="4"/>
    </row>
    <row r="159" spans="2:9" ht="51.75" customHeight="1" x14ac:dyDescent="0.25">
      <c r="B159" s="4"/>
      <c r="C159" s="4"/>
      <c r="D159" s="4"/>
      <c r="E159" s="4"/>
      <c r="F159" s="4"/>
      <c r="G159" s="4"/>
      <c r="H159" s="4"/>
      <c r="I159" s="4"/>
    </row>
    <row r="160" spans="2:9" ht="51.75" customHeight="1" x14ac:dyDescent="0.25">
      <c r="B160" s="4"/>
      <c r="C160" s="4"/>
      <c r="D160" s="4"/>
      <c r="E160" s="4"/>
      <c r="F160" s="4"/>
      <c r="G160" s="4"/>
      <c r="H160" s="4"/>
      <c r="I160" s="4"/>
    </row>
    <row r="161" spans="2:9" ht="51.75" customHeight="1" x14ac:dyDescent="0.25">
      <c r="B161" s="4"/>
      <c r="C161" s="4"/>
      <c r="D161" s="4"/>
      <c r="E161" s="4"/>
      <c r="F161" s="4"/>
      <c r="G161" s="4"/>
      <c r="H161" s="4"/>
      <c r="I161" s="4"/>
    </row>
    <row r="162" spans="2:9" ht="51.75" customHeight="1" x14ac:dyDescent="0.25">
      <c r="B162" s="4"/>
      <c r="C162" s="4"/>
      <c r="D162" s="4"/>
      <c r="E162" s="4"/>
      <c r="F162" s="4"/>
      <c r="G162" s="4"/>
      <c r="H162" s="4"/>
      <c r="I162" s="4"/>
    </row>
    <row r="163" spans="2:9" ht="51.75" customHeight="1" x14ac:dyDescent="0.25">
      <c r="B163" s="4"/>
      <c r="C163" s="4"/>
      <c r="D163" s="4"/>
      <c r="E163" s="4"/>
      <c r="F163" s="4"/>
      <c r="G163" s="4"/>
      <c r="H163" s="4"/>
      <c r="I163" s="4"/>
    </row>
    <row r="164" spans="2:9" ht="51.75" customHeight="1" x14ac:dyDescent="0.25">
      <c r="B164" s="4"/>
      <c r="C164" s="4"/>
      <c r="D164" s="4"/>
      <c r="E164" s="4"/>
      <c r="F164" s="4"/>
      <c r="G164" s="4"/>
      <c r="H164" s="4"/>
      <c r="I164" s="4"/>
    </row>
    <row r="165" spans="2:9" ht="51.75" customHeight="1" x14ac:dyDescent="0.25">
      <c r="B165" s="4"/>
      <c r="C165" s="4"/>
      <c r="D165" s="4"/>
      <c r="E165" s="4"/>
      <c r="F165" s="4"/>
      <c r="G165" s="4"/>
      <c r="H165" s="4"/>
      <c r="I165" s="4"/>
    </row>
    <row r="166" spans="2:9" ht="51.75" customHeight="1" x14ac:dyDescent="0.25">
      <c r="B166" s="4"/>
      <c r="C166" s="4"/>
      <c r="D166" s="4"/>
      <c r="E166" s="4"/>
      <c r="F166" s="4"/>
      <c r="G166" s="4"/>
      <c r="H166" s="4"/>
      <c r="I166" s="4"/>
    </row>
    <row r="167" spans="2:9" ht="51.75" customHeight="1" x14ac:dyDescent="0.25">
      <c r="B167" s="4"/>
      <c r="C167" s="4"/>
      <c r="D167" s="4"/>
      <c r="E167" s="4"/>
      <c r="F167" s="4"/>
      <c r="G167" s="4"/>
      <c r="H167" s="4"/>
      <c r="I167" s="4"/>
    </row>
    <row r="168" spans="2:9" ht="51.75" customHeight="1" x14ac:dyDescent="0.25">
      <c r="B168" s="4"/>
      <c r="C168" s="4"/>
      <c r="D168" s="4"/>
      <c r="E168" s="4"/>
      <c r="F168" s="4"/>
      <c r="G168" s="4"/>
      <c r="H168" s="4"/>
      <c r="I168" s="4"/>
    </row>
    <row r="169" spans="2:9" ht="51.75" customHeight="1" x14ac:dyDescent="0.25">
      <c r="B169" s="4"/>
      <c r="C169" s="4"/>
      <c r="D169" s="4"/>
      <c r="E169" s="4"/>
      <c r="F169" s="4"/>
      <c r="G169" s="4"/>
      <c r="H169" s="4"/>
      <c r="I169" s="4"/>
    </row>
    <row r="170" spans="2:9" ht="51.75" customHeight="1" x14ac:dyDescent="0.25">
      <c r="B170" s="4"/>
      <c r="C170" s="4"/>
      <c r="D170" s="4"/>
      <c r="E170" s="4"/>
      <c r="F170" s="4"/>
      <c r="G170" s="4"/>
      <c r="H170" s="4"/>
      <c r="I170" s="4"/>
    </row>
    <row r="171" spans="2:9" ht="51.75" customHeight="1" x14ac:dyDescent="0.25">
      <c r="B171" s="4"/>
      <c r="C171" s="4"/>
      <c r="D171" s="4"/>
      <c r="E171" s="4"/>
      <c r="F171" s="4"/>
      <c r="G171" s="4"/>
      <c r="H171" s="4"/>
      <c r="I171" s="4"/>
    </row>
    <row r="172" spans="2:9" ht="51.75" customHeight="1" x14ac:dyDescent="0.25">
      <c r="B172" s="4"/>
      <c r="C172" s="4"/>
      <c r="D172" s="4"/>
      <c r="E172" s="4"/>
      <c r="F172" s="4"/>
      <c r="G172" s="4"/>
      <c r="H172" s="4"/>
      <c r="I172" s="4"/>
    </row>
    <row r="173" spans="2:9" ht="51.75" customHeight="1" x14ac:dyDescent="0.25">
      <c r="B173" s="4"/>
      <c r="C173" s="4"/>
      <c r="D173" s="4"/>
      <c r="E173" s="4"/>
      <c r="F173" s="4"/>
      <c r="G173" s="4"/>
      <c r="H173" s="4"/>
      <c r="I173" s="4"/>
    </row>
    <row r="174" spans="2:9" ht="51.75" customHeight="1" x14ac:dyDescent="0.25">
      <c r="B174" s="4"/>
      <c r="C174" s="4"/>
      <c r="D174" s="4"/>
      <c r="E174" s="4"/>
      <c r="F174" s="4"/>
      <c r="G174" s="4"/>
      <c r="H174" s="4"/>
      <c r="I174" s="4"/>
    </row>
    <row r="175" spans="2:9" ht="51.75" customHeight="1" x14ac:dyDescent="0.25">
      <c r="B175" s="4"/>
      <c r="C175" s="4"/>
      <c r="D175" s="4"/>
      <c r="E175" s="4"/>
      <c r="F175" s="4"/>
      <c r="G175" s="4"/>
      <c r="H175" s="4"/>
      <c r="I175" s="4"/>
    </row>
    <row r="176" spans="2:9" ht="51.75" customHeight="1" x14ac:dyDescent="0.25">
      <c r="B176" s="4"/>
      <c r="C176" s="4"/>
      <c r="D176" s="4"/>
      <c r="E176" s="4"/>
      <c r="F176" s="4"/>
      <c r="G176" s="4"/>
      <c r="H176" s="4"/>
      <c r="I176" s="4"/>
    </row>
    <row r="177" spans="2:9" ht="51.75" customHeight="1" x14ac:dyDescent="0.25">
      <c r="B177" s="4"/>
      <c r="C177" s="4"/>
      <c r="D177" s="4"/>
      <c r="E177" s="4"/>
      <c r="F177" s="4"/>
      <c r="G177" s="4"/>
      <c r="H177" s="4"/>
      <c r="I177" s="4"/>
    </row>
    <row r="178" spans="2:9" ht="51.75" customHeight="1" x14ac:dyDescent="0.25">
      <c r="B178" s="4"/>
      <c r="C178" s="4"/>
      <c r="D178" s="4"/>
      <c r="E178" s="4"/>
      <c r="F178" s="4"/>
      <c r="G178" s="4"/>
      <c r="H178" s="4"/>
      <c r="I178" s="4"/>
    </row>
    <row r="179" spans="2:9" ht="51.75" customHeight="1" x14ac:dyDescent="0.25">
      <c r="B179" s="4"/>
      <c r="C179" s="4"/>
      <c r="D179" s="4"/>
      <c r="E179" s="4"/>
      <c r="F179" s="4"/>
      <c r="G179" s="4"/>
      <c r="H179" s="4"/>
      <c r="I179" s="4"/>
    </row>
    <row r="180" spans="2:9" ht="51.75" customHeight="1" x14ac:dyDescent="0.25">
      <c r="B180" s="4"/>
      <c r="C180" s="4"/>
      <c r="D180" s="4"/>
      <c r="E180" s="4"/>
      <c r="F180" s="4"/>
      <c r="G180" s="4"/>
      <c r="H180" s="4"/>
      <c r="I180" s="4"/>
    </row>
    <row r="181" spans="2:9" ht="51.75" customHeight="1" x14ac:dyDescent="0.25">
      <c r="B181" s="4"/>
      <c r="C181" s="4"/>
      <c r="D181" s="4"/>
      <c r="E181" s="4"/>
      <c r="F181" s="4"/>
      <c r="G181" s="4"/>
      <c r="H181" s="4"/>
      <c r="I181" s="4"/>
    </row>
    <row r="182" spans="2:9" ht="51.75" customHeight="1" x14ac:dyDescent="0.25">
      <c r="B182" s="4"/>
      <c r="C182" s="4"/>
      <c r="D182" s="4"/>
      <c r="E182" s="4"/>
      <c r="F182" s="4"/>
      <c r="G182" s="4"/>
      <c r="H182" s="4"/>
      <c r="I182" s="4"/>
    </row>
    <row r="183" spans="2:9" ht="51.75" customHeight="1" x14ac:dyDescent="0.25">
      <c r="B183" s="4"/>
      <c r="C183" s="4"/>
      <c r="D183" s="4"/>
      <c r="E183" s="4"/>
      <c r="F183" s="4"/>
      <c r="G183" s="4"/>
      <c r="H183" s="4"/>
      <c r="I183" s="4"/>
    </row>
    <row r="184" spans="2:9" ht="51.75" customHeight="1" x14ac:dyDescent="0.25">
      <c r="B184" s="4"/>
      <c r="C184" s="4"/>
      <c r="D184" s="4"/>
      <c r="E184" s="4"/>
      <c r="F184" s="4"/>
      <c r="G184" s="4"/>
      <c r="H184" s="4"/>
      <c r="I184" s="4"/>
    </row>
    <row r="185" spans="2:9" ht="51.75" customHeight="1" x14ac:dyDescent="0.25">
      <c r="B185" s="4"/>
      <c r="C185" s="4"/>
      <c r="D185" s="4"/>
      <c r="E185" s="4"/>
      <c r="F185" s="4"/>
      <c r="G185" s="4"/>
      <c r="H185" s="4"/>
      <c r="I185" s="4"/>
    </row>
    <row r="186" spans="2:9" ht="51.75" customHeight="1" x14ac:dyDescent="0.25">
      <c r="B186" s="4"/>
      <c r="C186" s="4"/>
      <c r="D186" s="4"/>
      <c r="E186" s="4"/>
      <c r="F186" s="4"/>
      <c r="G186" s="4"/>
      <c r="H186" s="4"/>
      <c r="I186" s="4"/>
    </row>
    <row r="187" spans="2:9" ht="51.75" customHeight="1" x14ac:dyDescent="0.25">
      <c r="B187" s="4"/>
      <c r="C187" s="4"/>
      <c r="D187" s="4"/>
      <c r="E187" s="4"/>
      <c r="F187" s="4"/>
      <c r="G187" s="4"/>
      <c r="H187" s="4"/>
      <c r="I187" s="4"/>
    </row>
    <row r="188" spans="2:9" ht="51.75" customHeight="1" x14ac:dyDescent="0.25">
      <c r="B188" s="4"/>
      <c r="C188" s="4"/>
      <c r="D188" s="4"/>
      <c r="E188" s="4"/>
      <c r="F188" s="4"/>
      <c r="G188" s="4"/>
      <c r="H188" s="4"/>
      <c r="I188" s="4"/>
    </row>
    <row r="189" spans="2:9" ht="51.75" customHeight="1" x14ac:dyDescent="0.25">
      <c r="B189" s="4"/>
      <c r="C189" s="4"/>
      <c r="D189" s="4"/>
      <c r="E189" s="4"/>
      <c r="F189" s="4"/>
      <c r="G189" s="4"/>
      <c r="H189" s="4"/>
      <c r="I189" s="4"/>
    </row>
    <row r="190" spans="2:9" ht="51.75" customHeight="1" x14ac:dyDescent="0.25">
      <c r="B190" s="4"/>
      <c r="C190" s="4"/>
      <c r="D190" s="4"/>
      <c r="E190" s="4"/>
      <c r="F190" s="4"/>
      <c r="G190" s="4"/>
      <c r="H190" s="4"/>
      <c r="I190" s="4"/>
    </row>
    <row r="191" spans="2:9" ht="51.75" customHeight="1" x14ac:dyDescent="0.25">
      <c r="B191" s="4"/>
      <c r="C191" s="4"/>
      <c r="D191" s="4"/>
      <c r="E191" s="4"/>
      <c r="F191" s="4"/>
      <c r="G191" s="4"/>
      <c r="H191" s="4"/>
      <c r="I191" s="4"/>
    </row>
    <row r="192" spans="2:9" ht="51.75" customHeight="1" x14ac:dyDescent="0.25">
      <c r="B192" s="4"/>
      <c r="C192" s="4"/>
      <c r="D192" s="4"/>
      <c r="E192" s="4"/>
      <c r="F192" s="4"/>
      <c r="G192" s="4"/>
      <c r="H192" s="4"/>
      <c r="I192" s="4"/>
    </row>
    <row r="193" spans="2:9" ht="51.75" customHeight="1" x14ac:dyDescent="0.25">
      <c r="B193" s="4"/>
      <c r="C193" s="4"/>
      <c r="D193" s="4"/>
      <c r="E193" s="4"/>
      <c r="F193" s="4"/>
      <c r="G193" s="4"/>
      <c r="H193" s="4"/>
      <c r="I193" s="4"/>
    </row>
    <row r="194" spans="2:9" ht="51.75" customHeight="1" x14ac:dyDescent="0.25">
      <c r="B194" s="4"/>
      <c r="C194" s="4"/>
      <c r="D194" s="4"/>
      <c r="E194" s="4"/>
      <c r="F194" s="4"/>
      <c r="G194" s="4"/>
      <c r="H194" s="4"/>
      <c r="I194" s="4"/>
    </row>
    <row r="195" spans="2:9" ht="51.75" customHeight="1" x14ac:dyDescent="0.25">
      <c r="B195" s="4"/>
      <c r="C195" s="4"/>
      <c r="D195" s="4"/>
      <c r="E195" s="4"/>
      <c r="F195" s="4"/>
      <c r="G195" s="4"/>
      <c r="H195" s="4"/>
      <c r="I195" s="4"/>
    </row>
    <row r="196" spans="2:9" ht="51.75" customHeight="1" x14ac:dyDescent="0.25">
      <c r="B196" s="4"/>
      <c r="C196" s="4"/>
      <c r="D196" s="4"/>
      <c r="E196" s="4"/>
      <c r="F196" s="4"/>
      <c r="G196" s="4"/>
      <c r="H196" s="4"/>
      <c r="I196" s="4"/>
    </row>
    <row r="197" spans="2:9" ht="51.75" customHeight="1" x14ac:dyDescent="0.25">
      <c r="B197" s="4"/>
      <c r="C197" s="4"/>
      <c r="D197" s="4"/>
      <c r="E197" s="4"/>
      <c r="F197" s="4"/>
      <c r="G197" s="4"/>
      <c r="H197" s="4"/>
      <c r="I197" s="4"/>
    </row>
    <row r="198" spans="2:9" ht="51.75" customHeight="1" x14ac:dyDescent="0.25">
      <c r="B198" s="4"/>
      <c r="C198" s="4"/>
      <c r="D198" s="4"/>
      <c r="E198" s="4"/>
      <c r="F198" s="4"/>
      <c r="G198" s="4"/>
      <c r="H198" s="4"/>
      <c r="I198" s="4"/>
    </row>
    <row r="199" spans="2:9" ht="51.75" customHeight="1" x14ac:dyDescent="0.25">
      <c r="B199" s="4"/>
      <c r="C199" s="4"/>
      <c r="D199" s="4"/>
      <c r="E199" s="4"/>
      <c r="F199" s="4"/>
      <c r="G199" s="4"/>
      <c r="H199" s="4"/>
      <c r="I199" s="4"/>
    </row>
    <row r="200" spans="2:9" ht="51.75" customHeight="1" x14ac:dyDescent="0.25">
      <c r="B200" s="4"/>
      <c r="C200" s="4"/>
      <c r="D200" s="4"/>
      <c r="E200" s="4"/>
      <c r="F200" s="4"/>
      <c r="G200" s="4"/>
      <c r="H200" s="4"/>
      <c r="I200" s="4"/>
    </row>
    <row r="201" spans="2:9" ht="51.75" customHeight="1" x14ac:dyDescent="0.25">
      <c r="B201" s="4"/>
      <c r="C201" s="4"/>
      <c r="D201" s="4"/>
      <c r="E201" s="4"/>
      <c r="F201" s="4"/>
      <c r="G201" s="4"/>
      <c r="H201" s="4"/>
      <c r="I201" s="4"/>
    </row>
    <row r="202" spans="2:9" ht="51.75" customHeight="1" x14ac:dyDescent="0.25">
      <c r="B202" s="4"/>
      <c r="C202" s="4"/>
      <c r="D202" s="4"/>
      <c r="E202" s="4"/>
      <c r="F202" s="4"/>
      <c r="G202" s="4"/>
      <c r="H202" s="4"/>
      <c r="I202" s="4"/>
    </row>
    <row r="203" spans="2:9" ht="51.75" customHeight="1" x14ac:dyDescent="0.25">
      <c r="B203" s="4"/>
      <c r="C203" s="4"/>
      <c r="D203" s="4"/>
      <c r="E203" s="4"/>
      <c r="F203" s="4"/>
      <c r="G203" s="4"/>
      <c r="H203" s="4"/>
      <c r="I203" s="4"/>
    </row>
    <row r="204" spans="2:9" ht="51.75" customHeight="1" x14ac:dyDescent="0.25">
      <c r="B204" s="4"/>
      <c r="C204" s="4"/>
      <c r="D204" s="4"/>
      <c r="E204" s="4"/>
      <c r="F204" s="4"/>
      <c r="G204" s="4"/>
      <c r="H204" s="4"/>
      <c r="I204" s="4"/>
    </row>
    <row r="205" spans="2:9" ht="51.75" customHeight="1" x14ac:dyDescent="0.25">
      <c r="B205" s="4"/>
      <c r="C205" s="4"/>
      <c r="D205" s="4"/>
      <c r="E205" s="4"/>
      <c r="F205" s="4"/>
      <c r="G205" s="4"/>
      <c r="H205" s="4"/>
      <c r="I205" s="4"/>
    </row>
    <row r="206" spans="2:9" ht="51.75" customHeight="1" x14ac:dyDescent="0.25">
      <c r="B206" s="4"/>
      <c r="C206" s="4"/>
      <c r="D206" s="4"/>
      <c r="E206" s="4"/>
      <c r="F206" s="4"/>
      <c r="G206" s="4"/>
      <c r="H206" s="4"/>
      <c r="I206" s="4"/>
    </row>
    <row r="207" spans="2:9" ht="51.75" customHeight="1" x14ac:dyDescent="0.25">
      <c r="B207" s="4"/>
      <c r="C207" s="4"/>
      <c r="D207" s="4"/>
      <c r="E207" s="4"/>
      <c r="F207" s="4"/>
      <c r="G207" s="4"/>
      <c r="H207" s="4"/>
      <c r="I207" s="4"/>
    </row>
    <row r="208" spans="2:9" ht="51.75" customHeight="1" x14ac:dyDescent="0.25">
      <c r="B208" s="4"/>
      <c r="C208" s="4"/>
      <c r="D208" s="4"/>
      <c r="E208" s="4"/>
      <c r="F208" s="4"/>
      <c r="G208" s="4"/>
      <c r="H208" s="4"/>
      <c r="I208" s="4"/>
    </row>
    <row r="209" spans="2:9" ht="51.75" customHeight="1" x14ac:dyDescent="0.25">
      <c r="B209" s="4"/>
      <c r="C209" s="4"/>
      <c r="D209" s="4"/>
      <c r="E209" s="4"/>
      <c r="F209" s="4"/>
      <c r="G209" s="4"/>
      <c r="H209" s="4"/>
      <c r="I209" s="4"/>
    </row>
    <row r="210" spans="2:9" ht="51.75" customHeight="1" x14ac:dyDescent="0.25">
      <c r="B210" s="4"/>
      <c r="C210" s="4"/>
      <c r="D210" s="4"/>
      <c r="E210" s="4"/>
      <c r="F210" s="4"/>
      <c r="G210" s="4"/>
      <c r="H210" s="4"/>
      <c r="I210" s="4"/>
    </row>
    <row r="211" spans="2:9" ht="51.75" customHeight="1" x14ac:dyDescent="0.25">
      <c r="B211" s="4"/>
      <c r="C211" s="4"/>
      <c r="D211" s="4"/>
      <c r="E211" s="4"/>
      <c r="F211" s="4"/>
      <c r="G211" s="4"/>
      <c r="H211" s="4"/>
      <c r="I211" s="4"/>
    </row>
    <row r="212" spans="2:9" ht="51.75" customHeight="1" x14ac:dyDescent="0.25">
      <c r="B212" s="4"/>
      <c r="C212" s="4"/>
      <c r="D212" s="4"/>
      <c r="E212" s="4"/>
      <c r="F212" s="4"/>
      <c r="G212" s="4"/>
      <c r="H212" s="4"/>
      <c r="I212" s="4"/>
    </row>
    <row r="213" spans="2:9" ht="51.75" customHeight="1" x14ac:dyDescent="0.25">
      <c r="B213" s="4"/>
      <c r="C213" s="4"/>
      <c r="D213" s="4"/>
      <c r="E213" s="4"/>
      <c r="F213" s="4"/>
      <c r="G213" s="4"/>
      <c r="H213" s="4"/>
      <c r="I213" s="4"/>
    </row>
    <row r="214" spans="2:9" ht="51.75" customHeight="1" x14ac:dyDescent="0.25">
      <c r="B214" s="4"/>
      <c r="C214" s="4"/>
      <c r="D214" s="4"/>
      <c r="E214" s="4"/>
      <c r="F214" s="4"/>
      <c r="G214" s="4"/>
      <c r="H214" s="4"/>
      <c r="I214" s="4"/>
    </row>
    <row r="215" spans="2:9" ht="51.75" customHeight="1" x14ac:dyDescent="0.25">
      <c r="B215" s="4"/>
      <c r="C215" s="4"/>
      <c r="D215" s="4"/>
      <c r="E215" s="4"/>
      <c r="F215" s="4"/>
      <c r="G215" s="4"/>
      <c r="H215" s="4"/>
      <c r="I215" s="4"/>
    </row>
    <row r="216" spans="2:9" ht="51.75" customHeight="1" x14ac:dyDescent="0.25">
      <c r="B216" s="4"/>
      <c r="C216" s="4"/>
      <c r="D216" s="4"/>
      <c r="E216" s="4"/>
      <c r="F216" s="4"/>
      <c r="G216" s="4"/>
      <c r="H216" s="4"/>
      <c r="I216" s="4"/>
    </row>
    <row r="217" spans="2:9" ht="51.75" customHeight="1" x14ac:dyDescent="0.25">
      <c r="B217" s="4"/>
      <c r="C217" s="4"/>
      <c r="D217" s="4"/>
      <c r="E217" s="4"/>
      <c r="F217" s="4"/>
      <c r="G217" s="4"/>
      <c r="H217" s="4"/>
      <c r="I217" s="4"/>
    </row>
    <row r="218" spans="2:9" ht="51.75" customHeight="1" x14ac:dyDescent="0.25">
      <c r="B218" s="4"/>
      <c r="C218" s="4"/>
      <c r="D218" s="4"/>
      <c r="E218" s="4"/>
      <c r="F218" s="4"/>
      <c r="G218" s="4"/>
      <c r="H218" s="4"/>
      <c r="I218" s="4"/>
    </row>
    <row r="219" spans="2:9" ht="51.75" customHeight="1" x14ac:dyDescent="0.25">
      <c r="B219" s="4"/>
      <c r="C219" s="4"/>
      <c r="D219" s="4"/>
      <c r="E219" s="4"/>
      <c r="F219" s="4"/>
      <c r="G219" s="4"/>
      <c r="H219" s="4"/>
      <c r="I219" s="4"/>
    </row>
    <row r="220" spans="2:9" ht="51.75" customHeight="1" x14ac:dyDescent="0.25">
      <c r="B220" s="4"/>
      <c r="C220" s="4"/>
      <c r="D220" s="4"/>
      <c r="E220" s="4"/>
      <c r="F220" s="4"/>
      <c r="G220" s="4"/>
      <c r="H220" s="4"/>
      <c r="I220" s="4"/>
    </row>
    <row r="221" spans="2:9" ht="51.75" customHeight="1" x14ac:dyDescent="0.25">
      <c r="B221" s="4"/>
      <c r="C221" s="4"/>
      <c r="D221" s="4"/>
      <c r="E221" s="4"/>
      <c r="F221" s="4"/>
      <c r="G221" s="4"/>
      <c r="H221" s="4"/>
      <c r="I221" s="4"/>
    </row>
    <row r="222" spans="2:9" ht="51.75" customHeight="1" x14ac:dyDescent="0.25">
      <c r="B222" s="4"/>
      <c r="C222" s="4"/>
      <c r="D222" s="4"/>
      <c r="E222" s="4"/>
      <c r="F222" s="4"/>
      <c r="G222" s="4"/>
      <c r="H222" s="4"/>
      <c r="I222" s="4"/>
    </row>
    <row r="223" spans="2:9" ht="51.75" customHeight="1" x14ac:dyDescent="0.25">
      <c r="B223" s="4"/>
      <c r="C223" s="4"/>
      <c r="D223" s="4"/>
      <c r="E223" s="4"/>
      <c r="F223" s="4"/>
      <c r="G223" s="4"/>
      <c r="H223" s="4"/>
      <c r="I223" s="4"/>
    </row>
    <row r="224" spans="2:9" ht="51.75" customHeight="1" x14ac:dyDescent="0.25">
      <c r="B224" s="4"/>
      <c r="C224" s="4"/>
      <c r="D224" s="4"/>
      <c r="E224" s="4"/>
      <c r="F224" s="4"/>
      <c r="G224" s="4"/>
      <c r="H224" s="4"/>
      <c r="I224" s="4"/>
    </row>
    <row r="225" spans="2:9" ht="51.75" customHeight="1" x14ac:dyDescent="0.25">
      <c r="B225" s="4"/>
      <c r="C225" s="4"/>
      <c r="D225" s="4"/>
      <c r="E225" s="4"/>
      <c r="F225" s="4"/>
      <c r="G225" s="4"/>
      <c r="H225" s="4"/>
      <c r="I225" s="4"/>
    </row>
    <row r="226" spans="2:9" ht="51.75" customHeight="1" x14ac:dyDescent="0.25">
      <c r="B226" s="4"/>
      <c r="C226" s="4"/>
      <c r="D226" s="4"/>
      <c r="E226" s="4"/>
      <c r="F226" s="4"/>
      <c r="G226" s="4"/>
      <c r="H226" s="4"/>
      <c r="I226" s="4"/>
    </row>
    <row r="227" spans="2:9" ht="51.75" customHeight="1" x14ac:dyDescent="0.25">
      <c r="B227" s="4"/>
      <c r="C227" s="4"/>
      <c r="D227" s="4"/>
      <c r="E227" s="4"/>
      <c r="F227" s="4"/>
      <c r="G227" s="4"/>
      <c r="H227" s="4"/>
      <c r="I227" s="4"/>
    </row>
    <row r="228" spans="2:9" ht="51.75" customHeight="1" x14ac:dyDescent="0.25">
      <c r="B228" s="4"/>
      <c r="C228" s="4"/>
      <c r="D228" s="4"/>
      <c r="E228" s="4"/>
      <c r="F228" s="4"/>
      <c r="G228" s="4"/>
      <c r="H228" s="4"/>
      <c r="I228" s="4"/>
    </row>
    <row r="229" spans="2:9" ht="51.75" customHeight="1" x14ac:dyDescent="0.25">
      <c r="B229" s="4"/>
      <c r="C229" s="4"/>
      <c r="D229" s="4"/>
      <c r="E229" s="4"/>
      <c r="F229" s="4"/>
      <c r="G229" s="4"/>
      <c r="H229" s="4"/>
      <c r="I229" s="4"/>
    </row>
    <row r="230" spans="2:9" ht="51.75" customHeight="1" x14ac:dyDescent="0.25">
      <c r="B230" s="4"/>
      <c r="C230" s="4"/>
      <c r="D230" s="4"/>
      <c r="E230" s="4"/>
      <c r="F230" s="4"/>
      <c r="G230" s="4"/>
      <c r="H230" s="4"/>
      <c r="I230" s="4"/>
    </row>
    <row r="231" spans="2:9" ht="51.75" customHeight="1" x14ac:dyDescent="0.25">
      <c r="B231" s="4"/>
      <c r="C231" s="4"/>
      <c r="D231" s="4"/>
      <c r="E231" s="4"/>
      <c r="F231" s="4"/>
      <c r="G231" s="4"/>
      <c r="H231" s="4"/>
      <c r="I231" s="4"/>
    </row>
    <row r="232" spans="2:9" ht="51.75" customHeight="1" x14ac:dyDescent="0.25">
      <c r="B232" s="4"/>
      <c r="C232" s="4"/>
      <c r="D232" s="4"/>
      <c r="E232" s="4"/>
      <c r="F232" s="4"/>
      <c r="G232" s="4"/>
      <c r="H232" s="4"/>
      <c r="I232" s="4"/>
    </row>
    <row r="233" spans="2:9" ht="51.75" customHeight="1" x14ac:dyDescent="0.25">
      <c r="B233" s="4"/>
      <c r="C233" s="4"/>
      <c r="D233" s="4"/>
      <c r="E233" s="4"/>
      <c r="F233" s="4"/>
      <c r="G233" s="4"/>
      <c r="H233" s="4"/>
      <c r="I233" s="4"/>
    </row>
    <row r="234" spans="2:9" ht="51.75" customHeight="1" x14ac:dyDescent="0.25">
      <c r="B234" s="4"/>
      <c r="C234" s="4"/>
      <c r="D234" s="4"/>
      <c r="E234" s="4"/>
      <c r="F234" s="4"/>
      <c r="G234" s="4"/>
      <c r="H234" s="4"/>
      <c r="I234" s="4"/>
    </row>
    <row r="235" spans="2:9" ht="51.75" customHeight="1" x14ac:dyDescent="0.25">
      <c r="B235" s="4"/>
      <c r="C235" s="4"/>
      <c r="D235" s="4"/>
      <c r="E235" s="4"/>
      <c r="F235" s="4"/>
      <c r="G235" s="4"/>
      <c r="H235" s="4"/>
      <c r="I235" s="4"/>
    </row>
    <row r="236" spans="2:9" ht="51.75" customHeight="1" x14ac:dyDescent="0.25">
      <c r="B236" s="4"/>
      <c r="C236" s="4"/>
      <c r="D236" s="4"/>
      <c r="E236" s="4"/>
      <c r="F236" s="4"/>
      <c r="G236" s="4"/>
      <c r="H236" s="4"/>
      <c r="I236" s="4"/>
    </row>
    <row r="237" spans="2:9" ht="51.75" customHeight="1" x14ac:dyDescent="0.25">
      <c r="B237" s="4"/>
      <c r="C237" s="4"/>
      <c r="D237" s="4"/>
      <c r="E237" s="4"/>
      <c r="F237" s="4"/>
      <c r="G237" s="4"/>
      <c r="H237" s="4"/>
      <c r="I237" s="4"/>
    </row>
    <row r="238" spans="2:9" ht="51.75" customHeight="1" x14ac:dyDescent="0.25">
      <c r="B238" s="4"/>
      <c r="C238" s="4"/>
      <c r="D238" s="4"/>
      <c r="E238" s="4"/>
      <c r="F238" s="4"/>
      <c r="G238" s="4"/>
      <c r="H238" s="4"/>
      <c r="I238" s="4"/>
    </row>
    <row r="239" spans="2:9" ht="51.75" customHeight="1" x14ac:dyDescent="0.25">
      <c r="B239" s="4"/>
      <c r="C239" s="4"/>
      <c r="D239" s="4"/>
      <c r="E239" s="4"/>
      <c r="F239" s="4"/>
      <c r="G239" s="4"/>
      <c r="H239" s="4"/>
      <c r="I239" s="4"/>
    </row>
    <row r="240" spans="2:9" ht="51.75" customHeight="1" x14ac:dyDescent="0.25">
      <c r="B240" s="4"/>
      <c r="C240" s="4"/>
      <c r="D240" s="4"/>
      <c r="E240" s="4"/>
      <c r="F240" s="4"/>
      <c r="G240" s="4"/>
      <c r="H240" s="4"/>
      <c r="I240" s="4"/>
    </row>
    <row r="241" spans="2:9" ht="51.75" customHeight="1" x14ac:dyDescent="0.25">
      <c r="B241" s="4"/>
      <c r="C241" s="4"/>
      <c r="D241" s="4"/>
      <c r="E241" s="4"/>
      <c r="F241" s="4"/>
      <c r="G241" s="4"/>
      <c r="H241" s="4"/>
      <c r="I241" s="4"/>
    </row>
    <row r="242" spans="2:9" ht="51.75" customHeight="1" x14ac:dyDescent="0.25">
      <c r="B242" s="4"/>
      <c r="C242" s="4"/>
      <c r="D242" s="4"/>
      <c r="E242" s="4"/>
      <c r="F242" s="4"/>
      <c r="G242" s="4"/>
      <c r="H242" s="4"/>
      <c r="I242" s="4"/>
    </row>
    <row r="243" spans="2:9" ht="51.75" customHeight="1" x14ac:dyDescent="0.25">
      <c r="B243" s="4"/>
      <c r="C243" s="4"/>
      <c r="D243" s="4"/>
      <c r="E243" s="4"/>
      <c r="F243" s="4"/>
      <c r="G243" s="4"/>
      <c r="H243" s="4"/>
      <c r="I243" s="4"/>
    </row>
    <row r="244" spans="2:9" ht="51.75" customHeight="1" x14ac:dyDescent="0.25">
      <c r="B244" s="4"/>
      <c r="C244" s="4"/>
      <c r="D244" s="4"/>
      <c r="E244" s="4"/>
      <c r="F244" s="4"/>
      <c r="G244" s="4"/>
      <c r="H244" s="4"/>
      <c r="I244" s="4"/>
    </row>
    <row r="245" spans="2:9" ht="51.75" customHeight="1" x14ac:dyDescent="0.25">
      <c r="B245" s="4"/>
      <c r="C245" s="4"/>
      <c r="D245" s="4"/>
      <c r="E245" s="4"/>
      <c r="F245" s="4"/>
      <c r="G245" s="4"/>
      <c r="H245" s="4"/>
      <c r="I245" s="4"/>
    </row>
    <row r="246" spans="2:9" ht="51.75" customHeight="1" x14ac:dyDescent="0.25">
      <c r="B246" s="4"/>
      <c r="C246" s="4"/>
      <c r="D246" s="4"/>
      <c r="E246" s="4"/>
      <c r="F246" s="4"/>
      <c r="G246" s="4"/>
      <c r="H246" s="4"/>
      <c r="I246" s="4"/>
    </row>
    <row r="247" spans="2:9" ht="51.75" customHeight="1" x14ac:dyDescent="0.25">
      <c r="B247" s="4"/>
      <c r="C247" s="4"/>
      <c r="D247" s="4"/>
      <c r="E247" s="4"/>
      <c r="F247" s="4"/>
      <c r="G247" s="4"/>
      <c r="H247" s="4"/>
      <c r="I247" s="4"/>
    </row>
    <row r="248" spans="2:9" ht="51.75" customHeight="1" x14ac:dyDescent="0.25">
      <c r="B248" s="4"/>
      <c r="C248" s="4"/>
      <c r="D248" s="4"/>
      <c r="E248" s="4"/>
      <c r="F248" s="4"/>
      <c r="G248" s="4"/>
      <c r="H248" s="4"/>
      <c r="I248" s="4"/>
    </row>
    <row r="249" spans="2:9" ht="51.75" customHeight="1" x14ac:dyDescent="0.25">
      <c r="B249" s="4"/>
      <c r="C249" s="4"/>
      <c r="D249" s="4"/>
      <c r="E249" s="4"/>
      <c r="F249" s="4"/>
      <c r="G249" s="4"/>
      <c r="H249" s="4"/>
      <c r="I249" s="4"/>
    </row>
    <row r="250" spans="2:9" ht="51.75" customHeight="1" x14ac:dyDescent="0.25">
      <c r="B250" s="4"/>
      <c r="C250" s="4"/>
      <c r="D250" s="4"/>
      <c r="E250" s="4"/>
      <c r="F250" s="4"/>
      <c r="G250" s="4"/>
      <c r="H250" s="4"/>
      <c r="I250" s="4"/>
    </row>
    <row r="251" spans="2:9" ht="51.75" customHeight="1" x14ac:dyDescent="0.25">
      <c r="B251" s="4"/>
      <c r="C251" s="4"/>
      <c r="D251" s="4"/>
      <c r="E251" s="4"/>
      <c r="F251" s="4"/>
      <c r="G251" s="4"/>
      <c r="H251" s="4"/>
      <c r="I251" s="4"/>
    </row>
    <row r="252" spans="2:9" ht="51.75" customHeight="1" x14ac:dyDescent="0.25">
      <c r="B252" s="4"/>
      <c r="C252" s="4"/>
      <c r="D252" s="4"/>
      <c r="E252" s="4"/>
      <c r="F252" s="4"/>
      <c r="G252" s="4"/>
      <c r="H252" s="4"/>
      <c r="I252" s="4"/>
    </row>
    <row r="253" spans="2:9" ht="51.75" customHeight="1" x14ac:dyDescent="0.25">
      <c r="B253" s="4"/>
      <c r="C253" s="4"/>
      <c r="D253" s="4"/>
      <c r="E253" s="4"/>
      <c r="F253" s="4"/>
      <c r="G253" s="4"/>
      <c r="H253" s="4"/>
      <c r="I253" s="4"/>
    </row>
    <row r="254" spans="2:9" ht="51.75" customHeight="1" x14ac:dyDescent="0.25">
      <c r="B254" s="4"/>
      <c r="C254" s="4"/>
      <c r="D254" s="4"/>
      <c r="E254" s="4"/>
      <c r="F254" s="4"/>
      <c r="G254" s="4"/>
      <c r="H254" s="4"/>
      <c r="I254" s="4"/>
    </row>
    <row r="255" spans="2:9" ht="51.75" customHeight="1" x14ac:dyDescent="0.25">
      <c r="B255" s="4"/>
      <c r="C255" s="4"/>
      <c r="D255" s="4"/>
      <c r="E255" s="4"/>
      <c r="F255" s="4"/>
      <c r="G255" s="4"/>
      <c r="H255" s="4"/>
      <c r="I255" s="4"/>
    </row>
    <row r="256" spans="2:9" ht="51.75" customHeight="1" x14ac:dyDescent="0.25">
      <c r="B256" s="4"/>
      <c r="C256" s="4"/>
      <c r="D256" s="4"/>
      <c r="E256" s="4"/>
      <c r="F256" s="4"/>
      <c r="G256" s="4"/>
      <c r="H256" s="4"/>
      <c r="I256" s="4"/>
    </row>
    <row r="257" spans="2:9" ht="51.75" customHeight="1" x14ac:dyDescent="0.25">
      <c r="B257" s="4"/>
      <c r="C257" s="4"/>
      <c r="D257" s="4"/>
      <c r="E257" s="4"/>
      <c r="F257" s="4"/>
      <c r="G257" s="4"/>
      <c r="H257" s="4"/>
      <c r="I257" s="4"/>
    </row>
    <row r="258" spans="2:9" ht="51.75" customHeight="1" x14ac:dyDescent="0.25">
      <c r="B258" s="4"/>
      <c r="C258" s="4"/>
      <c r="D258" s="4"/>
      <c r="E258" s="4"/>
      <c r="F258" s="4"/>
      <c r="G258" s="4"/>
      <c r="H258" s="4"/>
      <c r="I258" s="4"/>
    </row>
    <row r="259" spans="2:9" ht="51.75" customHeight="1" x14ac:dyDescent="0.25">
      <c r="B259" s="4"/>
      <c r="C259" s="4"/>
      <c r="D259" s="4"/>
      <c r="E259" s="4"/>
      <c r="F259" s="4"/>
      <c r="G259" s="4"/>
      <c r="H259" s="4"/>
      <c r="I259" s="4"/>
    </row>
    <row r="260" spans="2:9" ht="51.75" customHeight="1" x14ac:dyDescent="0.25">
      <c r="B260" s="4"/>
      <c r="C260" s="4"/>
      <c r="D260" s="4"/>
      <c r="E260" s="4"/>
      <c r="F260" s="4"/>
      <c r="G260" s="4"/>
      <c r="H260" s="4"/>
      <c r="I260" s="4"/>
    </row>
    <row r="261" spans="2:9" ht="51.75" customHeight="1" x14ac:dyDescent="0.25">
      <c r="B261" s="4"/>
      <c r="C261" s="4"/>
      <c r="D261" s="4"/>
      <c r="E261" s="4"/>
      <c r="F261" s="4"/>
      <c r="G261" s="4"/>
      <c r="H261" s="4"/>
      <c r="I261" s="4"/>
    </row>
    <row r="262" spans="2:9" ht="51.75" customHeight="1" x14ac:dyDescent="0.25">
      <c r="B262" s="4"/>
      <c r="C262" s="4"/>
      <c r="D262" s="4"/>
      <c r="E262" s="4"/>
      <c r="F262" s="4"/>
      <c r="G262" s="4"/>
      <c r="H262" s="4"/>
      <c r="I262" s="4"/>
    </row>
    <row r="263" spans="2:9" ht="51.75" customHeight="1" x14ac:dyDescent="0.25">
      <c r="B263" s="4"/>
      <c r="C263" s="4"/>
      <c r="D263" s="4"/>
      <c r="E263" s="4"/>
      <c r="F263" s="4"/>
      <c r="G263" s="4"/>
      <c r="H263" s="4"/>
      <c r="I263" s="4"/>
    </row>
    <row r="264" spans="2:9" ht="51.75" customHeight="1" x14ac:dyDescent="0.25">
      <c r="B264" s="4"/>
      <c r="C264" s="4"/>
      <c r="D264" s="4"/>
      <c r="E264" s="4"/>
      <c r="F264" s="4"/>
      <c r="G264" s="4"/>
      <c r="H264" s="4"/>
      <c r="I264" s="4"/>
    </row>
    <row r="265" spans="2:9" ht="51.75" customHeight="1" x14ac:dyDescent="0.25">
      <c r="B265" s="4"/>
      <c r="C265" s="4"/>
      <c r="D265" s="4"/>
      <c r="E265" s="4"/>
      <c r="F265" s="4"/>
      <c r="G265" s="4"/>
      <c r="H265" s="4"/>
      <c r="I265" s="4"/>
    </row>
    <row r="266" spans="2:9" ht="51.75" customHeight="1" x14ac:dyDescent="0.25">
      <c r="B266" s="4"/>
      <c r="C266" s="4"/>
      <c r="D266" s="4"/>
      <c r="E266" s="4"/>
      <c r="F266" s="4"/>
      <c r="G266" s="4"/>
      <c r="H266" s="4"/>
      <c r="I266" s="4"/>
    </row>
    <row r="267" spans="2:9" ht="51.75" customHeight="1" x14ac:dyDescent="0.25">
      <c r="B267" s="4"/>
      <c r="C267" s="4"/>
      <c r="D267" s="4"/>
      <c r="E267" s="4"/>
      <c r="F267" s="4"/>
      <c r="G267" s="4"/>
      <c r="H267" s="4"/>
      <c r="I267" s="4"/>
    </row>
    <row r="268" spans="2:9" ht="51.75" customHeight="1" x14ac:dyDescent="0.25">
      <c r="B268" s="4"/>
      <c r="C268" s="4"/>
      <c r="D268" s="4"/>
      <c r="E268" s="4"/>
      <c r="F268" s="4"/>
      <c r="G268" s="4"/>
      <c r="H268" s="4"/>
      <c r="I268" s="4"/>
    </row>
    <row r="269" spans="2:9" ht="51.75" customHeight="1" x14ac:dyDescent="0.25">
      <c r="B269" s="4"/>
      <c r="C269" s="4"/>
      <c r="D269" s="4"/>
      <c r="E269" s="4"/>
      <c r="F269" s="4"/>
      <c r="G269" s="4"/>
      <c r="H269" s="4"/>
      <c r="I269" s="4"/>
    </row>
    <row r="270" spans="2:9" ht="51.75" customHeight="1" x14ac:dyDescent="0.25">
      <c r="B270" s="4"/>
      <c r="C270" s="4"/>
      <c r="D270" s="4"/>
      <c r="E270" s="4"/>
      <c r="F270" s="4"/>
      <c r="G270" s="4"/>
      <c r="H270" s="4"/>
      <c r="I270" s="4"/>
    </row>
    <row r="271" spans="2:9" ht="51.75" customHeight="1" x14ac:dyDescent="0.25">
      <c r="B271" s="4"/>
      <c r="C271" s="4"/>
      <c r="D271" s="4"/>
      <c r="E271" s="4"/>
      <c r="F271" s="4"/>
      <c r="G271" s="4"/>
      <c r="H271" s="4"/>
      <c r="I271" s="4"/>
    </row>
    <row r="272" spans="2:9" ht="51.75" customHeight="1" x14ac:dyDescent="0.25">
      <c r="B272" s="4"/>
      <c r="C272" s="4"/>
      <c r="D272" s="4"/>
      <c r="E272" s="4"/>
      <c r="F272" s="4"/>
      <c r="G272" s="4"/>
      <c r="H272" s="4"/>
      <c r="I272" s="4"/>
    </row>
    <row r="273" spans="2:9" ht="51.75" customHeight="1" x14ac:dyDescent="0.25">
      <c r="B273" s="4"/>
      <c r="C273" s="4"/>
      <c r="D273" s="4"/>
      <c r="E273" s="4"/>
      <c r="F273" s="4"/>
      <c r="G273" s="4"/>
      <c r="H273" s="4"/>
      <c r="I273" s="4"/>
    </row>
    <row r="274" spans="2:9" ht="51.75" customHeight="1" x14ac:dyDescent="0.25">
      <c r="B274" s="4"/>
      <c r="C274" s="4"/>
      <c r="D274" s="4"/>
      <c r="E274" s="4"/>
      <c r="F274" s="4"/>
      <c r="G274" s="4"/>
      <c r="H274" s="4"/>
      <c r="I274" s="4"/>
    </row>
    <row r="275" spans="2:9" ht="51.75" customHeight="1" x14ac:dyDescent="0.25">
      <c r="B275" s="4"/>
      <c r="C275" s="4"/>
      <c r="D275" s="4"/>
      <c r="E275" s="4"/>
      <c r="F275" s="4"/>
      <c r="G275" s="4"/>
      <c r="H275" s="4"/>
      <c r="I275" s="4"/>
    </row>
    <row r="276" spans="2:9" ht="51.75" customHeight="1" x14ac:dyDescent="0.25">
      <c r="B276" s="4"/>
      <c r="C276" s="4"/>
      <c r="D276" s="4"/>
      <c r="E276" s="4"/>
      <c r="F276" s="4"/>
      <c r="G276" s="4"/>
      <c r="H276" s="4"/>
      <c r="I276" s="4"/>
    </row>
    <row r="277" spans="2:9" ht="51.75" customHeight="1" x14ac:dyDescent="0.25">
      <c r="B277" s="4"/>
      <c r="C277" s="4"/>
      <c r="D277" s="4"/>
      <c r="E277" s="4"/>
      <c r="F277" s="4"/>
      <c r="G277" s="4"/>
      <c r="H277" s="4"/>
      <c r="I277" s="4"/>
    </row>
    <row r="278" spans="2:9" ht="51.75" customHeight="1" x14ac:dyDescent="0.25">
      <c r="B278" s="4"/>
      <c r="C278" s="4"/>
      <c r="D278" s="4"/>
      <c r="E278" s="4"/>
      <c r="F278" s="4"/>
      <c r="G278" s="4"/>
      <c r="H278" s="4"/>
      <c r="I278" s="4"/>
    </row>
    <row r="279" spans="2:9" ht="51.75" customHeight="1" x14ac:dyDescent="0.25">
      <c r="B279" s="4"/>
      <c r="C279" s="4"/>
      <c r="D279" s="4"/>
      <c r="E279" s="4"/>
      <c r="F279" s="4"/>
      <c r="G279" s="4"/>
      <c r="H279" s="4"/>
      <c r="I279" s="4"/>
    </row>
    <row r="280" spans="2:9" ht="51.75" customHeight="1" x14ac:dyDescent="0.25">
      <c r="B280" s="4"/>
      <c r="C280" s="4"/>
      <c r="D280" s="4"/>
      <c r="E280" s="4"/>
      <c r="F280" s="4"/>
      <c r="G280" s="4"/>
      <c r="H280" s="4"/>
      <c r="I280" s="4"/>
    </row>
    <row r="281" spans="2:9" ht="51.75" customHeight="1" x14ac:dyDescent="0.25">
      <c r="B281" s="4"/>
      <c r="C281" s="4"/>
      <c r="D281" s="4"/>
      <c r="E281" s="4"/>
      <c r="F281" s="4"/>
      <c r="G281" s="4"/>
      <c r="H281" s="4"/>
      <c r="I281" s="4"/>
    </row>
    <row r="282" spans="2:9" ht="51.75" customHeight="1" x14ac:dyDescent="0.25">
      <c r="B282" s="4"/>
      <c r="C282" s="4"/>
      <c r="D282" s="4"/>
      <c r="E282" s="4"/>
      <c r="F282" s="4"/>
      <c r="G282" s="4"/>
      <c r="H282" s="4"/>
      <c r="I282" s="4"/>
    </row>
    <row r="283" spans="2:9" ht="51.75" customHeight="1" x14ac:dyDescent="0.25">
      <c r="B283" s="4"/>
      <c r="C283" s="4"/>
      <c r="D283" s="4"/>
      <c r="E283" s="4"/>
      <c r="F283" s="4"/>
      <c r="G283" s="4"/>
      <c r="H283" s="4"/>
      <c r="I283" s="4"/>
    </row>
    <row r="284" spans="2:9" ht="51.75" customHeight="1" x14ac:dyDescent="0.25">
      <c r="B284" s="4"/>
      <c r="C284" s="4"/>
      <c r="D284" s="4"/>
      <c r="E284" s="4"/>
      <c r="F284" s="4"/>
      <c r="G284" s="4"/>
      <c r="H284" s="4"/>
      <c r="I284" s="4"/>
    </row>
    <row r="285" spans="2:9" ht="51.75" customHeight="1" x14ac:dyDescent="0.25">
      <c r="B285" s="4"/>
      <c r="C285" s="4"/>
      <c r="D285" s="4"/>
      <c r="E285" s="4"/>
      <c r="F285" s="4"/>
      <c r="G285" s="4"/>
      <c r="H285" s="4"/>
      <c r="I285" s="4"/>
    </row>
    <row r="286" spans="2:9" ht="51.75" customHeight="1" x14ac:dyDescent="0.25">
      <c r="B286" s="4"/>
      <c r="C286" s="4"/>
      <c r="D286" s="4"/>
      <c r="E286" s="4"/>
      <c r="F286" s="4"/>
      <c r="G286" s="4"/>
      <c r="H286" s="4"/>
      <c r="I286" s="4"/>
    </row>
    <row r="287" spans="2:9" ht="51.75" customHeight="1" x14ac:dyDescent="0.25">
      <c r="B287" s="4"/>
      <c r="C287" s="4"/>
      <c r="D287" s="4"/>
      <c r="E287" s="4"/>
      <c r="F287" s="4"/>
      <c r="G287" s="4"/>
      <c r="H287" s="4"/>
      <c r="I287" s="4"/>
    </row>
    <row r="288" spans="2:9" ht="51.75" customHeight="1" x14ac:dyDescent="0.25">
      <c r="B288" s="4"/>
      <c r="C288" s="4"/>
      <c r="D288" s="4"/>
      <c r="E288" s="4"/>
      <c r="F288" s="4"/>
      <c r="G288" s="4"/>
      <c r="H288" s="4"/>
      <c r="I288" s="4"/>
    </row>
    <row r="289" spans="2:9" ht="51.75" customHeight="1" x14ac:dyDescent="0.25">
      <c r="B289" s="4"/>
      <c r="C289" s="4"/>
      <c r="D289" s="4"/>
      <c r="E289" s="4"/>
      <c r="F289" s="4"/>
      <c r="G289" s="4"/>
      <c r="H289" s="4"/>
      <c r="I289" s="4"/>
    </row>
    <row r="290" spans="2:9" ht="51.75" customHeight="1" x14ac:dyDescent="0.25">
      <c r="B290" s="4"/>
      <c r="C290" s="4"/>
      <c r="D290" s="4"/>
      <c r="E290" s="4"/>
      <c r="F290" s="4"/>
      <c r="G290" s="4"/>
      <c r="H290" s="4"/>
      <c r="I290" s="4"/>
    </row>
    <row r="291" spans="2:9" ht="51.75" customHeight="1" x14ac:dyDescent="0.25">
      <c r="B291" s="4"/>
      <c r="C291" s="4"/>
      <c r="D291" s="4"/>
      <c r="E291" s="4"/>
      <c r="F291" s="4"/>
      <c r="G291" s="4"/>
      <c r="H291" s="4"/>
      <c r="I291" s="4"/>
    </row>
    <row r="292" spans="2:9" ht="51.75" customHeight="1" x14ac:dyDescent="0.25">
      <c r="B292" s="4"/>
      <c r="C292" s="4"/>
      <c r="D292" s="4"/>
      <c r="E292" s="4"/>
      <c r="F292" s="4"/>
      <c r="G292" s="4"/>
      <c r="H292" s="4"/>
      <c r="I292" s="4"/>
    </row>
    <row r="293" spans="2:9" ht="51.75" customHeight="1" x14ac:dyDescent="0.25">
      <c r="B293" s="4"/>
      <c r="C293" s="4"/>
      <c r="D293" s="4"/>
      <c r="E293" s="4"/>
      <c r="F293" s="4"/>
      <c r="G293" s="4"/>
      <c r="H293" s="4"/>
      <c r="I293" s="4"/>
    </row>
    <row r="294" spans="2:9" ht="51.75" customHeight="1" x14ac:dyDescent="0.25">
      <c r="B294" s="4"/>
      <c r="C294" s="4"/>
      <c r="D294" s="4"/>
      <c r="E294" s="4"/>
      <c r="F294" s="4"/>
      <c r="G294" s="4"/>
      <c r="H294" s="4"/>
      <c r="I294" s="4"/>
    </row>
    <row r="295" spans="2:9" ht="51.75" customHeight="1" x14ac:dyDescent="0.25">
      <c r="B295" s="4"/>
      <c r="C295" s="4"/>
      <c r="D295" s="4"/>
      <c r="E295" s="4"/>
      <c r="F295" s="4"/>
      <c r="G295" s="4"/>
      <c r="H295" s="4"/>
      <c r="I295" s="4"/>
    </row>
    <row r="296" spans="2:9" ht="51.75" customHeight="1" x14ac:dyDescent="0.25">
      <c r="B296" s="4"/>
      <c r="C296" s="4"/>
      <c r="D296" s="4"/>
      <c r="E296" s="4"/>
      <c r="F296" s="4"/>
      <c r="G296" s="4"/>
      <c r="H296" s="4"/>
      <c r="I296" s="4"/>
    </row>
    <row r="297" spans="2:9" ht="51.75" customHeight="1" x14ac:dyDescent="0.25">
      <c r="B297" s="4"/>
      <c r="C297" s="4"/>
      <c r="D297" s="4"/>
      <c r="E297" s="4"/>
      <c r="F297" s="4"/>
      <c r="G297" s="4"/>
      <c r="H297" s="4"/>
      <c r="I297" s="4"/>
    </row>
    <row r="298" spans="2:9" ht="51.75" customHeight="1" x14ac:dyDescent="0.25">
      <c r="B298" s="4"/>
      <c r="C298" s="4"/>
      <c r="D298" s="4"/>
      <c r="E298" s="4"/>
      <c r="F298" s="4"/>
      <c r="G298" s="4"/>
      <c r="H298" s="4"/>
      <c r="I298" s="4"/>
    </row>
    <row r="299" spans="2:9" ht="51.75" customHeight="1" x14ac:dyDescent="0.25">
      <c r="B299" s="4"/>
      <c r="C299" s="4"/>
      <c r="D299" s="4"/>
      <c r="E299" s="4"/>
      <c r="F299" s="4"/>
      <c r="G299" s="4"/>
      <c r="H299" s="4"/>
      <c r="I299" s="4"/>
    </row>
    <row r="300" spans="2:9" ht="51.75" customHeight="1" x14ac:dyDescent="0.25">
      <c r="B300" s="4"/>
      <c r="C300" s="4"/>
      <c r="D300" s="4"/>
      <c r="E300" s="4"/>
      <c r="F300" s="4"/>
      <c r="G300" s="4"/>
      <c r="H300" s="4"/>
      <c r="I300" s="4"/>
    </row>
    <row r="301" spans="2:9" ht="51.75" customHeight="1" x14ac:dyDescent="0.25">
      <c r="B301" s="4"/>
      <c r="C301" s="4"/>
      <c r="D301" s="4"/>
      <c r="E301" s="4"/>
      <c r="F301" s="4"/>
      <c r="G301" s="4"/>
      <c r="H301" s="4"/>
      <c r="I301" s="4"/>
    </row>
    <row r="302" spans="2:9" ht="51.75" customHeight="1" x14ac:dyDescent="0.25">
      <c r="B302" s="4"/>
      <c r="C302" s="4"/>
      <c r="D302" s="4"/>
      <c r="E302" s="4"/>
      <c r="F302" s="4"/>
      <c r="G302" s="4"/>
      <c r="H302" s="4"/>
      <c r="I302" s="4"/>
    </row>
    <row r="303" spans="2:9" ht="51.75" customHeight="1" x14ac:dyDescent="0.25">
      <c r="B303" s="4"/>
      <c r="C303" s="4"/>
      <c r="D303" s="4"/>
      <c r="E303" s="4"/>
      <c r="F303" s="4"/>
      <c r="G303" s="4"/>
      <c r="H303" s="4"/>
      <c r="I303" s="4"/>
    </row>
    <row r="304" spans="2:9" ht="51.75" customHeight="1" x14ac:dyDescent="0.25">
      <c r="B304" s="4"/>
      <c r="C304" s="4"/>
      <c r="D304" s="4"/>
      <c r="E304" s="4"/>
      <c r="F304" s="4"/>
      <c r="G304" s="4"/>
      <c r="H304" s="4"/>
      <c r="I304" s="4"/>
    </row>
    <row r="305" spans="2:9" ht="51.75" customHeight="1" x14ac:dyDescent="0.25">
      <c r="B305" s="4"/>
      <c r="C305" s="4"/>
      <c r="D305" s="4"/>
      <c r="E305" s="4"/>
      <c r="F305" s="4"/>
      <c r="G305" s="4"/>
      <c r="H305" s="4"/>
      <c r="I305" s="4"/>
    </row>
    <row r="306" spans="2:9" ht="51.75" customHeight="1" x14ac:dyDescent="0.25">
      <c r="B306" s="4"/>
      <c r="C306" s="4"/>
      <c r="D306" s="4"/>
      <c r="E306" s="4"/>
      <c r="F306" s="4"/>
      <c r="G306" s="4"/>
      <c r="H306" s="4"/>
      <c r="I306" s="4"/>
    </row>
    <row r="307" spans="2:9" ht="51.75" customHeight="1" x14ac:dyDescent="0.25">
      <c r="B307" s="4"/>
      <c r="C307" s="4"/>
      <c r="D307" s="4"/>
      <c r="E307" s="4"/>
      <c r="F307" s="4"/>
      <c r="G307" s="4"/>
      <c r="H307" s="4"/>
      <c r="I307" s="4"/>
    </row>
    <row r="308" spans="2:9" ht="51.75" customHeight="1" x14ac:dyDescent="0.25">
      <c r="B308" s="4"/>
      <c r="C308" s="4"/>
      <c r="D308" s="4"/>
      <c r="E308" s="4"/>
      <c r="F308" s="4"/>
      <c r="G308" s="4"/>
      <c r="H308" s="4"/>
      <c r="I308" s="4"/>
    </row>
    <row r="309" spans="2:9" ht="51.75" customHeight="1" x14ac:dyDescent="0.25">
      <c r="B309" s="4"/>
      <c r="C309" s="4"/>
      <c r="D309" s="4"/>
      <c r="E309" s="4"/>
      <c r="F309" s="4"/>
      <c r="G309" s="4"/>
      <c r="H309" s="4"/>
      <c r="I309" s="4"/>
    </row>
    <row r="310" spans="2:9" ht="51.75" customHeight="1" x14ac:dyDescent="0.25">
      <c r="B310" s="4"/>
      <c r="C310" s="4"/>
      <c r="D310" s="4"/>
      <c r="E310" s="4"/>
      <c r="F310" s="4"/>
      <c r="G310" s="4"/>
      <c r="H310" s="4"/>
      <c r="I310" s="4"/>
    </row>
    <row r="311" spans="2:9" ht="51.75" customHeight="1" x14ac:dyDescent="0.25">
      <c r="B311" s="4"/>
      <c r="C311" s="4"/>
      <c r="D311" s="4"/>
      <c r="E311" s="4"/>
      <c r="F311" s="4"/>
      <c r="G311" s="4"/>
      <c r="H311" s="4"/>
      <c r="I311" s="4"/>
    </row>
    <row r="312" spans="2:9" ht="51.75" customHeight="1" x14ac:dyDescent="0.25">
      <c r="B312" s="4"/>
      <c r="C312" s="4"/>
      <c r="D312" s="4"/>
      <c r="E312" s="4"/>
      <c r="F312" s="4"/>
      <c r="G312" s="4"/>
      <c r="H312" s="4"/>
      <c r="I312" s="4"/>
    </row>
    <row r="313" spans="2:9" ht="51.75" customHeight="1" x14ac:dyDescent="0.25">
      <c r="B313" s="4"/>
      <c r="C313" s="4"/>
      <c r="D313" s="4"/>
      <c r="E313" s="4"/>
      <c r="F313" s="4"/>
      <c r="G313" s="4"/>
      <c r="H313" s="4"/>
      <c r="I313" s="4"/>
    </row>
    <row r="314" spans="2:9" ht="51.75" customHeight="1" x14ac:dyDescent="0.25">
      <c r="B314" s="4"/>
      <c r="C314" s="4"/>
      <c r="D314" s="4"/>
      <c r="E314" s="4"/>
      <c r="F314" s="4"/>
      <c r="G314" s="4"/>
      <c r="H314" s="4"/>
      <c r="I314" s="4"/>
    </row>
    <row r="315" spans="2:9" ht="51.75" customHeight="1" x14ac:dyDescent="0.25">
      <c r="B315" s="4"/>
      <c r="C315" s="4"/>
      <c r="D315" s="4"/>
      <c r="E315" s="4"/>
      <c r="F315" s="4"/>
      <c r="G315" s="4"/>
      <c r="H315" s="4"/>
      <c r="I315" s="4"/>
    </row>
    <row r="316" spans="2:9" ht="51.75" customHeight="1" x14ac:dyDescent="0.25">
      <c r="B316" s="4"/>
      <c r="C316" s="4"/>
      <c r="D316" s="4"/>
      <c r="E316" s="4"/>
      <c r="F316" s="4"/>
      <c r="G316" s="4"/>
      <c r="H316" s="4"/>
      <c r="I316" s="4"/>
    </row>
    <row r="317" spans="2:9" ht="51.75" customHeight="1" x14ac:dyDescent="0.25">
      <c r="B317" s="4"/>
      <c r="C317" s="4"/>
      <c r="D317" s="4"/>
      <c r="E317" s="4"/>
      <c r="F317" s="4"/>
      <c r="G317" s="4"/>
      <c r="H317" s="4"/>
      <c r="I317" s="4"/>
    </row>
    <row r="318" spans="2:9" ht="51.75" customHeight="1" x14ac:dyDescent="0.25">
      <c r="B318" s="4"/>
      <c r="C318" s="4"/>
      <c r="D318" s="4"/>
      <c r="E318" s="4"/>
      <c r="F318" s="4"/>
      <c r="G318" s="4"/>
      <c r="H318" s="4"/>
      <c r="I318" s="4"/>
    </row>
    <row r="319" spans="2:9" ht="51.75" customHeight="1" x14ac:dyDescent="0.25">
      <c r="B319" s="4"/>
      <c r="C319" s="4"/>
      <c r="D319" s="4"/>
      <c r="E319" s="4"/>
      <c r="F319" s="4"/>
      <c r="G319" s="4"/>
      <c r="H319" s="4"/>
      <c r="I319" s="4"/>
    </row>
    <row r="320" spans="2:9" ht="51.75" customHeight="1" x14ac:dyDescent="0.25">
      <c r="B320" s="4"/>
      <c r="C320" s="4"/>
      <c r="D320" s="4"/>
      <c r="E320" s="4"/>
      <c r="F320" s="4"/>
      <c r="G320" s="4"/>
      <c r="H320" s="4"/>
      <c r="I320" s="4"/>
    </row>
    <row r="321" spans="2:9" ht="51.75" customHeight="1" x14ac:dyDescent="0.25">
      <c r="B321" s="4"/>
      <c r="C321" s="4"/>
      <c r="D321" s="4"/>
      <c r="E321" s="4"/>
      <c r="F321" s="4"/>
      <c r="G321" s="4"/>
      <c r="H321" s="4"/>
      <c r="I321" s="4"/>
    </row>
    <row r="322" spans="2:9" ht="51.75" customHeight="1" x14ac:dyDescent="0.25">
      <c r="B322" s="4"/>
      <c r="C322" s="4"/>
      <c r="D322" s="4"/>
      <c r="E322" s="4"/>
      <c r="F322" s="4"/>
      <c r="G322" s="4"/>
      <c r="H322" s="4"/>
      <c r="I322" s="4"/>
    </row>
    <row r="323" spans="2:9" ht="51.75" customHeight="1" x14ac:dyDescent="0.25">
      <c r="B323" s="4"/>
      <c r="C323" s="4"/>
      <c r="D323" s="4"/>
      <c r="E323" s="4"/>
      <c r="F323" s="4"/>
      <c r="G323" s="4"/>
      <c r="H323" s="4"/>
      <c r="I323" s="4"/>
    </row>
    <row r="324" spans="2:9" ht="51.75" customHeight="1" x14ac:dyDescent="0.25">
      <c r="B324" s="4"/>
      <c r="C324" s="4"/>
      <c r="D324" s="4"/>
      <c r="E324" s="4"/>
      <c r="F324" s="4"/>
      <c r="G324" s="4"/>
      <c r="H324" s="4"/>
      <c r="I324" s="4"/>
    </row>
    <row r="325" spans="2:9" ht="51.75" customHeight="1" x14ac:dyDescent="0.25">
      <c r="B325" s="4"/>
      <c r="C325" s="4"/>
      <c r="D325" s="4"/>
      <c r="E325" s="4"/>
      <c r="F325" s="4"/>
      <c r="G325" s="4"/>
      <c r="H325" s="4"/>
      <c r="I325" s="4"/>
    </row>
    <row r="326" spans="2:9" ht="51.75" customHeight="1" x14ac:dyDescent="0.25">
      <c r="B326" s="4"/>
      <c r="C326" s="4"/>
      <c r="D326" s="4"/>
      <c r="E326" s="4"/>
      <c r="F326" s="4"/>
      <c r="G326" s="4"/>
      <c r="H326" s="4"/>
      <c r="I326" s="4"/>
    </row>
    <row r="327" spans="2:9" ht="51.75" customHeight="1" x14ac:dyDescent="0.25">
      <c r="B327" s="4"/>
      <c r="C327" s="4"/>
      <c r="D327" s="4"/>
      <c r="E327" s="4"/>
      <c r="F327" s="4"/>
      <c r="G327" s="4"/>
      <c r="H327" s="4"/>
      <c r="I327" s="4"/>
    </row>
    <row r="328" spans="2:9" ht="51.75" customHeight="1" x14ac:dyDescent="0.25">
      <c r="B328" s="4"/>
      <c r="C328" s="4"/>
      <c r="D328" s="4"/>
      <c r="E328" s="4"/>
      <c r="F328" s="4"/>
      <c r="G328" s="4"/>
      <c r="H328" s="4"/>
      <c r="I328" s="4"/>
    </row>
    <row r="329" spans="2:9" ht="51.75" customHeight="1" x14ac:dyDescent="0.25">
      <c r="B329" s="4"/>
      <c r="C329" s="4"/>
      <c r="D329" s="4"/>
      <c r="E329" s="4"/>
      <c r="F329" s="4"/>
      <c r="G329" s="4"/>
      <c r="H329" s="4"/>
      <c r="I329" s="4"/>
    </row>
    <row r="330" spans="2:9" ht="51.75" customHeight="1" x14ac:dyDescent="0.25">
      <c r="B330" s="4"/>
      <c r="C330" s="4"/>
      <c r="D330" s="4"/>
      <c r="E330" s="4"/>
      <c r="F330" s="4"/>
      <c r="G330" s="4"/>
      <c r="H330" s="4"/>
      <c r="I330" s="4"/>
    </row>
    <row r="331" spans="2:9" ht="51.75" customHeight="1" x14ac:dyDescent="0.25">
      <c r="B331" s="4"/>
      <c r="C331" s="4"/>
      <c r="D331" s="4"/>
      <c r="E331" s="4"/>
      <c r="F331" s="4"/>
      <c r="G331" s="4"/>
      <c r="H331" s="4"/>
      <c r="I331" s="4"/>
    </row>
    <row r="332" spans="2:9" ht="51.75" customHeight="1" x14ac:dyDescent="0.25">
      <c r="B332" s="4"/>
      <c r="C332" s="4"/>
      <c r="D332" s="4"/>
      <c r="E332" s="4"/>
      <c r="F332" s="4"/>
      <c r="G332" s="4"/>
      <c r="H332" s="4"/>
      <c r="I332" s="4"/>
    </row>
    <row r="333" spans="2:9" ht="51.75" customHeight="1" x14ac:dyDescent="0.25">
      <c r="B333" s="4"/>
      <c r="C333" s="4"/>
      <c r="D333" s="4"/>
      <c r="E333" s="4"/>
      <c r="F333" s="4"/>
      <c r="G333" s="4"/>
      <c r="H333" s="4"/>
      <c r="I333" s="4"/>
    </row>
    <row r="334" spans="2:9" ht="51.75" customHeight="1" x14ac:dyDescent="0.25">
      <c r="B334" s="4"/>
      <c r="C334" s="4"/>
      <c r="D334" s="4"/>
      <c r="E334" s="4"/>
      <c r="F334" s="4"/>
      <c r="G334" s="4"/>
      <c r="H334" s="4"/>
      <c r="I334" s="4"/>
    </row>
    <row r="335" spans="2:9" ht="51.75" customHeight="1" x14ac:dyDescent="0.25">
      <c r="B335" s="4"/>
      <c r="C335" s="4"/>
      <c r="D335" s="4"/>
      <c r="E335" s="4"/>
      <c r="F335" s="4"/>
      <c r="G335" s="4"/>
      <c r="H335" s="4"/>
      <c r="I335" s="4"/>
    </row>
    <row r="336" spans="2:9" ht="51.75" customHeight="1" x14ac:dyDescent="0.25">
      <c r="B336" s="4"/>
      <c r="C336" s="4"/>
      <c r="D336" s="4"/>
      <c r="E336" s="4"/>
      <c r="F336" s="4"/>
      <c r="G336" s="4"/>
      <c r="H336" s="4"/>
      <c r="I336" s="4"/>
    </row>
    <row r="337" spans="2:9" ht="51.75" customHeight="1" x14ac:dyDescent="0.25">
      <c r="B337" s="4"/>
      <c r="C337" s="4"/>
      <c r="D337" s="4"/>
      <c r="E337" s="4"/>
      <c r="F337" s="4"/>
      <c r="G337" s="4"/>
      <c r="H337" s="4"/>
      <c r="I337" s="4"/>
    </row>
    <row r="338" spans="2:9" ht="51.75" customHeight="1" x14ac:dyDescent="0.25">
      <c r="B338" s="4"/>
      <c r="C338" s="4"/>
      <c r="D338" s="4"/>
      <c r="E338" s="4"/>
      <c r="F338" s="4"/>
      <c r="G338" s="4"/>
      <c r="H338" s="4"/>
      <c r="I338" s="4"/>
    </row>
    <row r="339" spans="2:9" ht="51.75" customHeight="1" x14ac:dyDescent="0.25">
      <c r="B339" s="4"/>
      <c r="C339" s="4"/>
      <c r="D339" s="4"/>
      <c r="E339" s="4"/>
      <c r="F339" s="4"/>
      <c r="G339" s="4"/>
      <c r="H339" s="4"/>
      <c r="I339" s="4"/>
    </row>
    <row r="340" spans="2:9" ht="51.75" customHeight="1" x14ac:dyDescent="0.25">
      <c r="B340" s="4"/>
      <c r="C340" s="4"/>
      <c r="D340" s="4"/>
      <c r="E340" s="4"/>
      <c r="F340" s="4"/>
      <c r="G340" s="4"/>
      <c r="H340" s="4"/>
      <c r="I340" s="4"/>
    </row>
    <row r="341" spans="2:9" ht="51.75" customHeight="1" x14ac:dyDescent="0.25">
      <c r="B341" s="4"/>
      <c r="C341" s="4"/>
      <c r="D341" s="4"/>
      <c r="E341" s="4"/>
      <c r="F341" s="4"/>
      <c r="G341" s="4"/>
      <c r="H341" s="4"/>
      <c r="I341" s="4"/>
    </row>
    <row r="342" spans="2:9" ht="51.75" customHeight="1" x14ac:dyDescent="0.25">
      <c r="B342" s="4"/>
      <c r="C342" s="4"/>
      <c r="D342" s="4"/>
      <c r="E342" s="4"/>
      <c r="F342" s="4"/>
      <c r="G342" s="4"/>
      <c r="H342" s="4"/>
      <c r="I342" s="4"/>
    </row>
    <row r="343" spans="2:9" ht="51.75" customHeight="1" x14ac:dyDescent="0.25">
      <c r="B343" s="4"/>
      <c r="C343" s="4"/>
      <c r="D343" s="4"/>
      <c r="E343" s="4"/>
      <c r="F343" s="4"/>
      <c r="G343" s="4"/>
      <c r="H343" s="4"/>
      <c r="I343" s="4"/>
    </row>
    <row r="344" spans="2:9" ht="51.75" customHeight="1" x14ac:dyDescent="0.25">
      <c r="B344" s="4"/>
      <c r="C344" s="4"/>
      <c r="D344" s="4"/>
      <c r="E344" s="4"/>
      <c r="F344" s="4"/>
      <c r="G344" s="4"/>
      <c r="H344" s="4"/>
      <c r="I344" s="4"/>
    </row>
    <row r="345" spans="2:9" ht="51.75" customHeight="1" x14ac:dyDescent="0.25">
      <c r="B345" s="4"/>
      <c r="C345" s="4"/>
      <c r="D345" s="4"/>
      <c r="E345" s="4"/>
      <c r="F345" s="4"/>
      <c r="G345" s="4"/>
      <c r="H345" s="4"/>
      <c r="I345" s="4"/>
    </row>
    <row r="346" spans="2:9" ht="51.75" customHeight="1" x14ac:dyDescent="0.25">
      <c r="B346" s="4"/>
      <c r="C346" s="4"/>
      <c r="D346" s="4"/>
      <c r="E346" s="4"/>
      <c r="F346" s="4"/>
      <c r="G346" s="4"/>
      <c r="H346" s="4"/>
      <c r="I346" s="4"/>
    </row>
    <row r="347" spans="2:9" ht="51.75" customHeight="1" x14ac:dyDescent="0.25">
      <c r="B347" s="4"/>
      <c r="C347" s="4"/>
      <c r="D347" s="4"/>
      <c r="E347" s="4"/>
      <c r="F347" s="4"/>
      <c r="G347" s="4"/>
      <c r="H347" s="4"/>
      <c r="I347" s="4"/>
    </row>
    <row r="348" spans="2:9" ht="51.75" customHeight="1" x14ac:dyDescent="0.25">
      <c r="B348" s="4"/>
      <c r="C348" s="4"/>
      <c r="D348" s="4"/>
      <c r="E348" s="4"/>
      <c r="F348" s="4"/>
      <c r="G348" s="4"/>
      <c r="H348" s="4"/>
      <c r="I348" s="4"/>
    </row>
    <row r="349" spans="2:9" ht="51.75" customHeight="1" x14ac:dyDescent="0.25">
      <c r="B349" s="4"/>
      <c r="C349" s="4"/>
      <c r="D349" s="4"/>
      <c r="E349" s="4"/>
      <c r="F349" s="4"/>
      <c r="G349" s="4"/>
      <c r="H349" s="4"/>
      <c r="I349" s="4"/>
    </row>
    <row r="350" spans="2:9" ht="51.75" customHeight="1" x14ac:dyDescent="0.25">
      <c r="B350" s="4"/>
      <c r="C350" s="4"/>
      <c r="D350" s="4"/>
      <c r="E350" s="4"/>
      <c r="F350" s="4"/>
      <c r="G350" s="4"/>
      <c r="H350" s="4"/>
      <c r="I350" s="4"/>
    </row>
    <row r="351" spans="2:9" ht="51.75" customHeight="1" x14ac:dyDescent="0.25">
      <c r="B351" s="4"/>
      <c r="C351" s="4"/>
      <c r="D351" s="4"/>
      <c r="E351" s="4"/>
      <c r="F351" s="4"/>
      <c r="G351" s="4"/>
      <c r="H351" s="4"/>
      <c r="I351" s="4"/>
    </row>
    <row r="352" spans="2:9" ht="51.75" customHeight="1" x14ac:dyDescent="0.25">
      <c r="B352" s="4"/>
      <c r="C352" s="4"/>
      <c r="D352" s="4"/>
      <c r="E352" s="4"/>
      <c r="F352" s="4"/>
      <c r="G352" s="4"/>
      <c r="H352" s="4"/>
      <c r="I352" s="4"/>
    </row>
    <row r="353" spans="2:9" ht="51.75" customHeight="1" x14ac:dyDescent="0.25">
      <c r="B353" s="4"/>
      <c r="C353" s="4"/>
      <c r="D353" s="4"/>
      <c r="E353" s="4"/>
      <c r="F353" s="4"/>
      <c r="G353" s="4"/>
      <c r="H353" s="4"/>
      <c r="I353" s="4"/>
    </row>
    <row r="354" spans="2:9" ht="51.75" customHeight="1" x14ac:dyDescent="0.25">
      <c r="B354" s="4"/>
      <c r="C354" s="4"/>
      <c r="D354" s="4"/>
      <c r="E354" s="4"/>
      <c r="F354" s="4"/>
      <c r="G354" s="4"/>
      <c r="H354" s="4"/>
      <c r="I354" s="4"/>
    </row>
    <row r="355" spans="2:9" ht="51.75" customHeight="1" x14ac:dyDescent="0.25">
      <c r="B355" s="4"/>
      <c r="C355" s="4"/>
      <c r="D355" s="4"/>
      <c r="E355" s="4"/>
      <c r="F355" s="4"/>
      <c r="G355" s="4"/>
      <c r="H355" s="4"/>
      <c r="I355" s="4"/>
    </row>
    <row r="356" spans="2:9" ht="51.75" customHeight="1" x14ac:dyDescent="0.25">
      <c r="B356" s="4"/>
      <c r="C356" s="4"/>
      <c r="D356" s="4"/>
      <c r="E356" s="4"/>
      <c r="F356" s="4"/>
      <c r="G356" s="4"/>
      <c r="H356" s="4"/>
      <c r="I356" s="4"/>
    </row>
    <row r="357" spans="2:9" ht="51.75" customHeight="1" x14ac:dyDescent="0.25">
      <c r="B357" s="4"/>
      <c r="C357" s="4"/>
      <c r="D357" s="4"/>
      <c r="E357" s="4"/>
      <c r="F357" s="4"/>
      <c r="G357" s="4"/>
      <c r="H357" s="4"/>
      <c r="I357" s="4"/>
    </row>
    <row r="358" spans="2:9" ht="51.75" customHeight="1" x14ac:dyDescent="0.25">
      <c r="B358" s="4"/>
      <c r="C358" s="4"/>
      <c r="D358" s="4"/>
      <c r="E358" s="4"/>
      <c r="F358" s="4"/>
      <c r="G358" s="4"/>
      <c r="H358" s="4"/>
      <c r="I358" s="4"/>
    </row>
    <row r="359" spans="2:9" ht="51.75" customHeight="1" x14ac:dyDescent="0.25">
      <c r="B359" s="4"/>
      <c r="C359" s="4"/>
      <c r="D359" s="4"/>
      <c r="E359" s="4"/>
      <c r="F359" s="4"/>
      <c r="G359" s="4"/>
      <c r="H359" s="4"/>
      <c r="I359" s="4"/>
    </row>
    <row r="360" spans="2:9" ht="51.75" customHeight="1" x14ac:dyDescent="0.25">
      <c r="B360" s="4"/>
      <c r="C360" s="4"/>
      <c r="D360" s="4"/>
      <c r="E360" s="4"/>
      <c r="F360" s="4"/>
      <c r="G360" s="4"/>
      <c r="H360" s="4"/>
      <c r="I360" s="4"/>
    </row>
    <row r="361" spans="2:9" ht="51.75" customHeight="1" x14ac:dyDescent="0.25">
      <c r="B361" s="4"/>
      <c r="C361" s="4"/>
      <c r="D361" s="4"/>
      <c r="E361" s="4"/>
      <c r="F361" s="4"/>
      <c r="G361" s="4"/>
      <c r="H361" s="4"/>
      <c r="I361" s="4"/>
    </row>
    <row r="362" spans="2:9" ht="51.75" customHeight="1" x14ac:dyDescent="0.25">
      <c r="B362" s="4"/>
      <c r="C362" s="4"/>
      <c r="D362" s="4"/>
      <c r="E362" s="4"/>
      <c r="F362" s="4"/>
      <c r="G362" s="4"/>
      <c r="H362" s="4"/>
      <c r="I362" s="4"/>
    </row>
    <row r="363" spans="2:9" ht="51.75" customHeight="1" x14ac:dyDescent="0.25">
      <c r="B363" s="4"/>
      <c r="C363" s="4"/>
      <c r="D363" s="4"/>
      <c r="E363" s="4"/>
      <c r="F363" s="4"/>
      <c r="G363" s="4"/>
      <c r="H363" s="4"/>
      <c r="I363" s="4"/>
    </row>
    <row r="364" spans="2:9" ht="51.75" customHeight="1" x14ac:dyDescent="0.25">
      <c r="B364" s="4"/>
      <c r="C364" s="4"/>
      <c r="D364" s="4"/>
      <c r="E364" s="4"/>
      <c r="F364" s="4"/>
      <c r="G364" s="4"/>
      <c r="H364" s="4"/>
      <c r="I364" s="4"/>
    </row>
    <row r="365" spans="2:9" ht="51.75" customHeight="1" x14ac:dyDescent="0.25">
      <c r="B365" s="4"/>
      <c r="C365" s="4"/>
      <c r="D365" s="4"/>
      <c r="E365" s="4"/>
      <c r="F365" s="4"/>
      <c r="G365" s="4"/>
      <c r="H365" s="4"/>
      <c r="I365" s="4"/>
    </row>
    <row r="366" spans="2:9" ht="51.75" customHeight="1" x14ac:dyDescent="0.25">
      <c r="B366" s="4"/>
      <c r="C366" s="4"/>
      <c r="D366" s="4"/>
      <c r="E366" s="4"/>
      <c r="F366" s="4"/>
      <c r="G366" s="4"/>
      <c r="H366" s="4"/>
      <c r="I366" s="4"/>
    </row>
    <row r="367" spans="2:9" ht="51.75" customHeight="1" x14ac:dyDescent="0.25">
      <c r="B367" s="4"/>
      <c r="C367" s="4"/>
      <c r="D367" s="4"/>
      <c r="E367" s="4"/>
      <c r="F367" s="4"/>
      <c r="G367" s="4"/>
      <c r="H367" s="4"/>
      <c r="I367" s="4"/>
    </row>
    <row r="368" spans="2:9" ht="51.75" customHeight="1" x14ac:dyDescent="0.25">
      <c r="B368" s="4"/>
      <c r="C368" s="4"/>
      <c r="D368" s="4"/>
      <c r="E368" s="4"/>
      <c r="F368" s="4"/>
      <c r="G368" s="4"/>
      <c r="H368" s="4"/>
      <c r="I368" s="4"/>
    </row>
    <row r="369" spans="2:9" ht="51.75" customHeight="1" x14ac:dyDescent="0.25">
      <c r="B369" s="4"/>
      <c r="C369" s="4"/>
      <c r="D369" s="4"/>
      <c r="E369" s="4"/>
      <c r="F369" s="4"/>
      <c r="G369" s="4"/>
      <c r="H369" s="4"/>
      <c r="I369" s="4"/>
    </row>
    <row r="370" spans="2:9" ht="51.75" customHeight="1" x14ac:dyDescent="0.25">
      <c r="B370" s="4"/>
      <c r="C370" s="4"/>
      <c r="D370" s="4"/>
      <c r="E370" s="4"/>
      <c r="F370" s="4"/>
      <c r="G370" s="4"/>
      <c r="H370" s="4"/>
      <c r="I370" s="4"/>
    </row>
    <row r="371" spans="2:9" ht="51.75" customHeight="1" x14ac:dyDescent="0.25">
      <c r="B371" s="4"/>
      <c r="C371" s="4"/>
      <c r="D371" s="4"/>
      <c r="E371" s="4"/>
      <c r="F371" s="4"/>
      <c r="G371" s="4"/>
      <c r="H371" s="4"/>
      <c r="I371" s="4"/>
    </row>
    <row r="372" spans="2:9" ht="51.75" customHeight="1" x14ac:dyDescent="0.25">
      <c r="B372" s="4"/>
      <c r="C372" s="4"/>
      <c r="D372" s="4"/>
      <c r="E372" s="4"/>
      <c r="F372" s="4"/>
      <c r="G372" s="4"/>
      <c r="H372" s="4"/>
      <c r="I372" s="4"/>
    </row>
    <row r="373" spans="2:9" ht="51.75" customHeight="1" x14ac:dyDescent="0.25">
      <c r="B373" s="4"/>
      <c r="C373" s="4"/>
      <c r="D373" s="4"/>
      <c r="E373" s="4"/>
      <c r="F373" s="4"/>
      <c r="G373" s="4"/>
      <c r="H373" s="4"/>
      <c r="I373" s="4"/>
    </row>
    <row r="374" spans="2:9" ht="51.75" customHeight="1" x14ac:dyDescent="0.25">
      <c r="B374" s="4"/>
      <c r="C374" s="4"/>
      <c r="D374" s="4"/>
      <c r="E374" s="4"/>
      <c r="F374" s="4"/>
      <c r="G374" s="4"/>
      <c r="H374" s="4"/>
      <c r="I374" s="4"/>
    </row>
    <row r="375" spans="2:9" ht="51.75" customHeight="1" x14ac:dyDescent="0.25">
      <c r="B375" s="4"/>
      <c r="C375" s="4"/>
      <c r="D375" s="4"/>
      <c r="E375" s="4"/>
      <c r="F375" s="4"/>
      <c r="G375" s="4"/>
      <c r="H375" s="4"/>
      <c r="I375" s="4"/>
    </row>
    <row r="376" spans="2:9" ht="51.75" customHeight="1" x14ac:dyDescent="0.25">
      <c r="B376" s="4"/>
      <c r="C376" s="4"/>
      <c r="D376" s="4"/>
      <c r="E376" s="4"/>
      <c r="F376" s="4"/>
      <c r="G376" s="4"/>
      <c r="H376" s="4"/>
      <c r="I376" s="4"/>
    </row>
    <row r="377" spans="2:9" ht="51.75" customHeight="1" x14ac:dyDescent="0.25">
      <c r="B377" s="4"/>
      <c r="C377" s="4"/>
      <c r="D377" s="4"/>
      <c r="E377" s="4"/>
      <c r="F377" s="4"/>
      <c r="G377" s="4"/>
      <c r="H377" s="4"/>
      <c r="I377" s="4"/>
    </row>
    <row r="378" spans="2:9" ht="51.75" customHeight="1" x14ac:dyDescent="0.25">
      <c r="B378" s="4"/>
      <c r="C378" s="4"/>
      <c r="D378" s="4"/>
      <c r="E378" s="4"/>
      <c r="F378" s="4"/>
      <c r="G378" s="4"/>
      <c r="H378" s="4"/>
      <c r="I378" s="4"/>
    </row>
    <row r="379" spans="2:9" ht="51.75" customHeight="1" x14ac:dyDescent="0.25">
      <c r="B379" s="4"/>
      <c r="C379" s="4"/>
      <c r="D379" s="4"/>
      <c r="E379" s="4"/>
      <c r="F379" s="4"/>
      <c r="G379" s="4"/>
      <c r="H379" s="4"/>
      <c r="I379" s="4"/>
    </row>
    <row r="380" spans="2:9" ht="51.75" customHeight="1" x14ac:dyDescent="0.25">
      <c r="B380" s="4"/>
      <c r="C380" s="4"/>
      <c r="D380" s="4"/>
      <c r="E380" s="4"/>
      <c r="F380" s="4"/>
      <c r="G380" s="4"/>
      <c r="H380" s="4"/>
      <c r="I380" s="4"/>
    </row>
    <row r="381" spans="2:9" ht="51.75" customHeight="1" x14ac:dyDescent="0.25">
      <c r="B381" s="4"/>
      <c r="C381" s="4"/>
      <c r="D381" s="4"/>
      <c r="E381" s="4"/>
      <c r="F381" s="4"/>
      <c r="G381" s="4"/>
      <c r="H381" s="4"/>
      <c r="I381" s="4"/>
    </row>
    <row r="382" spans="2:9" ht="51.75" customHeight="1" x14ac:dyDescent="0.25">
      <c r="B382" s="4"/>
      <c r="C382" s="4"/>
      <c r="D382" s="4"/>
      <c r="E382" s="4"/>
      <c r="F382" s="4"/>
      <c r="G382" s="4"/>
      <c r="H382" s="4"/>
      <c r="I382" s="4"/>
    </row>
    <row r="383" spans="2:9" ht="51.75" customHeight="1" x14ac:dyDescent="0.25">
      <c r="B383" s="4"/>
      <c r="C383" s="4"/>
      <c r="D383" s="4"/>
      <c r="E383" s="4"/>
      <c r="F383" s="4"/>
      <c r="G383" s="4"/>
      <c r="H383" s="4"/>
      <c r="I383" s="4"/>
    </row>
    <row r="384" spans="2:9" ht="51.75" customHeight="1" x14ac:dyDescent="0.25">
      <c r="B384" s="4"/>
      <c r="C384" s="4"/>
      <c r="D384" s="4"/>
      <c r="E384" s="4"/>
      <c r="F384" s="4"/>
      <c r="G384" s="4"/>
      <c r="H384" s="4"/>
      <c r="I384" s="4"/>
    </row>
    <row r="385" spans="2:9" ht="51.75" customHeight="1" x14ac:dyDescent="0.25">
      <c r="B385" s="4"/>
      <c r="C385" s="4"/>
      <c r="D385" s="4"/>
      <c r="E385" s="4"/>
      <c r="F385" s="4"/>
      <c r="G385" s="4"/>
      <c r="H385" s="4"/>
      <c r="I385" s="4"/>
    </row>
    <row r="386" spans="2:9" ht="51.75" customHeight="1" x14ac:dyDescent="0.25">
      <c r="B386" s="4"/>
      <c r="C386" s="4"/>
      <c r="D386" s="4"/>
      <c r="E386" s="4"/>
      <c r="F386" s="4"/>
      <c r="G386" s="4"/>
      <c r="H386" s="4"/>
      <c r="I386" s="4"/>
    </row>
    <row r="387" spans="2:9" ht="51.75" customHeight="1" x14ac:dyDescent="0.25">
      <c r="B387" s="4"/>
      <c r="C387" s="4"/>
      <c r="D387" s="4"/>
      <c r="E387" s="4"/>
      <c r="F387" s="4"/>
      <c r="G387" s="4"/>
      <c r="H387" s="4"/>
      <c r="I387" s="4"/>
    </row>
    <row r="388" spans="2:9" ht="51.75" customHeight="1" x14ac:dyDescent="0.25">
      <c r="B388" s="4"/>
      <c r="C388" s="4"/>
      <c r="D388" s="4"/>
      <c r="E388" s="4"/>
      <c r="F388" s="4"/>
      <c r="G388" s="4"/>
      <c r="H388" s="4"/>
      <c r="I388" s="4"/>
    </row>
    <row r="389" spans="2:9" ht="51.75" customHeight="1" x14ac:dyDescent="0.25">
      <c r="B389" s="4"/>
      <c r="C389" s="4"/>
      <c r="D389" s="4"/>
      <c r="E389" s="4"/>
      <c r="F389" s="4"/>
      <c r="G389" s="4"/>
      <c r="H389" s="4"/>
      <c r="I389" s="4"/>
    </row>
    <row r="390" spans="2:9" ht="51.75" customHeight="1" x14ac:dyDescent="0.25">
      <c r="B390" s="4"/>
      <c r="C390" s="4"/>
      <c r="D390" s="4"/>
      <c r="E390" s="4"/>
      <c r="F390" s="4"/>
      <c r="G390" s="4"/>
      <c r="H390" s="4"/>
      <c r="I390" s="4"/>
    </row>
    <row r="391" spans="2:9" ht="51.75" customHeight="1" x14ac:dyDescent="0.25">
      <c r="B391" s="4"/>
      <c r="C391" s="4"/>
      <c r="D391" s="4"/>
      <c r="E391" s="4"/>
      <c r="F391" s="4"/>
      <c r="G391" s="4"/>
      <c r="H391" s="4"/>
      <c r="I391" s="4"/>
    </row>
    <row r="392" spans="2:9" ht="51.75" customHeight="1" x14ac:dyDescent="0.25">
      <c r="B392" s="4"/>
      <c r="C392" s="4"/>
      <c r="D392" s="4"/>
      <c r="E392" s="4"/>
      <c r="F392" s="4"/>
      <c r="G392" s="4"/>
      <c r="H392" s="4"/>
      <c r="I392" s="4"/>
    </row>
    <row r="393" spans="2:9" ht="51.75" customHeight="1" x14ac:dyDescent="0.25">
      <c r="B393" s="4"/>
      <c r="C393" s="4"/>
      <c r="D393" s="4"/>
      <c r="E393" s="4"/>
      <c r="F393" s="4"/>
      <c r="G393" s="4"/>
      <c r="H393" s="4"/>
      <c r="I393" s="4"/>
    </row>
    <row r="394" spans="2:9" ht="51.75" customHeight="1" x14ac:dyDescent="0.25">
      <c r="B394" s="4"/>
      <c r="C394" s="4"/>
      <c r="D394" s="4"/>
      <c r="E394" s="4"/>
      <c r="F394" s="4"/>
      <c r="G394" s="4"/>
      <c r="H394" s="4"/>
      <c r="I394" s="4"/>
    </row>
    <row r="395" spans="2:9" ht="51.75" customHeight="1" x14ac:dyDescent="0.25">
      <c r="B395" s="4"/>
      <c r="C395" s="4"/>
      <c r="D395" s="4"/>
      <c r="E395" s="4"/>
      <c r="F395" s="4"/>
      <c r="G395" s="4"/>
      <c r="H395" s="4"/>
      <c r="I395" s="4"/>
    </row>
    <row r="396" spans="2:9" ht="51.75" customHeight="1" x14ac:dyDescent="0.25">
      <c r="B396" s="4"/>
      <c r="C396" s="4"/>
      <c r="D396" s="4"/>
      <c r="E396" s="4"/>
      <c r="F396" s="4"/>
      <c r="G396" s="4"/>
      <c r="H396" s="4"/>
      <c r="I396" s="4"/>
    </row>
    <row r="397" spans="2:9" ht="51.75" customHeight="1" x14ac:dyDescent="0.25">
      <c r="B397" s="4"/>
      <c r="C397" s="4"/>
      <c r="D397" s="4"/>
      <c r="E397" s="4"/>
      <c r="F397" s="4"/>
      <c r="G397" s="4"/>
      <c r="H397" s="4"/>
      <c r="I397" s="4"/>
    </row>
    <row r="398" spans="2:9" ht="51.75" customHeight="1" x14ac:dyDescent="0.25">
      <c r="B398" s="4"/>
      <c r="C398" s="4"/>
      <c r="D398" s="4"/>
      <c r="E398" s="4"/>
      <c r="F398" s="4"/>
      <c r="G398" s="4"/>
      <c r="H398" s="4"/>
      <c r="I398" s="4"/>
    </row>
    <row r="399" spans="2:9" ht="51.75" customHeight="1" x14ac:dyDescent="0.25">
      <c r="B399" s="4"/>
      <c r="C399" s="4"/>
      <c r="D399" s="4"/>
      <c r="E399" s="4"/>
      <c r="F399" s="4"/>
      <c r="G399" s="4"/>
      <c r="H399" s="4"/>
      <c r="I399" s="4"/>
    </row>
    <row r="400" spans="2:9" ht="51.75" customHeight="1" x14ac:dyDescent="0.25">
      <c r="B400" s="4"/>
      <c r="C400" s="4"/>
      <c r="D400" s="4"/>
      <c r="E400" s="4"/>
      <c r="F400" s="4"/>
      <c r="G400" s="4"/>
      <c r="H400" s="4"/>
      <c r="I400" s="4"/>
    </row>
    <row r="401" spans="2:9" ht="51.75" customHeight="1" x14ac:dyDescent="0.25">
      <c r="B401" s="4"/>
      <c r="C401" s="4"/>
      <c r="D401" s="4"/>
      <c r="E401" s="4"/>
      <c r="F401" s="4"/>
      <c r="G401" s="4"/>
      <c r="H401" s="4"/>
      <c r="I401" s="4"/>
    </row>
    <row r="402" spans="2:9" ht="51.75" customHeight="1" x14ac:dyDescent="0.25">
      <c r="B402" s="4"/>
      <c r="C402" s="4"/>
      <c r="D402" s="4"/>
      <c r="E402" s="4"/>
      <c r="F402" s="4"/>
      <c r="G402" s="4"/>
      <c r="H402" s="4"/>
      <c r="I402" s="4"/>
    </row>
    <row r="403" spans="2:9" ht="51.75" customHeight="1" x14ac:dyDescent="0.25">
      <c r="B403" s="4"/>
      <c r="C403" s="4"/>
      <c r="D403" s="4"/>
      <c r="E403" s="4"/>
      <c r="F403" s="4"/>
      <c r="G403" s="4"/>
      <c r="H403" s="4"/>
      <c r="I403" s="4"/>
    </row>
    <row r="404" spans="2:9" ht="51.75" customHeight="1" x14ac:dyDescent="0.25">
      <c r="B404" s="4"/>
      <c r="C404" s="4"/>
      <c r="D404" s="4"/>
      <c r="E404" s="4"/>
      <c r="F404" s="4"/>
      <c r="G404" s="4"/>
      <c r="H404" s="4"/>
      <c r="I404" s="4"/>
    </row>
    <row r="405" spans="2:9" ht="51.75" customHeight="1" x14ac:dyDescent="0.25">
      <c r="B405" s="4"/>
      <c r="C405" s="4"/>
      <c r="D405" s="4"/>
      <c r="E405" s="4"/>
      <c r="F405" s="4"/>
      <c r="G405" s="4"/>
      <c r="H405" s="4"/>
      <c r="I405" s="4"/>
    </row>
    <row r="406" spans="2:9" ht="51.75" customHeight="1" x14ac:dyDescent="0.25">
      <c r="B406" s="4"/>
      <c r="C406" s="4"/>
      <c r="D406" s="4"/>
      <c r="E406" s="4"/>
      <c r="F406" s="4"/>
      <c r="G406" s="4"/>
      <c r="H406" s="4"/>
      <c r="I406" s="4"/>
    </row>
    <row r="407" spans="2:9" ht="51.75" customHeight="1" x14ac:dyDescent="0.25">
      <c r="B407" s="4"/>
      <c r="C407" s="4"/>
      <c r="D407" s="4"/>
      <c r="E407" s="4"/>
      <c r="F407" s="4"/>
      <c r="G407" s="4"/>
      <c r="H407" s="4"/>
      <c r="I407" s="4"/>
    </row>
    <row r="408" spans="2:9" ht="51.75" customHeight="1" x14ac:dyDescent="0.25">
      <c r="B408" s="4"/>
      <c r="C408" s="4"/>
      <c r="D408" s="4"/>
      <c r="E408" s="4"/>
      <c r="F408" s="4"/>
      <c r="G408" s="4"/>
      <c r="H408" s="4"/>
      <c r="I408" s="4"/>
    </row>
    <row r="409" spans="2:9" ht="51.75" customHeight="1" x14ac:dyDescent="0.25">
      <c r="B409" s="4"/>
      <c r="C409" s="4"/>
      <c r="D409" s="4"/>
      <c r="E409" s="4"/>
      <c r="F409" s="4"/>
      <c r="G409" s="4"/>
      <c r="H409" s="4"/>
      <c r="I409" s="4"/>
    </row>
    <row r="410" spans="2:9" ht="51.75" customHeight="1" x14ac:dyDescent="0.25">
      <c r="B410" s="4"/>
      <c r="C410" s="4"/>
      <c r="D410" s="4"/>
      <c r="E410" s="4"/>
      <c r="F410" s="4"/>
      <c r="G410" s="4"/>
      <c r="H410" s="4"/>
      <c r="I410" s="4"/>
    </row>
    <row r="411" spans="2:9" ht="51.75" customHeight="1" x14ac:dyDescent="0.25">
      <c r="B411" s="4"/>
      <c r="C411" s="4"/>
      <c r="D411" s="4"/>
      <c r="E411" s="4"/>
      <c r="F411" s="4"/>
      <c r="G411" s="4"/>
      <c r="H411" s="4"/>
      <c r="I411" s="4"/>
    </row>
    <row r="412" spans="2:9" ht="51.75" customHeight="1" x14ac:dyDescent="0.25">
      <c r="B412" s="4"/>
      <c r="C412" s="4"/>
      <c r="D412" s="4"/>
      <c r="E412" s="4"/>
      <c r="F412" s="4"/>
      <c r="G412" s="4"/>
      <c r="H412" s="4"/>
      <c r="I412" s="4"/>
    </row>
    <row r="413" spans="2:9" ht="51.75" customHeight="1" x14ac:dyDescent="0.25">
      <c r="B413" s="4"/>
      <c r="C413" s="4"/>
      <c r="D413" s="4"/>
      <c r="E413" s="4"/>
      <c r="F413" s="4"/>
      <c r="G413" s="4"/>
      <c r="H413" s="4"/>
      <c r="I413" s="4"/>
    </row>
    <row r="414" spans="2:9" ht="51.75" customHeight="1" x14ac:dyDescent="0.25">
      <c r="B414" s="4"/>
      <c r="C414" s="4"/>
      <c r="D414" s="4"/>
      <c r="E414" s="4"/>
      <c r="F414" s="4"/>
      <c r="G414" s="4"/>
      <c r="H414" s="4"/>
      <c r="I414" s="4"/>
    </row>
    <row r="415" spans="2:9" ht="51.75" customHeight="1" x14ac:dyDescent="0.25">
      <c r="B415" s="4"/>
      <c r="C415" s="4"/>
      <c r="D415" s="4"/>
      <c r="E415" s="4"/>
      <c r="F415" s="4"/>
      <c r="G415" s="4"/>
      <c r="H415" s="4"/>
      <c r="I415" s="4"/>
    </row>
    <row r="416" spans="2:9" ht="51.75" customHeight="1" x14ac:dyDescent="0.25">
      <c r="B416" s="4"/>
      <c r="C416" s="4"/>
      <c r="D416" s="4"/>
      <c r="E416" s="4"/>
      <c r="F416" s="4"/>
      <c r="G416" s="4"/>
      <c r="H416" s="4"/>
      <c r="I416" s="4"/>
    </row>
    <row r="417" spans="2:9" ht="51.75" customHeight="1" x14ac:dyDescent="0.25">
      <c r="B417" s="4"/>
      <c r="C417" s="4"/>
      <c r="D417" s="4"/>
      <c r="E417" s="4"/>
      <c r="F417" s="4"/>
      <c r="G417" s="4"/>
      <c r="H417" s="4"/>
      <c r="I417" s="4"/>
    </row>
    <row r="418" spans="2:9" ht="51.75" customHeight="1" x14ac:dyDescent="0.25">
      <c r="B418" s="4"/>
      <c r="C418" s="4"/>
      <c r="D418" s="4"/>
      <c r="E418" s="4"/>
      <c r="F418" s="4"/>
      <c r="G418" s="4"/>
      <c r="H418" s="4"/>
      <c r="I418" s="4"/>
    </row>
    <row r="419" spans="2:9" ht="51.75" customHeight="1" x14ac:dyDescent="0.25">
      <c r="B419" s="4"/>
      <c r="C419" s="4"/>
      <c r="D419" s="4"/>
      <c r="E419" s="4"/>
      <c r="F419" s="4"/>
      <c r="G419" s="4"/>
      <c r="H419" s="4"/>
      <c r="I419" s="4"/>
    </row>
    <row r="420" spans="2:9" ht="51.75" customHeight="1" x14ac:dyDescent="0.25">
      <c r="B420" s="4"/>
      <c r="C420" s="4"/>
      <c r="D420" s="4"/>
      <c r="E420" s="4"/>
      <c r="F420" s="4"/>
      <c r="G420" s="4"/>
      <c r="H420" s="4"/>
      <c r="I420" s="4"/>
    </row>
    <row r="421" spans="2:9" ht="51.75" customHeight="1" x14ac:dyDescent="0.25">
      <c r="B421" s="4"/>
      <c r="C421" s="4"/>
      <c r="D421" s="4"/>
      <c r="E421" s="4"/>
      <c r="F421" s="4"/>
      <c r="G421" s="4"/>
      <c r="H421" s="4"/>
      <c r="I421" s="4"/>
    </row>
    <row r="422" spans="2:9" ht="51.75" customHeight="1" x14ac:dyDescent="0.25">
      <c r="B422" s="4"/>
      <c r="C422" s="4"/>
      <c r="D422" s="4"/>
      <c r="E422" s="4"/>
      <c r="F422" s="4"/>
      <c r="G422" s="4"/>
      <c r="H422" s="4"/>
      <c r="I422" s="4"/>
    </row>
    <row r="423" spans="2:9" ht="51.75" customHeight="1" x14ac:dyDescent="0.25">
      <c r="B423" s="4"/>
      <c r="C423" s="4"/>
      <c r="D423" s="4"/>
      <c r="E423" s="4"/>
      <c r="F423" s="4"/>
      <c r="G423" s="4"/>
      <c r="H423" s="4"/>
      <c r="I423" s="4"/>
    </row>
    <row r="424" spans="2:9" ht="51.75" customHeight="1" x14ac:dyDescent="0.25">
      <c r="B424" s="4"/>
      <c r="C424" s="4"/>
      <c r="D424" s="4"/>
      <c r="E424" s="4"/>
      <c r="F424" s="4"/>
      <c r="G424" s="4"/>
      <c r="H424" s="4"/>
      <c r="I424" s="4"/>
    </row>
    <row r="425" spans="2:9" ht="51.75" customHeight="1" x14ac:dyDescent="0.25">
      <c r="B425" s="4"/>
      <c r="C425" s="4"/>
      <c r="D425" s="4"/>
      <c r="E425" s="4"/>
      <c r="F425" s="4"/>
      <c r="G425" s="4"/>
      <c r="H425" s="4"/>
      <c r="I425" s="4"/>
    </row>
    <row r="426" spans="2:9" ht="51.75" customHeight="1" x14ac:dyDescent="0.25">
      <c r="B426" s="4"/>
      <c r="C426" s="4"/>
      <c r="D426" s="4"/>
      <c r="E426" s="4"/>
      <c r="F426" s="4"/>
      <c r="G426" s="4"/>
      <c r="H426" s="4"/>
      <c r="I426" s="4"/>
    </row>
    <row r="427" spans="2:9" ht="51.75" customHeight="1" x14ac:dyDescent="0.25">
      <c r="B427" s="4"/>
      <c r="C427" s="4"/>
      <c r="D427" s="4"/>
      <c r="E427" s="4"/>
      <c r="F427" s="4"/>
      <c r="G427" s="4"/>
      <c r="H427" s="4"/>
      <c r="I427" s="4"/>
    </row>
    <row r="428" spans="2:9" ht="51.75" customHeight="1" x14ac:dyDescent="0.25">
      <c r="B428" s="4"/>
      <c r="C428" s="4"/>
      <c r="D428" s="4"/>
      <c r="E428" s="4"/>
      <c r="F428" s="4"/>
      <c r="G428" s="4"/>
      <c r="H428" s="4"/>
      <c r="I428" s="4"/>
    </row>
    <row r="429" spans="2:9" ht="51.75" customHeight="1" x14ac:dyDescent="0.25">
      <c r="B429" s="4"/>
      <c r="C429" s="4"/>
      <c r="D429" s="4"/>
      <c r="E429" s="4"/>
      <c r="F429" s="4"/>
      <c r="G429" s="4"/>
      <c r="H429" s="4"/>
      <c r="I429" s="4"/>
    </row>
    <row r="430" spans="2:9" ht="51.75" customHeight="1" x14ac:dyDescent="0.25">
      <c r="B430" s="4"/>
      <c r="C430" s="4"/>
      <c r="D430" s="4"/>
      <c r="E430" s="4"/>
      <c r="F430" s="4"/>
      <c r="G430" s="4"/>
      <c r="H430" s="4"/>
      <c r="I430" s="4"/>
    </row>
    <row r="431" spans="2:9" ht="51.75" customHeight="1" x14ac:dyDescent="0.25">
      <c r="B431" s="4"/>
      <c r="C431" s="4"/>
      <c r="D431" s="4"/>
      <c r="E431" s="4"/>
      <c r="F431" s="4"/>
      <c r="G431" s="4"/>
      <c r="H431" s="4"/>
      <c r="I431" s="4"/>
    </row>
    <row r="432" spans="2:9" ht="51.75" customHeight="1" x14ac:dyDescent="0.25">
      <c r="B432" s="4"/>
      <c r="C432" s="4"/>
      <c r="D432" s="4"/>
      <c r="E432" s="4"/>
      <c r="F432" s="4"/>
      <c r="G432" s="4"/>
      <c r="H432" s="4"/>
      <c r="I432" s="4"/>
    </row>
    <row r="433" spans="2:9" ht="51.75" customHeight="1" x14ac:dyDescent="0.25">
      <c r="B433" s="4"/>
      <c r="C433" s="4"/>
      <c r="D433" s="4"/>
      <c r="E433" s="4"/>
      <c r="F433" s="4"/>
      <c r="G433" s="4"/>
      <c r="H433" s="4"/>
      <c r="I433" s="4"/>
    </row>
    <row r="434" spans="2:9" ht="51.75" customHeight="1" x14ac:dyDescent="0.25">
      <c r="B434" s="4"/>
      <c r="C434" s="4"/>
      <c r="D434" s="4"/>
      <c r="E434" s="4"/>
      <c r="F434" s="4"/>
      <c r="G434" s="4"/>
      <c r="H434" s="4"/>
      <c r="I434" s="4"/>
    </row>
    <row r="435" spans="2:9" ht="51.75" customHeight="1" x14ac:dyDescent="0.25">
      <c r="B435" s="4"/>
      <c r="C435" s="4"/>
      <c r="D435" s="4"/>
      <c r="E435" s="4"/>
      <c r="F435" s="4"/>
      <c r="G435" s="4"/>
      <c r="H435" s="4"/>
      <c r="I435" s="4"/>
    </row>
    <row r="436" spans="2:9" ht="51.75" customHeight="1" x14ac:dyDescent="0.25">
      <c r="B436" s="4"/>
      <c r="C436" s="4"/>
      <c r="D436" s="4"/>
      <c r="E436" s="4"/>
      <c r="F436" s="4"/>
      <c r="G436" s="4"/>
      <c r="H436" s="4"/>
      <c r="I436" s="4"/>
    </row>
    <row r="437" spans="2:9" ht="51.75" customHeight="1" x14ac:dyDescent="0.25">
      <c r="B437" s="4"/>
      <c r="C437" s="4"/>
      <c r="D437" s="4"/>
      <c r="E437" s="4"/>
      <c r="F437" s="4"/>
      <c r="G437" s="4"/>
      <c r="H437" s="4"/>
      <c r="I437" s="4"/>
    </row>
    <row r="438" spans="2:9" ht="51.75" customHeight="1" x14ac:dyDescent="0.25">
      <c r="B438" s="4"/>
      <c r="C438" s="4"/>
      <c r="D438" s="4"/>
      <c r="E438" s="4"/>
      <c r="F438" s="4"/>
      <c r="G438" s="4"/>
      <c r="H438" s="4"/>
      <c r="I438" s="4"/>
    </row>
    <row r="439" spans="2:9" ht="51.75" customHeight="1" x14ac:dyDescent="0.25">
      <c r="B439" s="4"/>
      <c r="C439" s="4"/>
      <c r="D439" s="4"/>
      <c r="E439" s="4"/>
      <c r="F439" s="4"/>
      <c r="G439" s="4"/>
      <c r="H439" s="4"/>
      <c r="I439" s="4"/>
    </row>
    <row r="440" spans="2:9" ht="51.75" customHeight="1" x14ac:dyDescent="0.25">
      <c r="B440" s="4"/>
      <c r="C440" s="4"/>
      <c r="D440" s="4"/>
      <c r="E440" s="4"/>
      <c r="F440" s="4"/>
      <c r="G440" s="4"/>
      <c r="H440" s="4"/>
      <c r="I440" s="4"/>
    </row>
    <row r="441" spans="2:9" ht="51.75" customHeight="1" x14ac:dyDescent="0.25">
      <c r="B441" s="4"/>
      <c r="C441" s="4"/>
      <c r="D441" s="4"/>
      <c r="E441" s="4"/>
      <c r="F441" s="4"/>
      <c r="G441" s="4"/>
      <c r="H441" s="4"/>
      <c r="I441" s="4"/>
    </row>
    <row r="442" spans="2:9" ht="51.75" customHeight="1" x14ac:dyDescent="0.25">
      <c r="B442" s="4"/>
      <c r="C442" s="4"/>
      <c r="D442" s="4"/>
      <c r="E442" s="4"/>
      <c r="F442" s="4"/>
      <c r="G442" s="4"/>
      <c r="H442" s="4"/>
      <c r="I442" s="4"/>
    </row>
    <row r="443" spans="2:9" ht="51.75" customHeight="1" x14ac:dyDescent="0.25">
      <c r="B443" s="4"/>
      <c r="C443" s="4"/>
      <c r="D443" s="4"/>
      <c r="E443" s="4"/>
      <c r="F443" s="4"/>
      <c r="G443" s="4"/>
      <c r="H443" s="4"/>
      <c r="I443" s="4"/>
    </row>
    <row r="444" spans="2:9" ht="51.75" customHeight="1" x14ac:dyDescent="0.25">
      <c r="B444" s="4"/>
      <c r="C444" s="4"/>
      <c r="D444" s="4"/>
      <c r="E444" s="4"/>
      <c r="F444" s="4"/>
      <c r="G444" s="4"/>
      <c r="H444" s="4"/>
      <c r="I444" s="4"/>
    </row>
    <row r="445" spans="2:9" ht="51.75" customHeight="1" x14ac:dyDescent="0.25">
      <c r="B445" s="4"/>
      <c r="C445" s="4"/>
      <c r="D445" s="4"/>
      <c r="E445" s="4"/>
      <c r="F445" s="4"/>
      <c r="G445" s="4"/>
      <c r="H445" s="4"/>
      <c r="I445" s="4"/>
    </row>
    <row r="446" spans="2:9" ht="51.75" customHeight="1" x14ac:dyDescent="0.25">
      <c r="B446" s="4"/>
      <c r="C446" s="4"/>
      <c r="D446" s="4"/>
      <c r="E446" s="4"/>
      <c r="F446" s="4"/>
      <c r="G446" s="4"/>
      <c r="H446" s="4"/>
      <c r="I446" s="4"/>
    </row>
    <row r="447" spans="2:9" ht="51.75" customHeight="1" x14ac:dyDescent="0.25">
      <c r="B447" s="4"/>
      <c r="C447" s="4"/>
      <c r="D447" s="4"/>
      <c r="E447" s="4"/>
      <c r="F447" s="4"/>
      <c r="G447" s="4"/>
      <c r="H447" s="4"/>
      <c r="I447" s="4"/>
    </row>
    <row r="448" spans="2:9" ht="51.75" customHeight="1" x14ac:dyDescent="0.25">
      <c r="B448" s="4"/>
      <c r="C448" s="4"/>
      <c r="D448" s="4"/>
      <c r="E448" s="4"/>
      <c r="F448" s="4"/>
      <c r="G448" s="4"/>
      <c r="H448" s="4"/>
      <c r="I448" s="4"/>
    </row>
    <row r="449" spans="2:9" ht="51.75" customHeight="1" x14ac:dyDescent="0.25">
      <c r="B449" s="4"/>
      <c r="C449" s="4"/>
      <c r="D449" s="4"/>
      <c r="E449" s="4"/>
      <c r="F449" s="4"/>
      <c r="G449" s="4"/>
      <c r="H449" s="4"/>
      <c r="I449" s="4"/>
    </row>
    <row r="450" spans="2:9" ht="51.75" customHeight="1" x14ac:dyDescent="0.25">
      <c r="B450" s="4"/>
      <c r="C450" s="4"/>
      <c r="D450" s="4"/>
      <c r="E450" s="4"/>
      <c r="F450" s="4"/>
      <c r="G450" s="4"/>
      <c r="H450" s="4"/>
      <c r="I450" s="4"/>
    </row>
    <row r="451" spans="2:9" ht="51.75" customHeight="1" x14ac:dyDescent="0.25">
      <c r="B451" s="4"/>
      <c r="C451" s="4"/>
      <c r="D451" s="4"/>
      <c r="E451" s="4"/>
      <c r="F451" s="4"/>
      <c r="G451" s="4"/>
      <c r="H451" s="4"/>
      <c r="I451" s="4"/>
    </row>
    <row r="452" spans="2:9" ht="51.75" customHeight="1" x14ac:dyDescent="0.25">
      <c r="B452" s="4"/>
      <c r="C452" s="4"/>
      <c r="D452" s="4"/>
      <c r="E452" s="4"/>
      <c r="F452" s="4"/>
      <c r="G452" s="4"/>
      <c r="H452" s="4"/>
      <c r="I452" s="4"/>
    </row>
    <row r="453" spans="2:9" ht="51.75" customHeight="1" x14ac:dyDescent="0.25">
      <c r="B453" s="4"/>
      <c r="C453" s="4"/>
      <c r="D453" s="4"/>
      <c r="E453" s="4"/>
      <c r="F453" s="4"/>
      <c r="G453" s="4"/>
      <c r="H453" s="4"/>
      <c r="I453" s="4"/>
    </row>
    <row r="454" spans="2:9" ht="51.75" customHeight="1" x14ac:dyDescent="0.25">
      <c r="B454" s="4"/>
      <c r="C454" s="4"/>
      <c r="D454" s="4"/>
      <c r="E454" s="4"/>
      <c r="F454" s="4"/>
      <c r="G454" s="4"/>
      <c r="H454" s="4"/>
      <c r="I454" s="4"/>
    </row>
    <row r="455" spans="2:9" ht="51.75" customHeight="1" x14ac:dyDescent="0.25">
      <c r="B455" s="4"/>
      <c r="C455" s="4"/>
      <c r="D455" s="4"/>
      <c r="E455" s="4"/>
      <c r="F455" s="4"/>
      <c r="G455" s="4"/>
      <c r="H455" s="4"/>
      <c r="I455" s="4"/>
    </row>
    <row r="456" spans="2:9" ht="51.75" customHeight="1" x14ac:dyDescent="0.25">
      <c r="B456" s="4"/>
      <c r="C456" s="4"/>
      <c r="D456" s="4"/>
      <c r="E456" s="4"/>
      <c r="F456" s="4"/>
      <c r="G456" s="4"/>
      <c r="H456" s="4"/>
      <c r="I456" s="4"/>
    </row>
    <row r="457" spans="2:9" ht="51.75" customHeight="1" x14ac:dyDescent="0.25">
      <c r="B457" s="4"/>
      <c r="C457" s="4"/>
      <c r="D457" s="4"/>
      <c r="E457" s="4"/>
      <c r="F457" s="4"/>
      <c r="G457" s="4"/>
      <c r="H457" s="4"/>
      <c r="I457" s="4"/>
    </row>
    <row r="458" spans="2:9" ht="51.75" customHeight="1" x14ac:dyDescent="0.25">
      <c r="B458" s="4"/>
      <c r="C458" s="4"/>
      <c r="D458" s="4"/>
      <c r="E458" s="4"/>
      <c r="F458" s="4"/>
      <c r="G458" s="4"/>
      <c r="H458" s="4"/>
      <c r="I458" s="4"/>
    </row>
    <row r="459" spans="2:9" ht="51.75" customHeight="1" x14ac:dyDescent="0.25">
      <c r="B459" s="4"/>
      <c r="C459" s="4"/>
      <c r="D459" s="4"/>
      <c r="E459" s="4"/>
      <c r="F459" s="4"/>
      <c r="G459" s="4"/>
      <c r="H459" s="4"/>
      <c r="I459" s="4"/>
    </row>
    <row r="460" spans="2:9" ht="51.75" customHeight="1" x14ac:dyDescent="0.25">
      <c r="B460" s="4"/>
      <c r="C460" s="4"/>
      <c r="D460" s="4"/>
      <c r="E460" s="4"/>
      <c r="F460" s="4"/>
      <c r="G460" s="4"/>
      <c r="H460" s="4"/>
      <c r="I460" s="4"/>
    </row>
    <row r="461" spans="2:9" ht="51.75" customHeight="1" x14ac:dyDescent="0.25">
      <c r="B461" s="4"/>
      <c r="C461" s="4"/>
      <c r="D461" s="4"/>
      <c r="E461" s="4"/>
      <c r="F461" s="4"/>
      <c r="G461" s="4"/>
      <c r="H461" s="4"/>
      <c r="I461" s="4"/>
    </row>
    <row r="462" spans="2:9" ht="51.75" customHeight="1" x14ac:dyDescent="0.25">
      <c r="B462" s="4"/>
      <c r="C462" s="4"/>
      <c r="D462" s="4"/>
      <c r="E462" s="4"/>
      <c r="F462" s="4"/>
      <c r="G462" s="4"/>
      <c r="H462" s="4"/>
      <c r="I462" s="4"/>
    </row>
    <row r="463" spans="2:9" ht="51.75" customHeight="1" x14ac:dyDescent="0.25">
      <c r="B463" s="4"/>
      <c r="C463" s="4"/>
      <c r="D463" s="4"/>
      <c r="E463" s="4"/>
      <c r="F463" s="4"/>
      <c r="G463" s="4"/>
      <c r="H463" s="4"/>
      <c r="I463" s="4"/>
    </row>
    <row r="464" spans="2:9" ht="51.75" customHeight="1" x14ac:dyDescent="0.25">
      <c r="B464" s="4"/>
      <c r="C464" s="4"/>
      <c r="D464" s="4"/>
      <c r="E464" s="4"/>
      <c r="F464" s="4"/>
      <c r="G464" s="4"/>
      <c r="H464" s="4"/>
      <c r="I464" s="4"/>
    </row>
    <row r="465" spans="2:9" ht="51.75" customHeight="1" x14ac:dyDescent="0.25">
      <c r="B465" s="4"/>
      <c r="C465" s="4"/>
      <c r="D465" s="4"/>
      <c r="E465" s="4"/>
      <c r="F465" s="4"/>
      <c r="G465" s="4"/>
      <c r="H465" s="4"/>
      <c r="I465" s="4"/>
    </row>
    <row r="466" spans="2:9" ht="51.75" customHeight="1" x14ac:dyDescent="0.25">
      <c r="B466" s="4"/>
      <c r="C466" s="4"/>
      <c r="D466" s="4"/>
      <c r="E466" s="4"/>
      <c r="F466" s="4"/>
      <c r="G466" s="4"/>
      <c r="H466" s="4"/>
      <c r="I466" s="4"/>
    </row>
    <row r="467" spans="2:9" ht="51.75" customHeight="1" x14ac:dyDescent="0.25">
      <c r="B467" s="4"/>
      <c r="C467" s="4"/>
      <c r="D467" s="4"/>
      <c r="E467" s="4"/>
      <c r="F467" s="4"/>
      <c r="G467" s="4"/>
      <c r="H467" s="4"/>
      <c r="I467" s="4"/>
    </row>
    <row r="468" spans="2:9" ht="51.75" customHeight="1" x14ac:dyDescent="0.25">
      <c r="B468" s="4"/>
      <c r="C468" s="4"/>
      <c r="D468" s="4"/>
      <c r="E468" s="4"/>
      <c r="F468" s="4"/>
      <c r="G468" s="4"/>
      <c r="H468" s="4"/>
      <c r="I468" s="4"/>
    </row>
    <row r="469" spans="2:9" ht="51.75" customHeight="1" x14ac:dyDescent="0.25">
      <c r="B469" s="4"/>
      <c r="C469" s="4"/>
      <c r="D469" s="4"/>
      <c r="E469" s="4"/>
      <c r="F469" s="4"/>
      <c r="G469" s="4"/>
      <c r="H469" s="4"/>
      <c r="I469" s="4"/>
    </row>
    <row r="470" spans="2:9" ht="51.75" customHeight="1" x14ac:dyDescent="0.25">
      <c r="B470" s="4"/>
      <c r="C470" s="4"/>
      <c r="D470" s="4"/>
      <c r="E470" s="4"/>
      <c r="F470" s="4"/>
      <c r="G470" s="4"/>
      <c r="H470" s="4"/>
      <c r="I470" s="4"/>
    </row>
    <row r="471" spans="2:9" ht="51.75" customHeight="1" x14ac:dyDescent="0.25">
      <c r="B471" s="4"/>
      <c r="C471" s="4"/>
      <c r="D471" s="4"/>
      <c r="E471" s="4"/>
      <c r="F471" s="4"/>
      <c r="G471" s="4"/>
      <c r="H471" s="4"/>
      <c r="I471" s="4"/>
    </row>
    <row r="472" spans="2:9" ht="51.75" customHeight="1" x14ac:dyDescent="0.25">
      <c r="B472" s="4"/>
      <c r="C472" s="4"/>
      <c r="D472" s="4"/>
      <c r="E472" s="4"/>
      <c r="F472" s="4"/>
      <c r="G472" s="4"/>
      <c r="H472" s="4"/>
      <c r="I472" s="4"/>
    </row>
    <row r="473" spans="2:9" ht="51.75" customHeight="1" x14ac:dyDescent="0.25">
      <c r="B473" s="4"/>
      <c r="C473" s="4"/>
      <c r="D473" s="4"/>
      <c r="E473" s="4"/>
      <c r="F473" s="4"/>
      <c r="G473" s="4"/>
      <c r="H473" s="4"/>
      <c r="I473" s="4"/>
    </row>
    <row r="474" spans="2:9" ht="51.75" customHeight="1" x14ac:dyDescent="0.25">
      <c r="B474" s="4"/>
      <c r="C474" s="4"/>
      <c r="D474" s="4"/>
      <c r="E474" s="4"/>
      <c r="F474" s="4"/>
      <c r="G474" s="4"/>
      <c r="H474" s="4"/>
      <c r="I474" s="4"/>
    </row>
    <row r="475" spans="2:9" ht="51.75" customHeight="1" x14ac:dyDescent="0.25">
      <c r="B475" s="4"/>
      <c r="C475" s="4"/>
      <c r="D475" s="4"/>
      <c r="E475" s="4"/>
      <c r="F475" s="4"/>
      <c r="G475" s="4"/>
      <c r="H475" s="4"/>
      <c r="I475" s="4"/>
    </row>
    <row r="476" spans="2:9" ht="51.75" customHeight="1" x14ac:dyDescent="0.25">
      <c r="B476" s="4"/>
      <c r="C476" s="4"/>
      <c r="D476" s="4"/>
      <c r="E476" s="4"/>
      <c r="F476" s="4"/>
      <c r="G476" s="4"/>
      <c r="H476" s="4"/>
      <c r="I476" s="4"/>
    </row>
    <row r="477" spans="2:9" ht="51.75" customHeight="1" x14ac:dyDescent="0.25">
      <c r="B477" s="4"/>
      <c r="C477" s="4"/>
      <c r="D477" s="4"/>
      <c r="E477" s="4"/>
      <c r="F477" s="4"/>
      <c r="G477" s="4"/>
      <c r="H477" s="4"/>
      <c r="I477" s="4"/>
    </row>
    <row r="478" spans="2:9" ht="51.75" customHeight="1" x14ac:dyDescent="0.25">
      <c r="B478" s="4"/>
      <c r="C478" s="4"/>
      <c r="D478" s="4"/>
      <c r="E478" s="4"/>
      <c r="F478" s="4"/>
      <c r="G478" s="4"/>
      <c r="H478" s="4"/>
      <c r="I478" s="4"/>
    </row>
    <row r="479" spans="2:9" ht="51.75" customHeight="1" x14ac:dyDescent="0.25">
      <c r="B479" s="4"/>
      <c r="C479" s="4"/>
      <c r="D479" s="4"/>
      <c r="E479" s="4"/>
      <c r="F479" s="4"/>
      <c r="G479" s="4"/>
      <c r="H479" s="4"/>
      <c r="I479" s="4"/>
    </row>
    <row r="480" spans="2:9" ht="51.75" customHeight="1" x14ac:dyDescent="0.25">
      <c r="B480" s="4"/>
      <c r="C480" s="4"/>
      <c r="D480" s="4"/>
      <c r="E480" s="4"/>
      <c r="F480" s="4"/>
      <c r="G480" s="4"/>
      <c r="H480" s="4"/>
      <c r="I480" s="4"/>
    </row>
    <row r="481" spans="2:9" ht="51.75" customHeight="1" x14ac:dyDescent="0.25">
      <c r="B481" s="4"/>
      <c r="C481" s="4"/>
      <c r="D481" s="4"/>
      <c r="E481" s="4"/>
      <c r="F481" s="4"/>
      <c r="G481" s="4"/>
      <c r="H481" s="4"/>
      <c r="I481" s="4"/>
    </row>
    <row r="482" spans="2:9" ht="51.75" customHeight="1" x14ac:dyDescent="0.25">
      <c r="B482" s="4"/>
      <c r="C482" s="4"/>
      <c r="D482" s="4"/>
      <c r="E482" s="4"/>
      <c r="F482" s="4"/>
      <c r="G482" s="4"/>
      <c r="H482" s="4"/>
      <c r="I482" s="4"/>
    </row>
    <row r="483" spans="2:9" ht="51.75" customHeight="1" x14ac:dyDescent="0.25">
      <c r="B483" s="4"/>
      <c r="C483" s="4"/>
      <c r="D483" s="4"/>
      <c r="E483" s="4"/>
      <c r="F483" s="4"/>
      <c r="G483" s="4"/>
      <c r="H483" s="4"/>
      <c r="I483" s="4"/>
    </row>
    <row r="484" spans="2:9" ht="51.75" customHeight="1" x14ac:dyDescent="0.25">
      <c r="B484" s="4"/>
      <c r="C484" s="4"/>
      <c r="D484" s="4"/>
      <c r="E484" s="4"/>
      <c r="F484" s="4"/>
      <c r="G484" s="4"/>
      <c r="H484" s="4"/>
      <c r="I484" s="4"/>
    </row>
    <row r="485" spans="2:9" ht="51.75" customHeight="1" x14ac:dyDescent="0.25">
      <c r="B485" s="4"/>
      <c r="C485" s="4"/>
      <c r="D485" s="4"/>
      <c r="E485" s="4"/>
      <c r="F485" s="4"/>
      <c r="G485" s="4"/>
      <c r="H485" s="4"/>
      <c r="I485" s="4"/>
    </row>
    <row r="486" spans="2:9" ht="51.75" customHeight="1" x14ac:dyDescent="0.25">
      <c r="B486" s="4"/>
      <c r="C486" s="4"/>
      <c r="D486" s="4"/>
      <c r="E486" s="4"/>
      <c r="F486" s="4"/>
      <c r="G486" s="4"/>
      <c r="H486" s="4"/>
      <c r="I486" s="4"/>
    </row>
    <row r="487" spans="2:9" ht="51.75" customHeight="1" x14ac:dyDescent="0.25">
      <c r="B487" s="4"/>
      <c r="C487" s="4"/>
      <c r="D487" s="4"/>
      <c r="E487" s="4"/>
      <c r="F487" s="4"/>
      <c r="G487" s="4"/>
      <c r="H487" s="4"/>
      <c r="I487" s="4"/>
    </row>
    <row r="488" spans="2:9" ht="51.75" customHeight="1" x14ac:dyDescent="0.25">
      <c r="B488" s="4"/>
      <c r="C488" s="4"/>
      <c r="D488" s="4"/>
      <c r="E488" s="4"/>
      <c r="F488" s="4"/>
      <c r="G488" s="4"/>
      <c r="H488" s="4"/>
      <c r="I488" s="4"/>
    </row>
    <row r="489" spans="2:9" ht="51.75" customHeight="1" x14ac:dyDescent="0.25">
      <c r="B489" s="4"/>
      <c r="C489" s="4"/>
      <c r="D489" s="4"/>
      <c r="E489" s="4"/>
      <c r="F489" s="4"/>
      <c r="G489" s="4"/>
      <c r="H489" s="4"/>
      <c r="I489" s="4"/>
    </row>
    <row r="490" spans="2:9" ht="51.75" customHeight="1" x14ac:dyDescent="0.25">
      <c r="B490" s="4"/>
      <c r="C490" s="4"/>
      <c r="D490" s="4"/>
      <c r="E490" s="4"/>
      <c r="F490" s="4"/>
      <c r="G490" s="4"/>
      <c r="H490" s="4"/>
      <c r="I490" s="4"/>
    </row>
    <row r="491" spans="2:9" ht="51.75" customHeight="1" x14ac:dyDescent="0.25">
      <c r="B491" s="4"/>
      <c r="C491" s="4"/>
      <c r="D491" s="4"/>
      <c r="E491" s="4"/>
      <c r="F491" s="4"/>
      <c r="G491" s="4"/>
      <c r="H491" s="4"/>
      <c r="I491" s="4"/>
    </row>
    <row r="492" spans="2:9" ht="51.75" customHeight="1" x14ac:dyDescent="0.25">
      <c r="B492" s="4"/>
      <c r="C492" s="4"/>
      <c r="D492" s="4"/>
      <c r="E492" s="4"/>
      <c r="F492" s="4"/>
      <c r="G492" s="4"/>
      <c r="H492" s="4"/>
      <c r="I492" s="4"/>
    </row>
  </sheetData>
  <mergeCells count="11">
    <mergeCell ref="E1:F1"/>
    <mergeCell ref="H1:I1"/>
    <mergeCell ref="B15:C15"/>
    <mergeCell ref="E15:F15"/>
    <mergeCell ref="H15:I15"/>
    <mergeCell ref="E2:F2"/>
    <mergeCell ref="H2:I2"/>
    <mergeCell ref="B2:C2"/>
    <mergeCell ref="A1:C1"/>
    <mergeCell ref="G1:G23"/>
    <mergeCell ref="D1:D23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8"/>
  <sheetViews>
    <sheetView zoomScale="80" zoomScaleNormal="80" workbookViewId="0">
      <selection activeCell="P14" sqref="P14"/>
    </sheetView>
  </sheetViews>
  <sheetFormatPr defaultRowHeight="15" x14ac:dyDescent="0.25"/>
  <cols>
    <col min="1" max="1" width="7.42578125" customWidth="1"/>
    <col min="2" max="2" width="15.5703125" customWidth="1"/>
    <col min="3" max="3" width="15.5703125" style="10" customWidth="1"/>
    <col min="4" max="4" width="16.28515625" hidden="1" customWidth="1"/>
    <col min="5" max="5" width="16.28515625" style="10" customWidth="1"/>
    <col min="6" max="6" width="16.5703125" customWidth="1"/>
    <col min="7" max="7" width="3.5703125" customWidth="1"/>
    <col min="8" max="8" width="7.42578125" bestFit="1" customWidth="1"/>
    <col min="9" max="9" width="15.140625" customWidth="1"/>
    <col min="10" max="10" width="15.140625" style="10" customWidth="1"/>
    <col min="11" max="11" width="17.28515625" hidden="1" customWidth="1"/>
    <col min="12" max="12" width="17.28515625" style="10" customWidth="1"/>
    <col min="13" max="13" width="18" customWidth="1"/>
    <col min="14" max="14" width="3.140625" customWidth="1"/>
    <col min="15" max="15" width="7.42578125" bestFit="1" customWidth="1"/>
    <col min="16" max="16" width="16" customWidth="1"/>
    <col min="17" max="17" width="16" style="10" customWidth="1"/>
    <col min="18" max="18" width="16.28515625" hidden="1" customWidth="1"/>
    <col min="19" max="19" width="16.28515625" style="10" customWidth="1"/>
    <col min="20" max="20" width="17.140625" customWidth="1"/>
  </cols>
  <sheetData>
    <row r="1" spans="1:20" ht="26.25" x14ac:dyDescent="0.25">
      <c r="A1" s="259" t="s">
        <v>120</v>
      </c>
      <c r="B1" s="260"/>
      <c r="C1" s="260"/>
      <c r="D1" s="260"/>
      <c r="E1" s="260"/>
      <c r="F1" s="260"/>
      <c r="G1" s="274"/>
      <c r="H1" s="259" t="s">
        <v>121</v>
      </c>
      <c r="I1" s="260"/>
      <c r="J1" s="260"/>
      <c r="K1" s="260"/>
      <c r="L1" s="260"/>
      <c r="M1" s="260"/>
      <c r="N1" s="274"/>
      <c r="O1" s="259" t="s">
        <v>122</v>
      </c>
      <c r="P1" s="260"/>
      <c r="Q1" s="260"/>
      <c r="R1" s="260"/>
      <c r="S1" s="260"/>
      <c r="T1" s="260"/>
    </row>
    <row r="2" spans="1:20" ht="18.75" x14ac:dyDescent="0.25">
      <c r="A2" s="272" t="s">
        <v>203</v>
      </c>
      <c r="B2" s="273"/>
      <c r="C2" s="273"/>
      <c r="D2" s="273"/>
      <c r="E2" s="273"/>
      <c r="F2" s="273"/>
      <c r="G2" s="274"/>
      <c r="H2" s="272" t="s">
        <v>203</v>
      </c>
      <c r="I2" s="273"/>
      <c r="J2" s="273"/>
      <c r="K2" s="273"/>
      <c r="L2" s="273"/>
      <c r="M2" s="273"/>
      <c r="N2" s="274"/>
      <c r="O2" s="272" t="s">
        <v>203</v>
      </c>
      <c r="P2" s="273"/>
      <c r="Q2" s="273"/>
      <c r="R2" s="273"/>
      <c r="S2" s="273"/>
      <c r="T2" s="273"/>
    </row>
    <row r="3" spans="1:20" x14ac:dyDescent="0.25">
      <c r="A3" s="20" t="s">
        <v>204</v>
      </c>
      <c r="B3" s="20" t="s">
        <v>205</v>
      </c>
      <c r="C3" s="20" t="s">
        <v>205</v>
      </c>
      <c r="D3" s="20" t="s">
        <v>206</v>
      </c>
      <c r="E3" s="20" t="s">
        <v>206</v>
      </c>
      <c r="F3" s="20" t="s">
        <v>207</v>
      </c>
      <c r="G3" s="274"/>
      <c r="H3" s="20" t="s">
        <v>204</v>
      </c>
      <c r="I3" s="20" t="s">
        <v>205</v>
      </c>
      <c r="J3" s="20" t="s">
        <v>205</v>
      </c>
      <c r="K3" s="20" t="s">
        <v>206</v>
      </c>
      <c r="L3" s="20" t="s">
        <v>206</v>
      </c>
      <c r="M3" s="20" t="s">
        <v>207</v>
      </c>
      <c r="N3" s="274"/>
      <c r="O3" s="20" t="s">
        <v>204</v>
      </c>
      <c r="P3" s="20" t="s">
        <v>205</v>
      </c>
      <c r="Q3" s="20" t="s">
        <v>205</v>
      </c>
      <c r="R3" s="20" t="s">
        <v>206</v>
      </c>
      <c r="S3" s="20" t="s">
        <v>206</v>
      </c>
      <c r="T3" s="20" t="s">
        <v>207</v>
      </c>
    </row>
    <row r="4" spans="1:20" x14ac:dyDescent="0.25">
      <c r="A4" s="149">
        <v>2</v>
      </c>
      <c r="B4" s="150">
        <f>'Alternative 1-Tilt Up'!$S3/('Column Buckling'!$C$22*'Alternative 1'!$M$4)</f>
        <v>15911811.106503833</v>
      </c>
      <c r="C4" s="150">
        <f>B4/1000000</f>
        <v>15.911811106503833</v>
      </c>
      <c r="D4" s="150">
        <f>'Alternative 1-Tilt Up'!$R3/('Alternative 1'!$B$20*(1/6*((2*'Alternative 1'!$I$4)^3-(2*'Alternative 1'!$J$4)^3))/1.67)</f>
        <v>79253.717477339553</v>
      </c>
      <c r="E4" s="150">
        <f>D4/1000000</f>
        <v>7.9253717477339558E-2</v>
      </c>
      <c r="F4" s="150">
        <f>ABS(C4)+ABS(E4)</f>
        <v>15.991064823981173</v>
      </c>
      <c r="G4" s="274"/>
      <c r="H4" s="149">
        <v>2</v>
      </c>
      <c r="I4" s="150">
        <f>'Alternative 2-Tilt Up'!$S3/('Column Buckling'!$F$22*'Alternative 1'!$M$4)</f>
        <v>15911811.106503833</v>
      </c>
      <c r="J4" s="150">
        <f>I4/1000000</f>
        <v>15.911811106503833</v>
      </c>
      <c r="K4" s="150">
        <f>'Alternative 2-Tilt Up'!$R3/('Alternative 2'!$B$20*(1/6*((2*'Alternative 2'!$I$4)^3-(2*'Alternative 2'!$J$4)^3))/1.67)</f>
        <v>79253.717477339553</v>
      </c>
      <c r="L4" s="150">
        <f>K4/1000000</f>
        <v>7.9253717477339558E-2</v>
      </c>
      <c r="M4" s="150">
        <f>ABS(J4)+ABS(L4)</f>
        <v>15.991064823981173</v>
      </c>
      <c r="N4" s="274"/>
      <c r="O4" s="149">
        <v>2</v>
      </c>
      <c r="P4" s="150">
        <f>'Alternative 3-Tilt Up'!$S3/('Column Buckling'!$I$22*'Alternative 1'!$M$4)</f>
        <v>15911811.106503833</v>
      </c>
      <c r="Q4" s="150">
        <f>P4/1000000</f>
        <v>15.911811106503833</v>
      </c>
      <c r="R4" s="150">
        <f>'Alternative 3-Tilt Up'!$R3/('Alternative 3'!$B$20*(1/6*((2*'Alternative 3'!$I$4)^3-(2*'Alternative 3'!$J$4)^3))/1.67)</f>
        <v>79253.717477339553</v>
      </c>
      <c r="S4" s="150">
        <f>R4/1000000</f>
        <v>7.9253717477339558E-2</v>
      </c>
      <c r="T4" s="150">
        <f>ABS(Q4)+ABS(S4)</f>
        <v>15.991064823981173</v>
      </c>
    </row>
    <row r="5" spans="1:20" x14ac:dyDescent="0.25">
      <c r="A5" s="149">
        <v>10</v>
      </c>
      <c r="B5" s="150">
        <f>'Alternative 1-Tilt Up'!$Y3/('Column Buckling'!$C$22*'Alternative 1'!$M$4)</f>
        <v>4062385.0870213802</v>
      </c>
      <c r="C5" s="150">
        <f t="shared" ref="C5:C13" si="0">B5/1000000</f>
        <v>4.0623850870213802</v>
      </c>
      <c r="D5" s="150">
        <f>'Alternative 1-Tilt Up'!$X3/('Alternative 1'!$B$20*(1/6*((2*'Alternative 1'!$I$4)^3-(2*'Alternative 1'!$J$4)^3))/1.67)</f>
        <v>40214.740410892766</v>
      </c>
      <c r="E5" s="150">
        <f t="shared" ref="E5:E13" si="1">D5/1000000</f>
        <v>4.0214740410892763E-2</v>
      </c>
      <c r="F5" s="150">
        <f t="shared" ref="F5:F13" si="2">ABS(C5)+ABS(E5)</f>
        <v>4.1025998274322726</v>
      </c>
      <c r="G5" s="274"/>
      <c r="H5" s="149">
        <v>10</v>
      </c>
      <c r="I5" s="150">
        <f>'Alternative 2-Tilt Up'!$Y3/('Column Buckling'!$F$22*'Alternative 1'!$M$4)</f>
        <v>4062385.0870213802</v>
      </c>
      <c r="J5" s="150">
        <f t="shared" ref="J5:J13" si="3">I5/1000000</f>
        <v>4.0623850870213802</v>
      </c>
      <c r="K5" s="150">
        <f>'Alternative 2-Tilt Up'!$X3/('Alternative 2'!$B$20*(1/6*((2*'Alternative 2'!$I$4)^3-(2*'Alternative 2'!$J$4)^3))/1.67)</f>
        <v>40214.740410892766</v>
      </c>
      <c r="L5" s="150">
        <f t="shared" ref="L5:L13" si="4">K5/1000000</f>
        <v>4.0214740410892763E-2</v>
      </c>
      <c r="M5" s="150">
        <f t="shared" ref="M5:M13" si="5">ABS(J5)+ABS(L5)</f>
        <v>4.1025998274322726</v>
      </c>
      <c r="N5" s="274"/>
      <c r="O5" s="149">
        <v>10</v>
      </c>
      <c r="P5" s="150">
        <f>'Alternative 3-Tilt Up'!$Y3/('Column Buckling'!$I$22*'Alternative 1'!$M$4)</f>
        <v>4062385.0870213802</v>
      </c>
      <c r="Q5" s="150">
        <f t="shared" ref="Q5:Q13" si="6">P5/1000000</f>
        <v>4.0623850870213802</v>
      </c>
      <c r="R5" s="150">
        <f>'Alternative 3-Tilt Up'!$X3/('Alternative 3'!$B$20*(1/6*((2*'Alternative 3'!$I$4)^3-(2*'Alternative 3'!$J$4)^3))/1.67)</f>
        <v>40214.740410892766</v>
      </c>
      <c r="S5" s="150">
        <f t="shared" ref="S5:S13" si="7">R5/1000000</f>
        <v>4.0214740410892763E-2</v>
      </c>
      <c r="T5" s="150">
        <f t="shared" ref="T5:T13" si="8">ABS(Q5)+ABS(S5)</f>
        <v>4.1025998274322726</v>
      </c>
    </row>
    <row r="6" spans="1:20" x14ac:dyDescent="0.25">
      <c r="A6" s="149">
        <v>20</v>
      </c>
      <c r="B6" s="150">
        <f>'Alternative 1-Tilt Up'!$AE3/('Column Buckling'!$C$22*'Alternative 1'!$M$4)</f>
        <v>2216937.0768711627</v>
      </c>
      <c r="C6" s="150">
        <f t="shared" si="0"/>
        <v>2.2169370768711629</v>
      </c>
      <c r="D6" s="150">
        <f>'Alternative 1-Tilt Up'!$AD3/('Alternative 1'!$B$20*(1/6*((2*'Alternative 1'!$I$4)^3-(2*'Alternative 1'!$J$4)^3))/1.67)</f>
        <v>56316.397866540588</v>
      </c>
      <c r="E6" s="150">
        <f t="shared" si="1"/>
        <v>5.6316397866540586E-2</v>
      </c>
      <c r="F6" s="150">
        <f t="shared" si="2"/>
        <v>2.2732534747377033</v>
      </c>
      <c r="G6" s="274"/>
      <c r="H6" s="149">
        <v>20</v>
      </c>
      <c r="I6" s="150">
        <f>'Alternative 2-Tilt Up'!$AE3/('Column Buckling'!$F$22*'Alternative 1'!$M$4)</f>
        <v>2216937.0768711627</v>
      </c>
      <c r="J6" s="150">
        <f t="shared" si="3"/>
        <v>2.2169370768711629</v>
      </c>
      <c r="K6" s="150">
        <f>'Alternative 2-Tilt Up'!$AD3/('Alternative 2'!$B$20*(1/6*((2*'Alternative 2'!$I$4)^3-(2*'Alternative 2'!$J$4)^3))/1.67)</f>
        <v>56316.397866540588</v>
      </c>
      <c r="L6" s="150">
        <f t="shared" si="4"/>
        <v>5.6316397866540586E-2</v>
      </c>
      <c r="M6" s="150">
        <f t="shared" si="5"/>
        <v>2.2732534747377033</v>
      </c>
      <c r="N6" s="274"/>
      <c r="O6" s="149">
        <v>20</v>
      </c>
      <c r="P6" s="150">
        <f>'Alternative 3-Tilt Up'!$AE3/('Column Buckling'!$I$22*'Alternative 1'!$M$4)</f>
        <v>2216937.0768711627</v>
      </c>
      <c r="Q6" s="150">
        <f t="shared" si="6"/>
        <v>2.2169370768711629</v>
      </c>
      <c r="R6" s="150">
        <f>'Alternative 3-Tilt Up'!$AD3/('Alternative 3'!$B$20*(1/6*((2*'Alternative 3'!$I$4)^3-(2*'Alternative 3'!$J$4)^3))/1.67)</f>
        <v>56316.397866540588</v>
      </c>
      <c r="S6" s="150">
        <f t="shared" si="7"/>
        <v>5.6316397866540586E-2</v>
      </c>
      <c r="T6" s="150">
        <f t="shared" si="8"/>
        <v>2.2732534747377033</v>
      </c>
    </row>
    <row r="7" spans="1:20" x14ac:dyDescent="0.25">
      <c r="A7" s="149">
        <v>30</v>
      </c>
      <c r="B7" s="150">
        <f>'Alternative 1-Tilt Up'!$AK3/('Column Buckling'!$C$22*'Alternative 1'!$M$4)</f>
        <v>1599782.5657797253</v>
      </c>
      <c r="C7" s="150">
        <f t="shared" si="0"/>
        <v>1.5997825657797253</v>
      </c>
      <c r="D7" s="150">
        <f>'Alternative 1-Tilt Up'!$AJ3/('Alternative 1'!$B$20*(1/6*((2*'Alternative 1'!$I$4)^3-(2*'Alternative 1'!$J$4)^3))/1.67)</f>
        <v>56452.202498043509</v>
      </c>
      <c r="E7" s="150">
        <f t="shared" si="1"/>
        <v>5.6452202498043509E-2</v>
      </c>
      <c r="F7" s="150">
        <f t="shared" si="2"/>
        <v>1.6562347682777689</v>
      </c>
      <c r="G7" s="274"/>
      <c r="H7" s="149">
        <v>30</v>
      </c>
      <c r="I7" s="150">
        <f>'Alternative 2-Tilt Up'!$AK3/('Column Buckling'!$F$22*'Alternative 1'!$M$4)</f>
        <v>1599782.5657797253</v>
      </c>
      <c r="J7" s="150">
        <f t="shared" si="3"/>
        <v>1.5997825657797253</v>
      </c>
      <c r="K7" s="150">
        <f>'Alternative 2-Tilt Up'!$AJ3/('Alternative 2'!$B$20*(1/6*((2*'Alternative 2'!$I$4)^3-(2*'Alternative 2'!$J$4)^3))/1.67)</f>
        <v>56452.202498043509</v>
      </c>
      <c r="L7" s="150">
        <f t="shared" si="4"/>
        <v>5.6452202498043509E-2</v>
      </c>
      <c r="M7" s="150">
        <f t="shared" si="5"/>
        <v>1.6562347682777689</v>
      </c>
      <c r="N7" s="274"/>
      <c r="O7" s="149">
        <v>30</v>
      </c>
      <c r="P7" s="150">
        <f>'Alternative 3-Tilt Up'!$AK3/('Column Buckling'!$I$22*'Alternative 1'!$M$4)</f>
        <v>1599782.5657797253</v>
      </c>
      <c r="Q7" s="150">
        <f t="shared" si="6"/>
        <v>1.5997825657797253</v>
      </c>
      <c r="R7" s="150">
        <f>'Alternative 3-Tilt Up'!$AJ3/('Alternative 3'!$B$20*(1/6*((2*'Alternative 3'!$I$4)^3-(2*'Alternative 3'!$J$4)^3))/1.67)</f>
        <v>56452.202498043509</v>
      </c>
      <c r="S7" s="150">
        <f t="shared" si="7"/>
        <v>5.6452202498043509E-2</v>
      </c>
      <c r="T7" s="150">
        <f t="shared" si="8"/>
        <v>1.6562347682777689</v>
      </c>
    </row>
    <row r="8" spans="1:20" x14ac:dyDescent="0.25">
      <c r="A8" s="149">
        <v>40</v>
      </c>
      <c r="B8" s="150">
        <f>'Alternative 1-Tilt Up'!$AQ3/('Column Buckling'!$C$22*'Alternative 1'!$M$4)</f>
        <v>1273745.4469290585</v>
      </c>
      <c r="C8" s="150">
        <f t="shared" si="0"/>
        <v>1.2737454469290586</v>
      </c>
      <c r="D8" s="150">
        <f>'Alternative 1-Tilt Up'!$AP3/('Alternative 1'!$B$20*(1/6*((2*'Alternative 1'!$I$4)^3-(2*'Alternative 1'!$J$4)^3))/1.67)</f>
        <v>51329.028539144434</v>
      </c>
      <c r="E8" s="150">
        <f t="shared" si="1"/>
        <v>5.1329028539144436E-2</v>
      </c>
      <c r="F8" s="150">
        <f t="shared" si="2"/>
        <v>1.3250744754682029</v>
      </c>
      <c r="G8" s="274"/>
      <c r="H8" s="149">
        <v>40</v>
      </c>
      <c r="I8" s="150">
        <f>'Alternative 2-Tilt Up'!$AQ3/('Column Buckling'!$F$22*'Alternative 1'!$M$4)</f>
        <v>1273745.4469290585</v>
      </c>
      <c r="J8" s="150">
        <f t="shared" si="3"/>
        <v>1.2737454469290586</v>
      </c>
      <c r="K8" s="150">
        <f>'Alternative 2-Tilt Up'!$AP3/('Alternative 2'!$B$20*(1/6*((2*'Alternative 2'!$I$4)^3-(2*'Alternative 2'!$J$4)^3))/1.67)</f>
        <v>51329.028539144434</v>
      </c>
      <c r="L8" s="150">
        <f t="shared" si="4"/>
        <v>5.1329028539144436E-2</v>
      </c>
      <c r="M8" s="150">
        <f t="shared" si="5"/>
        <v>1.3250744754682029</v>
      </c>
      <c r="N8" s="274"/>
      <c r="O8" s="149">
        <v>40</v>
      </c>
      <c r="P8" s="150">
        <f>'Alternative 3-Tilt Up'!$AQ3/('Column Buckling'!$I$22*'Alternative 1'!$M$4)</f>
        <v>1273745.4469290585</v>
      </c>
      <c r="Q8" s="150">
        <f t="shared" si="6"/>
        <v>1.2737454469290586</v>
      </c>
      <c r="R8" s="150">
        <f>'Alternative 3-Tilt Up'!$AP3/('Alternative 3'!$B$20*(1/6*((2*'Alternative 3'!$I$4)^3-(2*'Alternative 3'!$J$4)^3))/1.67)</f>
        <v>51329.028539144434</v>
      </c>
      <c r="S8" s="150">
        <f t="shared" si="7"/>
        <v>5.1329028539144436E-2</v>
      </c>
      <c r="T8" s="150">
        <f t="shared" si="8"/>
        <v>1.3250744754682029</v>
      </c>
    </row>
    <row r="9" spans="1:20" x14ac:dyDescent="0.25">
      <c r="A9" s="149">
        <v>50</v>
      </c>
      <c r="B9" s="150">
        <f>'Alternative 1-Tilt Up'!$AW3/('Column Buckling'!$C$22*'Alternative 1'!$M$4)</f>
        <v>1068918.8001069885</v>
      </c>
      <c r="C9" s="150">
        <f t="shared" si="0"/>
        <v>1.0689188001069885</v>
      </c>
      <c r="D9" s="150">
        <f>'Alternative 1-Tilt Up'!$AV3/('Alternative 1'!$B$20*(1/6*((2*'Alternative 1'!$I$4)^3-(2*'Alternative 1'!$J$4)^3))/1.67)</f>
        <v>43117.317558974988</v>
      </c>
      <c r="E9" s="150">
        <f t="shared" si="1"/>
        <v>4.3117317558974987E-2</v>
      </c>
      <c r="F9" s="150">
        <f t="shared" si="2"/>
        <v>1.1120361176659634</v>
      </c>
      <c r="G9" s="274"/>
      <c r="H9" s="149">
        <v>50</v>
      </c>
      <c r="I9" s="150">
        <f>'Alternative 2-Tilt Up'!$AW3/('Column Buckling'!$F$22*'Alternative 1'!$M$4)</f>
        <v>1068918.8001069885</v>
      </c>
      <c r="J9" s="150">
        <f t="shared" si="3"/>
        <v>1.0689188001069885</v>
      </c>
      <c r="K9" s="150">
        <f>'Alternative 2-Tilt Up'!$AV3/('Alternative 2'!$B$20*(1/6*((2*'Alternative 2'!$I$4)^3-(2*'Alternative 2'!$J$4)^3))/1.67)</f>
        <v>43117.317558974988</v>
      </c>
      <c r="L9" s="150">
        <f t="shared" si="4"/>
        <v>4.3117317558974987E-2</v>
      </c>
      <c r="M9" s="150">
        <f t="shared" si="5"/>
        <v>1.1120361176659634</v>
      </c>
      <c r="N9" s="274"/>
      <c r="O9" s="149">
        <v>50</v>
      </c>
      <c r="P9" s="150">
        <f>'Alternative 3-Tilt Up'!$AW3/('Column Buckling'!$I$22*'Alternative 1'!$M$4)</f>
        <v>1068918.8001069885</v>
      </c>
      <c r="Q9" s="150">
        <f t="shared" si="6"/>
        <v>1.0689188001069885</v>
      </c>
      <c r="R9" s="150">
        <f>'Alternative 3-Tilt Up'!$AV3/('Alternative 3'!$B$20*(1/6*((2*'Alternative 3'!$I$4)^3-(2*'Alternative 3'!$J$4)^3))/1.67)</f>
        <v>43117.317558974988</v>
      </c>
      <c r="S9" s="150">
        <f t="shared" si="7"/>
        <v>4.3117317558974987E-2</v>
      </c>
      <c r="T9" s="150">
        <f t="shared" si="8"/>
        <v>1.1120361176659634</v>
      </c>
    </row>
    <row r="10" spans="1:20" x14ac:dyDescent="0.25">
      <c r="A10" s="149">
        <v>60</v>
      </c>
      <c r="B10" s="150">
        <f>'Alternative 1-Tilt Up'!$BC3/('Column Buckling'!$C$22*'Alternative 1'!$M$4)</f>
        <v>932266.56109800364</v>
      </c>
      <c r="C10" s="150">
        <f t="shared" si="0"/>
        <v>0.93226656109800365</v>
      </c>
      <c r="D10" s="150">
        <f>'Alternative 1-Tilt Up'!$BB3/('Alternative 1'!$B$20*(1/6*((2*'Alternative 1'!$I$4)^3-(2*'Alternative 1'!$J$4)^3))/1.67)</f>
        <v>32730.57153582789</v>
      </c>
      <c r="E10" s="150">
        <f t="shared" si="1"/>
        <v>3.2730571535827889E-2</v>
      </c>
      <c r="F10" s="150">
        <f t="shared" si="2"/>
        <v>0.96499713263383158</v>
      </c>
      <c r="G10" s="274"/>
      <c r="H10" s="149">
        <v>60</v>
      </c>
      <c r="I10" s="150">
        <f>'Alternative 2-Tilt Up'!$BC3/('Column Buckling'!$F$22*'Alternative 1'!$M$4)</f>
        <v>932266.56109800364</v>
      </c>
      <c r="J10" s="150">
        <f t="shared" si="3"/>
        <v>0.93226656109800365</v>
      </c>
      <c r="K10" s="150">
        <f>'Alternative 2-Tilt Up'!$BB3/('Alternative 2'!$B$20*(1/6*((2*'Alternative 2'!$I$4)^3-(2*'Alternative 2'!$J$4)^3))/1.67)</f>
        <v>32730.57153582789</v>
      </c>
      <c r="L10" s="150">
        <f t="shared" si="4"/>
        <v>3.2730571535827889E-2</v>
      </c>
      <c r="M10" s="150">
        <f t="shared" si="5"/>
        <v>0.96499713263383158</v>
      </c>
      <c r="N10" s="274"/>
      <c r="O10" s="149">
        <v>60</v>
      </c>
      <c r="P10" s="150">
        <f>'Alternative 3-Tilt Up'!$BB3/('Column Buckling'!$I$22*'Alternative 1'!$M$4)</f>
        <v>1087749.5991550519</v>
      </c>
      <c r="Q10" s="150">
        <f t="shared" si="6"/>
        <v>1.0877495991550519</v>
      </c>
      <c r="R10" s="150">
        <f>'Alternative 3-Tilt Up'!$BB3/('Alternative 3'!$B$20*(1/6*((2*'Alternative 3'!$I$4)^3-(2*'Alternative 3'!$J$4)^3))/1.67)</f>
        <v>32730.57153582789</v>
      </c>
      <c r="S10" s="150">
        <f t="shared" si="7"/>
        <v>3.2730571535827889E-2</v>
      </c>
      <c r="T10" s="150">
        <f t="shared" si="8"/>
        <v>1.1204801706908798</v>
      </c>
    </row>
    <row r="11" spans="1:20" x14ac:dyDescent="0.25">
      <c r="A11" s="149">
        <v>70</v>
      </c>
      <c r="B11" s="150">
        <f>'Alternative 1-Tilt Up'!$BI3/('Column Buckling'!$C$22*'Alternative 1'!$M$4)</f>
        <v>842795.09634455701</v>
      </c>
      <c r="C11" s="150">
        <f t="shared" si="0"/>
        <v>0.84279509634455696</v>
      </c>
      <c r="D11" s="150">
        <f>'Alternative 1-Tilt Up'!$BH3/('Alternative 1'!$B$20*(1/6*((2*'Alternative 1'!$I$4)^3-(2*'Alternative 1'!$J$4)^3))/1.67)</f>
        <v>20766.139986792761</v>
      </c>
      <c r="E11" s="150">
        <f t="shared" si="1"/>
        <v>2.0766139986792762E-2</v>
      </c>
      <c r="F11" s="150">
        <f t="shared" si="2"/>
        <v>0.86356123633134974</v>
      </c>
      <c r="G11" s="274"/>
      <c r="H11" s="149">
        <v>70</v>
      </c>
      <c r="I11" s="150">
        <f>'Alternative 2-Tilt Up'!$BI3/('Column Buckling'!$F$22*'Alternative 1'!$M$4)</f>
        <v>842795.09634455701</v>
      </c>
      <c r="J11" s="150">
        <f t="shared" si="3"/>
        <v>0.84279509634455696</v>
      </c>
      <c r="K11" s="150">
        <f>'Alternative 2-Tilt Up'!$BH3/('Alternative 2'!$B$20*(1/6*((2*'Alternative 2'!$I$4)^3-(2*'Alternative 2'!$J$4)^3))/1.67)</f>
        <v>20766.139986792761</v>
      </c>
      <c r="L11" s="150">
        <f t="shared" si="4"/>
        <v>2.0766139986792762E-2</v>
      </c>
      <c r="M11" s="150">
        <f t="shared" si="5"/>
        <v>0.86356123633134974</v>
      </c>
      <c r="N11" s="274"/>
      <c r="O11" s="149">
        <v>70</v>
      </c>
      <c r="P11" s="150">
        <f>'Alternative 3-Tilt Up'!$BI3/('Column Buckling'!$I$22*'Alternative 1'!$M$4)</f>
        <v>842795.09634455701</v>
      </c>
      <c r="Q11" s="150">
        <f t="shared" si="6"/>
        <v>0.84279509634455696</v>
      </c>
      <c r="R11" s="150">
        <f>'Alternative 3-Tilt Up'!$BH3/('Alternative 3'!$B$20*(1/6*((2*'Alternative 3'!$I$4)^3-(2*'Alternative 3'!$J$4)^3))/1.67)</f>
        <v>20766.139986792761</v>
      </c>
      <c r="S11" s="150">
        <f t="shared" si="7"/>
        <v>2.0766139986792762E-2</v>
      </c>
      <c r="T11" s="150">
        <f t="shared" si="8"/>
        <v>0.86356123633134974</v>
      </c>
    </row>
    <row r="12" spans="1:20" x14ac:dyDescent="0.25">
      <c r="A12" s="149">
        <v>80</v>
      </c>
      <c r="B12" s="150">
        <f>'Alternative 1-Tilt Up'!$BO3/('Column Buckling'!$C$22*'Alternative 1'!$M$4)</f>
        <v>791199.8444106722</v>
      </c>
      <c r="C12" s="150">
        <f t="shared" si="0"/>
        <v>0.79119984441067215</v>
      </c>
      <c r="D12" s="150">
        <f>'Alternative 1-Tilt Up'!$BN3/('Alternative 1'!$B$20*(1/6*((2*'Alternative 1'!$I$4)^3-(2*'Alternative 1'!$J$4)^3))/1.67)</f>
        <v>7722.2728434976025</v>
      </c>
      <c r="E12" s="150">
        <f t="shared" si="1"/>
        <v>7.7222728434976021E-3</v>
      </c>
      <c r="F12" s="150">
        <f t="shared" si="2"/>
        <v>0.79892211725416973</v>
      </c>
      <c r="G12" s="274"/>
      <c r="H12" s="149">
        <v>80</v>
      </c>
      <c r="I12" s="150">
        <f>'Alternative 2-Tilt Up'!$BO3/('Column Buckling'!$F$22*'Alternative 1'!$M$4)</f>
        <v>791199.8444106722</v>
      </c>
      <c r="J12" s="150">
        <f t="shared" si="3"/>
        <v>0.79119984441067215</v>
      </c>
      <c r="K12" s="150">
        <f>'Alternative 2-Tilt Up'!$BN3/('Alternative 2'!$B$20*(1/6*((2*'Alternative 2'!$I$4)^3-(2*'Alternative 2'!$J$4)^3))/1.67)</f>
        <v>7722.2728434976025</v>
      </c>
      <c r="L12" s="150">
        <f t="shared" si="4"/>
        <v>7.7222728434976021E-3</v>
      </c>
      <c r="M12" s="150">
        <f t="shared" si="5"/>
        <v>0.79892211725416973</v>
      </c>
      <c r="N12" s="274"/>
      <c r="O12" s="149">
        <v>80</v>
      </c>
      <c r="P12" s="150">
        <f>'Alternative 3-Tilt Up'!$BO3/('Column Buckling'!$I$22*'Alternative 1'!$M$4)</f>
        <v>791199.8444106722</v>
      </c>
      <c r="Q12" s="150">
        <f t="shared" si="6"/>
        <v>0.79119984441067215</v>
      </c>
      <c r="R12" s="150">
        <f>'Alternative 3-Tilt Up'!$BN3/('Alternative 3'!$B$20*(1/6*((2*'Alternative 3'!$I$4)^3-(2*'Alternative 3'!$J$4)^3))/1.67)</f>
        <v>7722.2728434976025</v>
      </c>
      <c r="S12" s="150">
        <f t="shared" si="7"/>
        <v>7.7222728434976021E-3</v>
      </c>
      <c r="T12" s="150">
        <f t="shared" si="8"/>
        <v>0.79892211725416973</v>
      </c>
    </row>
    <row r="13" spans="1:20" x14ac:dyDescent="0.25">
      <c r="A13" s="149">
        <v>90</v>
      </c>
      <c r="B13" s="150">
        <f>'Alternative 1-Tilt Up'!$BU3/('Column Buckling'!$C$22*'Alternative 1'!$M$4)</f>
        <v>773342.0095651946</v>
      </c>
      <c r="C13" s="150">
        <f t="shared" si="0"/>
        <v>0.77334200956519461</v>
      </c>
      <c r="D13" s="150">
        <f>'Alternative 1-Tilt Up'!$BR3/('Alternative 1'!$B$20*(1/6*((2*'Alternative 1'!$I$4)^3-(2*'Alternative 1'!$J$4)^3))/1.67)</f>
        <v>0.1187905815396942</v>
      </c>
      <c r="E13" s="150">
        <f t="shared" si="1"/>
        <v>1.187905815396942E-7</v>
      </c>
      <c r="F13" s="150">
        <f t="shared" si="2"/>
        <v>0.7733421283557762</v>
      </c>
      <c r="G13" s="274"/>
      <c r="H13" s="149">
        <v>90</v>
      </c>
      <c r="I13" s="150">
        <f>'Alternative 2-Tilt Up'!$BU3/('Column Buckling'!$F$22*'Alternative 1'!$M$4)</f>
        <v>773342.0095651946</v>
      </c>
      <c r="J13" s="150">
        <f t="shared" si="3"/>
        <v>0.77334200956519461</v>
      </c>
      <c r="K13" s="150">
        <f>'Alternative 2-Tilt Up'!$BR3/('Alternative 2'!$B$20*(1/6*((2*'Alternative 2'!$I$4)^3-(2*'Alternative 2'!$J$4)^3))/1.67)</f>
        <v>0.1187905815396942</v>
      </c>
      <c r="L13" s="150">
        <f t="shared" si="4"/>
        <v>1.187905815396942E-7</v>
      </c>
      <c r="M13" s="150">
        <f t="shared" si="5"/>
        <v>0.7733421283557762</v>
      </c>
      <c r="N13" s="274"/>
      <c r="O13" s="149">
        <v>90</v>
      </c>
      <c r="P13" s="150">
        <f>'Alternative 3-Tilt Up'!$BU3/('Column Buckling'!$I$22*'Alternative 1'!$M$4)</f>
        <v>773342.0095651946</v>
      </c>
      <c r="Q13" s="150">
        <f t="shared" si="6"/>
        <v>0.77334200956519461</v>
      </c>
      <c r="R13" s="150">
        <f>'Alternative 3-Tilt Up'!$BR3/('Alternative 3'!$B$20*(1/6*((2*'Alternative 3'!$I$4)^3-(2*'Alternative 3'!$J$4)^3))/1.67)</f>
        <v>0.1187905815396942</v>
      </c>
      <c r="S13" s="150">
        <f t="shared" si="7"/>
        <v>1.187905815396942E-7</v>
      </c>
      <c r="T13" s="150">
        <f t="shared" si="8"/>
        <v>0.7733421283557762</v>
      </c>
    </row>
    <row r="15" spans="1:20" x14ac:dyDescent="0.25">
      <c r="C15" s="271" t="s">
        <v>224</v>
      </c>
      <c r="D15" s="271"/>
      <c r="E15" s="271"/>
    </row>
    <row r="16" spans="1:20" ht="53.25" customHeight="1" x14ac:dyDescent="0.25">
      <c r="C16" s="8" t="s">
        <v>207</v>
      </c>
      <c r="D16" s="127"/>
      <c r="E16" s="183" t="s">
        <v>225</v>
      </c>
    </row>
    <row r="18" spans="4:4" x14ac:dyDescent="0.25">
      <c r="D18" s="10"/>
    </row>
  </sheetData>
  <mergeCells count="9">
    <mergeCell ref="C15:E15"/>
    <mergeCell ref="O1:T1"/>
    <mergeCell ref="A2:F2"/>
    <mergeCell ref="H2:M2"/>
    <mergeCell ref="O2:T2"/>
    <mergeCell ref="A1:F1"/>
    <mergeCell ref="G1:G13"/>
    <mergeCell ref="H1:M1"/>
    <mergeCell ref="N1:N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92"/>
  <sheetViews>
    <sheetView tabSelected="1" zoomScale="70" zoomScaleNormal="70" workbookViewId="0">
      <selection activeCell="AD13" sqref="AD13"/>
    </sheetView>
  </sheetViews>
  <sheetFormatPr defaultRowHeight="15" x14ac:dyDescent="0.25"/>
  <cols>
    <col min="1" max="1" width="8.7109375" style="187" bestFit="1" customWidth="1"/>
    <col min="2" max="2" width="20.5703125" style="187" bestFit="1" customWidth="1"/>
    <col min="3" max="3" width="21.5703125" style="187" bestFit="1" customWidth="1"/>
    <col min="4" max="9" width="22" style="187" bestFit="1" customWidth="1"/>
    <col min="10" max="10" width="18.28515625" style="187" bestFit="1" customWidth="1"/>
    <col min="11" max="11" width="13.42578125" style="187" bestFit="1" customWidth="1"/>
    <col min="12" max="12" width="16.85546875" style="187" bestFit="1" customWidth="1"/>
    <col min="13" max="13" width="2.28515625" style="276" customWidth="1"/>
    <col min="14" max="14" width="8.7109375" style="187" bestFit="1" customWidth="1"/>
    <col min="15" max="15" width="20.5703125" style="187" bestFit="1" customWidth="1"/>
    <col min="16" max="16" width="21.5703125" style="187" bestFit="1" customWidth="1"/>
    <col min="17" max="22" width="22" style="187" bestFit="1" customWidth="1"/>
    <col min="23" max="23" width="18.28515625" style="187" bestFit="1" customWidth="1"/>
    <col min="24" max="24" width="15.7109375" style="187" bestFit="1" customWidth="1"/>
    <col min="25" max="25" width="16.85546875" style="187" bestFit="1" customWidth="1"/>
    <col min="26" max="26" width="2.5703125" style="276" customWidth="1"/>
    <col min="27" max="27" width="8.7109375" style="187" bestFit="1" customWidth="1"/>
    <col min="28" max="28" width="20.5703125" style="187" bestFit="1" customWidth="1"/>
    <col min="29" max="29" width="21.5703125" style="187" bestFit="1" customWidth="1"/>
    <col min="30" max="35" width="22" style="187" bestFit="1" customWidth="1"/>
    <col min="36" max="36" width="18.28515625" style="187" bestFit="1" customWidth="1"/>
    <col min="37" max="37" width="13.42578125" style="187" bestFit="1" customWidth="1"/>
    <col min="38" max="38" width="16.85546875" style="187" bestFit="1" customWidth="1"/>
    <col min="39" max="16384" width="9.140625" style="185"/>
  </cols>
  <sheetData>
    <row r="1" spans="1:38" ht="26.25" x14ac:dyDescent="0.25">
      <c r="A1" s="275" t="s">
        <v>120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84"/>
      <c r="N1" s="275" t="s">
        <v>121</v>
      </c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184"/>
      <c r="AA1" s="275" t="s">
        <v>122</v>
      </c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38" ht="30" x14ac:dyDescent="0.25">
      <c r="A2" s="186" t="s">
        <v>36</v>
      </c>
      <c r="B2" s="186" t="s">
        <v>208</v>
      </c>
      <c r="C2" s="186" t="s">
        <v>209</v>
      </c>
      <c r="D2" s="186" t="s">
        <v>210</v>
      </c>
      <c r="E2" s="186" t="s">
        <v>211</v>
      </c>
      <c r="F2" s="186" t="s">
        <v>212</v>
      </c>
      <c r="G2" s="186" t="s">
        <v>213</v>
      </c>
      <c r="H2" s="186" t="s">
        <v>214</v>
      </c>
      <c r="I2" s="186" t="s">
        <v>215</v>
      </c>
      <c r="J2" s="186" t="s">
        <v>216</v>
      </c>
      <c r="K2" s="186" t="s">
        <v>217</v>
      </c>
      <c r="L2" s="186" t="s">
        <v>218</v>
      </c>
      <c r="N2" s="186" t="s">
        <v>36</v>
      </c>
      <c r="O2" s="186" t="s">
        <v>208</v>
      </c>
      <c r="P2" s="186" t="s">
        <v>209</v>
      </c>
      <c r="Q2" s="186" t="s">
        <v>210</v>
      </c>
      <c r="R2" s="186" t="s">
        <v>211</v>
      </c>
      <c r="S2" s="186" t="s">
        <v>212</v>
      </c>
      <c r="T2" s="186" t="s">
        <v>213</v>
      </c>
      <c r="U2" s="186" t="s">
        <v>214</v>
      </c>
      <c r="V2" s="186" t="s">
        <v>215</v>
      </c>
      <c r="W2" s="186" t="s">
        <v>216</v>
      </c>
      <c r="X2" s="186" t="s">
        <v>217</v>
      </c>
      <c r="Y2" s="186" t="s">
        <v>218</v>
      </c>
      <c r="AA2" s="186" t="s">
        <v>36</v>
      </c>
      <c r="AB2" s="186" t="s">
        <v>208</v>
      </c>
      <c r="AC2" s="186" t="s">
        <v>209</v>
      </c>
      <c r="AD2" s="186" t="s">
        <v>210</v>
      </c>
      <c r="AE2" s="186" t="s">
        <v>211</v>
      </c>
      <c r="AF2" s="186" t="s">
        <v>212</v>
      </c>
      <c r="AG2" s="186" t="s">
        <v>213</v>
      </c>
      <c r="AH2" s="186" t="s">
        <v>214</v>
      </c>
      <c r="AI2" s="186" t="s">
        <v>215</v>
      </c>
      <c r="AJ2" s="186" t="s">
        <v>216</v>
      </c>
      <c r="AK2" s="186" t="s">
        <v>217</v>
      </c>
      <c r="AL2" s="186" t="s">
        <v>218</v>
      </c>
    </row>
    <row r="3" spans="1:38" x14ac:dyDescent="0.25">
      <c r="A3" s="290">
        <f>'Alternative 1'!F4</f>
        <v>1</v>
      </c>
      <c r="B3" s="290">
        <f>'Alternative 1-Tilt Up'!T3/1000000</f>
        <v>15.106603988169821</v>
      </c>
      <c r="C3" s="290">
        <f>'Alternative 1-Tilt Up'!$Z3/1000000</f>
        <v>7.6653585120232011</v>
      </c>
      <c r="D3" s="290">
        <f>'Alternative 1-Tilt Up'!$AF3/1000000</f>
        <v>10.73450618708566</v>
      </c>
      <c r="E3" s="290">
        <f>'Alternative 1-Tilt Up'!$AL3/1000000</f>
        <v>10.760391998542524</v>
      </c>
      <c r="F3" s="290">
        <f>'Alternative 1-Tilt Up'!$AR3/1000000</f>
        <v>9.7838603906501742</v>
      </c>
      <c r="G3" s="290">
        <f>'Alternative 1-Tilt Up'!$AX3/1000000</f>
        <v>8.2186206796146042</v>
      </c>
      <c r="H3" s="290">
        <f>'Alternative 1-Tilt Up'!$BD3/1000000</f>
        <v>6.2387960872572199</v>
      </c>
      <c r="I3" s="290">
        <f>'Alternative 1-Tilt Up'!$BJ3/1000000</f>
        <v>3.9582478037458868</v>
      </c>
      <c r="J3" s="290">
        <f>'Alternative 1-Tilt Up'!$BP3/1000000</f>
        <v>1.4719475811172058</v>
      </c>
      <c r="K3" s="290">
        <f>'Alternative 1-Tilt Up'!$BV3/1000000</f>
        <v>-4.8015116075993439E-4</v>
      </c>
      <c r="L3" s="290">
        <f>'Alternative 1'!$B$20/1.67</f>
        <v>149.70059880239521</v>
      </c>
      <c r="N3" s="290">
        <f>'Alternative 2'!F4</f>
        <v>1</v>
      </c>
      <c r="O3" s="290">
        <f>'Alternative 2-Tilt Up'!$T3/1000000</f>
        <v>15.106603988169821</v>
      </c>
      <c r="P3" s="290">
        <f>'Alternative 2-Tilt Up'!$Z3/1000000</f>
        <v>7.6653585120232011</v>
      </c>
      <c r="Q3" s="290">
        <f>'Alternative 2-Tilt Up'!$AF3/1000000</f>
        <v>10.73450618708566</v>
      </c>
      <c r="R3" s="290">
        <f>'Alternative 2-Tilt Up'!$AL3/1000000</f>
        <v>10.760391998542524</v>
      </c>
      <c r="S3" s="290">
        <f>'Alternative 2-Tilt Up'!$AR3/1000000</f>
        <v>9.7838603906501742</v>
      </c>
      <c r="T3" s="290">
        <f>'Alternative 2-Tilt Up'!$AX3/1000000</f>
        <v>8.2186206796146042</v>
      </c>
      <c r="U3" s="290">
        <f>'Alternative 2-Tilt Up'!$BD3/1000000</f>
        <v>6.2387960872572199</v>
      </c>
      <c r="V3" s="290">
        <f>'Alternative 2-Tilt Up'!$BJ3/1000000</f>
        <v>3.9582478037458868</v>
      </c>
      <c r="W3" s="290">
        <f>'Alternative 2-Tilt Up'!$BP3/1000000</f>
        <v>1.4719475811172058</v>
      </c>
      <c r="X3" s="290">
        <f>'Alternative 2-Tilt Up'!$BV3/1000000</f>
        <v>-4.8015116075993439E-4</v>
      </c>
      <c r="Y3" s="290">
        <f>'[3]Alternative 2'!$B$20/1.67</f>
        <v>149.70059880239521</v>
      </c>
      <c r="AA3" s="290">
        <f>'Alternative 3'!F4</f>
        <v>1</v>
      </c>
      <c r="AB3" s="290">
        <f>'Alternative 3-Tilt Up'!$T3/1000000</f>
        <v>15.106603988169821</v>
      </c>
      <c r="AC3" s="290">
        <f>'Alternative 3-Tilt Up'!$Z3/1000000</f>
        <v>7.6653585120232011</v>
      </c>
      <c r="AD3" s="290">
        <f>'Alternative 3-Tilt Up'!$AF3/1000000</f>
        <v>10.73450618708566</v>
      </c>
      <c r="AE3" s="290">
        <f>'Alternative 3-Tilt Up'!$AL3/1000000</f>
        <v>10.760391998542524</v>
      </c>
      <c r="AF3" s="290">
        <f>'Alternative 3-Tilt Up'!$AR3/1000000</f>
        <v>9.7838603906501742</v>
      </c>
      <c r="AG3" s="290">
        <f>'Alternative 3-Tilt Up'!$AX3/1000000</f>
        <v>8.2186206796146042</v>
      </c>
      <c r="AH3" s="290">
        <f>'Alternative 3-Tilt Up'!$BD3/1000000</f>
        <v>6.2387960872572199</v>
      </c>
      <c r="AI3" s="290">
        <f>'Alternative 3-Tilt Up'!$BJ3/1000000</f>
        <v>3.9582478037458868</v>
      </c>
      <c r="AJ3" s="290">
        <f>'Alternative 3-Tilt Up'!$BP3/1000000</f>
        <v>1.4719475811172058</v>
      </c>
      <c r="AK3" s="290">
        <f>'Alternative 3-Tilt Up'!$BV3/1000000</f>
        <v>-4.8015116075993439E-4</v>
      </c>
      <c r="AL3" s="290">
        <f>'[3]Alternative 3'!$B$20/1.67</f>
        <v>149.70059880239521</v>
      </c>
    </row>
    <row r="4" spans="1:38" x14ac:dyDescent="0.25">
      <c r="A4" s="290">
        <f>'Alternative 1'!F5</f>
        <v>2</v>
      </c>
      <c r="B4" s="290">
        <f>'Alternative 1-Tilt Up'!T4/1000000</f>
        <v>14.032452267589456</v>
      </c>
      <c r="C4" s="290">
        <f>'Alternative 1-Tilt Up'!$Z4/1000000</f>
        <v>6.8128679252710995</v>
      </c>
      <c r="D4" s="290">
        <f>'Alternative 1-Tilt Up'!$AF4/1000000</f>
        <v>9.8234984915519323</v>
      </c>
      <c r="E4" s="290">
        <f>'Alternative 1-Tilt Up'!$AL4/1000000</f>
        <v>9.8960580526041095</v>
      </c>
      <c r="F4" s="290">
        <f>'Alternative 1-Tilt Up'!$AR4/1000000</f>
        <v>9.0117315446032489</v>
      </c>
      <c r="G4" s="290">
        <f>'Alternative 1-Tilt Up'!$AX4/1000000</f>
        <v>7.5704712776778358</v>
      </c>
      <c r="H4" s="290">
        <f>'Alternative 1-Tilt Up'!$BD4/1000000</f>
        <v>5.7390229398195789</v>
      </c>
      <c r="I4" s="290">
        <f>'Alternative 1-Tilt Up'!$BJ4/1000000</f>
        <v>3.6252073416819774</v>
      </c>
      <c r="J4" s="290">
        <f>'Alternative 1-Tilt Up'!$BP4/1000000</f>
        <v>1.3181976212165598</v>
      </c>
      <c r="K4" s="290">
        <f>'Alternative 1-Tilt Up'!$BV4/1000000</f>
        <v>-4.6645394901657385E-4</v>
      </c>
      <c r="L4" s="290">
        <f>'[3]Alternative 1'!$B$20/1.67</f>
        <v>149.70059880239521</v>
      </c>
      <c r="N4" s="290">
        <f>'Alternative 2'!F5</f>
        <v>2</v>
      </c>
      <c r="O4" s="290">
        <f>'Alternative 2-Tilt Up'!$T4/1000000</f>
        <v>14.032452267589456</v>
      </c>
      <c r="P4" s="290">
        <f>'Alternative 2-Tilt Up'!$Z4/1000000</f>
        <v>6.8128679252710995</v>
      </c>
      <c r="Q4" s="290">
        <f>'Alternative 2-Tilt Up'!$AF4/1000000</f>
        <v>9.8234984915519323</v>
      </c>
      <c r="R4" s="290">
        <f>'Alternative 2-Tilt Up'!$AL4/1000000</f>
        <v>9.8960580526041095</v>
      </c>
      <c r="S4" s="290">
        <f>'Alternative 2-Tilt Up'!$AR4/1000000</f>
        <v>9.0117315446032489</v>
      </c>
      <c r="T4" s="290">
        <f>'Alternative 2-Tilt Up'!$AX4/1000000</f>
        <v>7.5704712776778358</v>
      </c>
      <c r="U4" s="290">
        <f>'Alternative 2-Tilt Up'!$BD4/1000000</f>
        <v>5.7390229398195789</v>
      </c>
      <c r="V4" s="290">
        <f>'Alternative 2-Tilt Up'!$BJ4/1000000</f>
        <v>3.6252073416819774</v>
      </c>
      <c r="W4" s="290">
        <f>'Alternative 2-Tilt Up'!$BP4/1000000</f>
        <v>1.3181976212165598</v>
      </c>
      <c r="X4" s="290">
        <f>'Alternative 2-Tilt Up'!$BV4/1000000</f>
        <v>-4.6645394901657385E-4</v>
      </c>
      <c r="Y4" s="290">
        <f>'[3]Alternative 2'!$B$20/1.67</f>
        <v>149.70059880239521</v>
      </c>
      <c r="AA4" s="290">
        <f>'Alternative 3'!F5</f>
        <v>2</v>
      </c>
      <c r="AB4" s="290">
        <f>'Alternative 3-Tilt Up'!$T4/1000000</f>
        <v>14.032452267589456</v>
      </c>
      <c r="AC4" s="290">
        <f>'Alternative 3-Tilt Up'!$Z4/1000000</f>
        <v>6.8128679252710995</v>
      </c>
      <c r="AD4" s="290">
        <f>'Alternative 3-Tilt Up'!$AF4/1000000</f>
        <v>9.8234984915519323</v>
      </c>
      <c r="AE4" s="290">
        <f>'Alternative 3-Tilt Up'!$AL4/1000000</f>
        <v>9.8960580526041095</v>
      </c>
      <c r="AF4" s="290">
        <f>'Alternative 3-Tilt Up'!$AR4/1000000</f>
        <v>9.0117315446032489</v>
      </c>
      <c r="AG4" s="290">
        <f>'Alternative 3-Tilt Up'!$AX4/1000000</f>
        <v>7.5704712776778358</v>
      </c>
      <c r="AH4" s="290">
        <f>'Alternative 3-Tilt Up'!$BD4/1000000</f>
        <v>5.7390229398195789</v>
      </c>
      <c r="AI4" s="290">
        <f>'Alternative 3-Tilt Up'!$BJ4/1000000</f>
        <v>3.6252073416819774</v>
      </c>
      <c r="AJ4" s="290">
        <f>'Alternative 3-Tilt Up'!$BP4/1000000</f>
        <v>1.3181976212165598</v>
      </c>
      <c r="AK4" s="290">
        <f>'Alternative 3-Tilt Up'!$BV4/1000000</f>
        <v>-4.6645394901657385E-4</v>
      </c>
      <c r="AL4" s="290">
        <f>'[3]Alternative 3'!$B$20/1.67</f>
        <v>149.70059880239521</v>
      </c>
    </row>
    <row r="5" spans="1:38" x14ac:dyDescent="0.25">
      <c r="A5" s="290">
        <f>'Alternative 1'!F6</f>
        <v>3</v>
      </c>
      <c r="B5" s="290">
        <f>'Alternative 1-Tilt Up'!T5/1000000</f>
        <v>13.041659745748181</v>
      </c>
      <c r="C5" s="290">
        <f>'Alternative 1-Tilt Up'!$Z5/1000000</f>
        <v>6.0518789295556719</v>
      </c>
      <c r="D5" s="290">
        <f>'Alternative 1-Tilt Up'!$AF5/1000000</f>
        <v>8.9953675986731305</v>
      </c>
      <c r="E5" s="290">
        <f>'Alternative 1-Tilt Up'!$AL5/1000000</f>
        <v>9.1069795363243529</v>
      </c>
      <c r="F5" s="290">
        <f>'Alternative 1-Tilt Up'!$AR5/1000000</f>
        <v>8.3058256198342004</v>
      </c>
      <c r="G5" s="290">
        <f>'Alternative 1-Tilt Up'!$AX5/1000000</f>
        <v>6.9778778566222002</v>
      </c>
      <c r="H5" s="290">
        <f>'Alternative 1-Tilt Up'!$BD5/1000000</f>
        <v>5.2826644727752043</v>
      </c>
      <c r="I5" s="290">
        <f>'Alternative 1-Tilt Up'!$BJ5/1000000</f>
        <v>3.3222652003016138</v>
      </c>
      <c r="J5" s="290">
        <f>'Alternative 1-Tilt Up'!$BP5/1000000</f>
        <v>1.180425892532216</v>
      </c>
      <c r="K5" s="290">
        <f>'Alternative 1-Tilt Up'!$BV5/1000000</f>
        <v>-4.5213442171918819E-4</v>
      </c>
      <c r="L5" s="290">
        <f>'[3]Alternative 1'!$B$20/1.67</f>
        <v>149.70059880239521</v>
      </c>
      <c r="N5" s="290">
        <f>'Alternative 2'!F6</f>
        <v>3</v>
      </c>
      <c r="O5" s="290">
        <f>'Alternative 2-Tilt Up'!$T5/1000000</f>
        <v>13.041659745748181</v>
      </c>
      <c r="P5" s="290">
        <f>'Alternative 2-Tilt Up'!$Z5/1000000</f>
        <v>6.0518789295556719</v>
      </c>
      <c r="Q5" s="290">
        <f>'Alternative 2-Tilt Up'!$AF5/1000000</f>
        <v>8.9953675986731305</v>
      </c>
      <c r="R5" s="290">
        <f>'Alternative 2-Tilt Up'!$AL5/1000000</f>
        <v>9.1069795363243529</v>
      </c>
      <c r="S5" s="290">
        <f>'Alternative 2-Tilt Up'!$AR5/1000000</f>
        <v>8.3058256198342004</v>
      </c>
      <c r="T5" s="290">
        <f>'Alternative 2-Tilt Up'!$AX5/1000000</f>
        <v>6.9778778566222002</v>
      </c>
      <c r="U5" s="290">
        <f>'Alternative 2-Tilt Up'!$BD5/1000000</f>
        <v>5.2826644727752043</v>
      </c>
      <c r="V5" s="290">
        <f>'Alternative 2-Tilt Up'!$BJ5/1000000</f>
        <v>3.3222652003016138</v>
      </c>
      <c r="W5" s="290">
        <f>'Alternative 2-Tilt Up'!$BP5/1000000</f>
        <v>1.180425892532216</v>
      </c>
      <c r="X5" s="290">
        <f>'Alternative 2-Tilt Up'!$BV5/1000000</f>
        <v>-4.5213442171918819E-4</v>
      </c>
      <c r="Y5" s="290">
        <f>'[3]Alternative 2'!$B$20/1.67</f>
        <v>149.70059880239521</v>
      </c>
      <c r="AA5" s="290">
        <f>'Alternative 3'!F6</f>
        <v>3</v>
      </c>
      <c r="AB5" s="290">
        <f>'Alternative 3-Tilt Up'!$T5/1000000</f>
        <v>13.041659745748181</v>
      </c>
      <c r="AC5" s="290">
        <f>'Alternative 3-Tilt Up'!$Z5/1000000</f>
        <v>6.0518789295556719</v>
      </c>
      <c r="AD5" s="290">
        <f>'Alternative 3-Tilt Up'!$AF5/1000000</f>
        <v>8.9953675986731305</v>
      </c>
      <c r="AE5" s="290">
        <f>'Alternative 3-Tilt Up'!$AL5/1000000</f>
        <v>9.1069795363243529</v>
      </c>
      <c r="AF5" s="290">
        <f>'Alternative 3-Tilt Up'!$AR5/1000000</f>
        <v>8.3058256198342004</v>
      </c>
      <c r="AG5" s="290">
        <f>'Alternative 3-Tilt Up'!$AX5/1000000</f>
        <v>6.9778778566222002</v>
      </c>
      <c r="AH5" s="290">
        <f>'Alternative 3-Tilt Up'!$BD5/1000000</f>
        <v>5.2826644727752043</v>
      </c>
      <c r="AI5" s="290">
        <f>'Alternative 3-Tilt Up'!$BJ5/1000000</f>
        <v>3.3222652003016138</v>
      </c>
      <c r="AJ5" s="290">
        <f>'Alternative 3-Tilt Up'!$BP5/1000000</f>
        <v>1.180425892532216</v>
      </c>
      <c r="AK5" s="290">
        <f>'Alternative 3-Tilt Up'!$BV5/1000000</f>
        <v>-4.5213442171918819E-4</v>
      </c>
      <c r="AL5" s="290">
        <f>'[3]Alternative 3'!$B$20/1.67</f>
        <v>149.70059880239521</v>
      </c>
    </row>
    <row r="6" spans="1:38" x14ac:dyDescent="0.25">
      <c r="A6" s="290">
        <f>'Alternative 1'!F7</f>
        <v>4</v>
      </c>
      <c r="B6" s="290">
        <f>'Alternative 1-Tilt Up'!T6/1000000</f>
        <v>12.139749772374227</v>
      </c>
      <c r="C6" s="290">
        <f>'Alternative 1-Tilt Up'!$Z6/1000000</f>
        <v>5.3882674818529468</v>
      </c>
      <c r="D6" s="290">
        <f>'Alternative 1-Tilt Up'!$AF6/1000000</f>
        <v>8.2555150842161957</v>
      </c>
      <c r="E6" s="290">
        <f>'Alternative 1-Tilt Up'!$AL6/1000000</f>
        <v>8.3980825291920294</v>
      </c>
      <c r="F6" s="290">
        <f>'Alternative 1-Tilt Up'!$AR6/1000000</f>
        <v>7.6704840470253952</v>
      </c>
      <c r="G6" s="290">
        <f>'Alternative 1-Tilt Up'!$AX6/1000000</f>
        <v>6.4444827701658243</v>
      </c>
      <c r="H6" s="290">
        <f>'Alternative 1-Tilt Up'!$BD6/1000000</f>
        <v>4.8725631827540719</v>
      </c>
      <c r="I6" s="290">
        <f>'Alternative 1-Tilt Up'!$BJ6/1000000</f>
        <v>3.0513843202959516</v>
      </c>
      <c r="J6" s="290">
        <f>'Alternative 1-Tilt Up'!$BP6/1000000</f>
        <v>1.0596612652807091</v>
      </c>
      <c r="K6" s="290">
        <f>'Alternative 1-Tilt Up'!$BV6/1000000</f>
        <v>-4.3716377278146991E-4</v>
      </c>
      <c r="L6" s="290">
        <f>'[3]Alternative 1'!$B$20/1.67</f>
        <v>149.70059880239521</v>
      </c>
      <c r="N6" s="290">
        <f>'Alternative 2'!F7</f>
        <v>4</v>
      </c>
      <c r="O6" s="290">
        <f>'Alternative 2-Tilt Up'!$T6/1000000</f>
        <v>12.139749772374227</v>
      </c>
      <c r="P6" s="290">
        <f>'Alternative 2-Tilt Up'!$Z6/1000000</f>
        <v>5.3882674818529468</v>
      </c>
      <c r="Q6" s="290">
        <f>'Alternative 2-Tilt Up'!$AF6/1000000</f>
        <v>8.2555150842161957</v>
      </c>
      <c r="R6" s="290">
        <f>'Alternative 2-Tilt Up'!$AL6/1000000</f>
        <v>8.3980825291920294</v>
      </c>
      <c r="S6" s="290">
        <f>'Alternative 2-Tilt Up'!$AR6/1000000</f>
        <v>7.6704840470253952</v>
      </c>
      <c r="T6" s="290">
        <f>'Alternative 2-Tilt Up'!$AX6/1000000</f>
        <v>6.4444827701658243</v>
      </c>
      <c r="U6" s="290">
        <f>'Alternative 2-Tilt Up'!$BD6/1000000</f>
        <v>4.8725631827540719</v>
      </c>
      <c r="V6" s="290">
        <f>'Alternative 2-Tilt Up'!$BJ6/1000000</f>
        <v>3.0513843202959516</v>
      </c>
      <c r="W6" s="290">
        <f>'Alternative 2-Tilt Up'!$BP6/1000000</f>
        <v>1.0596612652807091</v>
      </c>
      <c r="X6" s="290">
        <f>'Alternative 2-Tilt Up'!$BV6/1000000</f>
        <v>-4.3716377278146991E-4</v>
      </c>
      <c r="Y6" s="290">
        <f>'[3]Alternative 2'!$B$20/1.67</f>
        <v>149.70059880239521</v>
      </c>
      <c r="AA6" s="290">
        <f>'Alternative 3'!F7</f>
        <v>4</v>
      </c>
      <c r="AB6" s="290">
        <f>'Alternative 3-Tilt Up'!$T6/1000000</f>
        <v>12.139749772374227</v>
      </c>
      <c r="AC6" s="290">
        <f>'Alternative 3-Tilt Up'!$Z6/1000000</f>
        <v>5.3882674818529468</v>
      </c>
      <c r="AD6" s="290">
        <f>'Alternative 3-Tilt Up'!$AF6/1000000</f>
        <v>8.2555150842161957</v>
      </c>
      <c r="AE6" s="290">
        <f>'Alternative 3-Tilt Up'!$AL6/1000000</f>
        <v>8.3980825291920294</v>
      </c>
      <c r="AF6" s="290">
        <f>'Alternative 3-Tilt Up'!$AR6/1000000</f>
        <v>7.6704840470253952</v>
      </c>
      <c r="AG6" s="290">
        <f>'Alternative 3-Tilt Up'!$AX6/1000000</f>
        <v>6.4444827701658243</v>
      </c>
      <c r="AH6" s="290">
        <f>'Alternative 3-Tilt Up'!$BD6/1000000</f>
        <v>4.8725631827540719</v>
      </c>
      <c r="AI6" s="290">
        <f>'Alternative 3-Tilt Up'!$BJ6/1000000</f>
        <v>3.0513843202959516</v>
      </c>
      <c r="AJ6" s="290">
        <f>'Alternative 3-Tilt Up'!$BP6/1000000</f>
        <v>1.0596612652807091</v>
      </c>
      <c r="AK6" s="290">
        <f>'Alternative 3-Tilt Up'!$BV6/1000000</f>
        <v>-4.3716377278146991E-4</v>
      </c>
      <c r="AL6" s="290">
        <f>'[3]Alternative 3'!$B$20/1.67</f>
        <v>149.70059880239521</v>
      </c>
    </row>
    <row r="7" spans="1:38" x14ac:dyDescent="0.25">
      <c r="A7" s="290">
        <f>'Alternative 1'!F8</f>
        <v>5</v>
      </c>
      <c r="B7" s="290">
        <f>'Alternative 1-Tilt Up'!T7/1000000</f>
        <v>11.332586346919241</v>
      </c>
      <c r="C7" s="290">
        <f>'Alternative 1-Tilt Up'!$Z7/1000000</f>
        <v>4.8282686430245638</v>
      </c>
      <c r="D7" s="290">
        <f>'Alternative 1-Tilt Up'!$AF7/1000000</f>
        <v>7.6096740811293744</v>
      </c>
      <c r="E7" s="290">
        <f>'Alternative 1-Tilt Up'!$AL7/1000000</f>
        <v>7.7745958614721609</v>
      </c>
      <c r="F7" s="290">
        <f>'Alternative 1-Tilt Up'!$AR7/1000000</f>
        <v>7.1103151935768532</v>
      </c>
      <c r="G7" s="290">
        <f>'Alternative 1-Tilt Up'!$AX7/1000000</f>
        <v>5.9741523293734975</v>
      </c>
      <c r="H7" s="290">
        <f>'Alternative 1-Tilt Up'!$BD7/1000000</f>
        <v>4.5117362743709739</v>
      </c>
      <c r="I7" s="290">
        <f>'Alternative 1-Tilt Up'!$BJ7/1000000</f>
        <v>2.8146481531810736</v>
      </c>
      <c r="J7" s="290">
        <f>'Alternative 1-Tilt Up'!$BP7/1000000</f>
        <v>0.95699553899580414</v>
      </c>
      <c r="K7" s="290">
        <f>'Alternative 1-Tilt Up'!$BV7/1000000</f>
        <v>-4.2151163846677002E-4</v>
      </c>
      <c r="L7" s="290">
        <f>'[3]Alternative 1'!$B$20/1.67</f>
        <v>149.70059880239521</v>
      </c>
      <c r="N7" s="290">
        <f>'Alternative 2'!F8</f>
        <v>5</v>
      </c>
      <c r="O7" s="290">
        <f>'Alternative 2-Tilt Up'!$T7/1000000</f>
        <v>11.332586346919241</v>
      </c>
      <c r="P7" s="290">
        <f>'Alternative 2-Tilt Up'!$Z7/1000000</f>
        <v>4.8282686430245638</v>
      </c>
      <c r="Q7" s="290">
        <f>'Alternative 2-Tilt Up'!$AF7/1000000</f>
        <v>7.6096740811293744</v>
      </c>
      <c r="R7" s="290">
        <f>'Alternative 2-Tilt Up'!$AL7/1000000</f>
        <v>7.7745958614721609</v>
      </c>
      <c r="S7" s="290">
        <f>'Alternative 2-Tilt Up'!$AR7/1000000</f>
        <v>7.1103151935768532</v>
      </c>
      <c r="T7" s="290">
        <f>'Alternative 2-Tilt Up'!$AX7/1000000</f>
        <v>5.9741523293734975</v>
      </c>
      <c r="U7" s="290">
        <f>'Alternative 2-Tilt Up'!$BD7/1000000</f>
        <v>4.5117362743709739</v>
      </c>
      <c r="V7" s="290">
        <f>'Alternative 2-Tilt Up'!$BJ7/1000000</f>
        <v>2.8146481531810736</v>
      </c>
      <c r="W7" s="290">
        <f>'Alternative 2-Tilt Up'!$BP7/1000000</f>
        <v>0.95699553899580414</v>
      </c>
      <c r="X7" s="290">
        <f>'Alternative 2-Tilt Up'!$BV7/1000000</f>
        <v>-4.2151163846677002E-4</v>
      </c>
      <c r="Y7" s="290">
        <f>'[3]Alternative 2'!$B$20/1.67</f>
        <v>149.70059880239521</v>
      </c>
      <c r="AA7" s="290">
        <f>'Alternative 3'!F8</f>
        <v>5</v>
      </c>
      <c r="AB7" s="290">
        <f>'Alternative 3-Tilt Up'!$T7/1000000</f>
        <v>11.332586346919241</v>
      </c>
      <c r="AC7" s="290">
        <f>'Alternative 3-Tilt Up'!$Z7/1000000</f>
        <v>4.8282686430245638</v>
      </c>
      <c r="AD7" s="290">
        <f>'Alternative 3-Tilt Up'!$AF7/1000000</f>
        <v>7.6096740811293744</v>
      </c>
      <c r="AE7" s="290">
        <f>'Alternative 3-Tilt Up'!$AL7/1000000</f>
        <v>7.7745958614721609</v>
      </c>
      <c r="AF7" s="290">
        <f>'Alternative 3-Tilt Up'!$AR7/1000000</f>
        <v>7.1103151935768532</v>
      </c>
      <c r="AG7" s="290">
        <f>'Alternative 3-Tilt Up'!$AX7/1000000</f>
        <v>5.9741523293734975</v>
      </c>
      <c r="AH7" s="290">
        <f>'Alternative 3-Tilt Up'!$BD7/1000000</f>
        <v>4.5117362743709739</v>
      </c>
      <c r="AI7" s="290">
        <f>'Alternative 3-Tilt Up'!$BJ7/1000000</f>
        <v>2.8146481531810736</v>
      </c>
      <c r="AJ7" s="290">
        <f>'Alternative 3-Tilt Up'!$BP7/1000000</f>
        <v>0.95699553899580414</v>
      </c>
      <c r="AK7" s="290">
        <f>'Alternative 3-Tilt Up'!$BV7/1000000</f>
        <v>-4.2151163846677002E-4</v>
      </c>
      <c r="AL7" s="290">
        <f>'[3]Alternative 3'!$B$20/1.67</f>
        <v>149.70059880239521</v>
      </c>
    </row>
    <row r="8" spans="1:38" x14ac:dyDescent="0.25">
      <c r="A8" s="290">
        <f>'Alternative 1'!F9</f>
        <v>6</v>
      </c>
      <c r="B8" s="290">
        <f>'Alternative 1-Tilt Up'!T8/1000000</f>
        <v>10.626397259030014</v>
      </c>
      <c r="C8" s="290">
        <f>'Alternative 1-Tilt Up'!$Z8/1000000</f>
        <v>4.3785008659413576</v>
      </c>
      <c r="D8" s="290">
        <f>'Alternative 1-Tilt Up'!$AF8/1000000</f>
        <v>7.0639317514449376</v>
      </c>
      <c r="E8" s="290">
        <f>'Alternative 1-Tilt Up'!$AL8/1000000</f>
        <v>7.2420716459963073</v>
      </c>
      <c r="F8" s="290">
        <f>'Alternative 1-Tilt Up'!$AR8/1000000</f>
        <v>6.6302124703794609</v>
      </c>
      <c r="G8" s="290">
        <f>'Alternative 1-Tilt Up'!$AX8/1000000</f>
        <v>5.5709919941947348</v>
      </c>
      <c r="H8" s="290">
        <f>'Alternative 1-Tilt Up'!$BD8/1000000</f>
        <v>4.2033875088542443</v>
      </c>
      <c r="I8" s="290">
        <f>'Alternative 1-Tilt Up'!$BJ8/1000000</f>
        <v>2.614268829868438</v>
      </c>
      <c r="J8" s="290">
        <f>'Alternative 1-Tilt Up'!$BP8/1000000</f>
        <v>0.87358770042653033</v>
      </c>
      <c r="K8" s="290">
        <f>'Alternative 1-Tilt Up'!$BV8/1000000</f>
        <v>-4.0514599862126043E-4</v>
      </c>
      <c r="L8" s="290">
        <f>'[3]Alternative 1'!$B$20/1.67</f>
        <v>149.70059880239521</v>
      </c>
      <c r="N8" s="290">
        <f>'Alternative 2'!F9</f>
        <v>6</v>
      </c>
      <c r="O8" s="290">
        <f>'Alternative 2-Tilt Up'!$T8/1000000</f>
        <v>10.626397259030014</v>
      </c>
      <c r="P8" s="290">
        <f>'Alternative 2-Tilt Up'!$Z8/1000000</f>
        <v>4.3785008659413576</v>
      </c>
      <c r="Q8" s="290">
        <f>'Alternative 2-Tilt Up'!$AF8/1000000</f>
        <v>7.0639317514449376</v>
      </c>
      <c r="R8" s="290">
        <f>'Alternative 2-Tilt Up'!$AL8/1000000</f>
        <v>7.2420716459963073</v>
      </c>
      <c r="S8" s="290">
        <f>'Alternative 2-Tilt Up'!$AR8/1000000</f>
        <v>6.6302124703794609</v>
      </c>
      <c r="T8" s="290">
        <f>'Alternative 2-Tilt Up'!$AX8/1000000</f>
        <v>5.5709919941947348</v>
      </c>
      <c r="U8" s="290">
        <f>'Alternative 2-Tilt Up'!$BD8/1000000</f>
        <v>4.2033875088542443</v>
      </c>
      <c r="V8" s="290">
        <f>'Alternative 2-Tilt Up'!$BJ8/1000000</f>
        <v>2.614268829868438</v>
      </c>
      <c r="W8" s="290">
        <f>'Alternative 2-Tilt Up'!$BP8/1000000</f>
        <v>0.87358770042653033</v>
      </c>
      <c r="X8" s="290">
        <f>'Alternative 2-Tilt Up'!$BV8/1000000</f>
        <v>-4.0514599862126043E-4</v>
      </c>
      <c r="Y8" s="290">
        <f>'[3]Alternative 2'!$B$20/1.67</f>
        <v>149.70059880239521</v>
      </c>
      <c r="AA8" s="290">
        <f>'Alternative 3'!F9</f>
        <v>6</v>
      </c>
      <c r="AB8" s="290">
        <f>'Alternative 3-Tilt Up'!$T8/1000000</f>
        <v>10.626397259030014</v>
      </c>
      <c r="AC8" s="290">
        <f>'Alternative 3-Tilt Up'!$Z8/1000000</f>
        <v>4.3785008659413576</v>
      </c>
      <c r="AD8" s="290">
        <f>'Alternative 3-Tilt Up'!$AF8/1000000</f>
        <v>7.0639317514449376</v>
      </c>
      <c r="AE8" s="290">
        <f>'Alternative 3-Tilt Up'!$AL8/1000000</f>
        <v>7.2420716459963073</v>
      </c>
      <c r="AF8" s="290">
        <f>'Alternative 3-Tilt Up'!$AR8/1000000</f>
        <v>6.6302124703794609</v>
      </c>
      <c r="AG8" s="290">
        <f>'Alternative 3-Tilt Up'!$AX8/1000000</f>
        <v>5.5709919941947348</v>
      </c>
      <c r="AH8" s="290">
        <f>'Alternative 3-Tilt Up'!$BD8/1000000</f>
        <v>4.2033875088542443</v>
      </c>
      <c r="AI8" s="290">
        <f>'Alternative 3-Tilt Up'!$BJ8/1000000</f>
        <v>2.614268829868438</v>
      </c>
      <c r="AJ8" s="290">
        <f>'Alternative 3-Tilt Up'!$BP8/1000000</f>
        <v>0.87358770042653033</v>
      </c>
      <c r="AK8" s="290">
        <f>'Alternative 3-Tilt Up'!$BV8/1000000</f>
        <v>-4.0514599862126043E-4</v>
      </c>
      <c r="AL8" s="290">
        <f>'[3]Alternative 3'!$B$20/1.67</f>
        <v>149.70059880239521</v>
      </c>
    </row>
    <row r="9" spans="1:38" x14ac:dyDescent="0.25">
      <c r="A9" s="290">
        <f>'Alternative 1'!F10</f>
        <v>7</v>
      </c>
      <c r="B9" s="290">
        <f>'Alternative 1-Tilt Up'!T9/1000000</f>
        <v>10.027799002435122</v>
      </c>
      <c r="C9" s="290">
        <f>'Alternative 1-Tilt Up'!$Z9/1000000</f>
        <v>4.0459921402381154</v>
      </c>
      <c r="D9" s="290">
        <f>'Alternative 1-Tilt Up'!$AF9/1000000</f>
        <v>6.6247534780837221</v>
      </c>
      <c r="E9" s="290">
        <f>'Alternative 1-Tilt Up'!$AL9/1000000</f>
        <v>6.8064073819177509</v>
      </c>
      <c r="F9" s="290">
        <f>'Alternative 1-Tilt Up'!$AR9/1000000</f>
        <v>6.2353738250580557</v>
      </c>
      <c r="G9" s="290">
        <f>'Alternative 1-Tilt Up'!$AX9/1000000</f>
        <v>5.239362728252452</v>
      </c>
      <c r="H9" s="290">
        <f>'Alternative 1-Tilt Up'!$BD9/1000000</f>
        <v>3.950919959851706</v>
      </c>
      <c r="I9" s="290">
        <f>'Alternative 1-Tilt Up'!$BJ9/1000000</f>
        <v>2.4525959544547495</v>
      </c>
      <c r="J9" s="290">
        <f>'Alternative 1-Tilt Up'!$BP9/1000000</f>
        <v>0.81066850699125392</v>
      </c>
      <c r="K9" s="290">
        <f>'Alternative 1-Tilt Up'!$BV9/1000000</f>
        <v>-3.8803307065286336E-4</v>
      </c>
      <c r="L9" s="290">
        <f>'[3]Alternative 1'!$B$20/1.67</f>
        <v>149.70059880239521</v>
      </c>
      <c r="N9" s="290">
        <f>'Alternative 2'!F10</f>
        <v>7</v>
      </c>
      <c r="O9" s="290">
        <f>'Alternative 2-Tilt Up'!$T9/1000000</f>
        <v>10.027799002435122</v>
      </c>
      <c r="P9" s="290">
        <f>'Alternative 2-Tilt Up'!$Z9/1000000</f>
        <v>4.0459921402381154</v>
      </c>
      <c r="Q9" s="290">
        <f>'Alternative 2-Tilt Up'!$AF9/1000000</f>
        <v>6.6247534780837221</v>
      </c>
      <c r="R9" s="290">
        <f>'Alternative 2-Tilt Up'!$AL9/1000000</f>
        <v>6.8064073819177509</v>
      </c>
      <c r="S9" s="290">
        <f>'Alternative 2-Tilt Up'!$AR9/1000000</f>
        <v>6.2353738250580557</v>
      </c>
      <c r="T9" s="290">
        <f>'Alternative 2-Tilt Up'!$AX9/1000000</f>
        <v>5.239362728252452</v>
      </c>
      <c r="U9" s="290">
        <f>'Alternative 2-Tilt Up'!$BD9/1000000</f>
        <v>3.950919959851706</v>
      </c>
      <c r="V9" s="290">
        <f>'Alternative 2-Tilt Up'!$BJ9/1000000</f>
        <v>2.4525959544547495</v>
      </c>
      <c r="W9" s="290">
        <f>'Alternative 2-Tilt Up'!$BP9/1000000</f>
        <v>0.81066850699125392</v>
      </c>
      <c r="X9" s="290">
        <f>'Alternative 2-Tilt Up'!$BV9/1000000</f>
        <v>-3.8803307065286336E-4</v>
      </c>
      <c r="Y9" s="290">
        <f>'[3]Alternative 2'!$B$20/1.67</f>
        <v>149.70059880239521</v>
      </c>
      <c r="AA9" s="290">
        <f>'Alternative 3'!F10</f>
        <v>7</v>
      </c>
      <c r="AB9" s="290">
        <f>'Alternative 3-Tilt Up'!$T9/1000000</f>
        <v>10.027799002435122</v>
      </c>
      <c r="AC9" s="290">
        <f>'Alternative 3-Tilt Up'!$Z9/1000000</f>
        <v>4.0459921402381154</v>
      </c>
      <c r="AD9" s="290">
        <f>'Alternative 3-Tilt Up'!$AF9/1000000</f>
        <v>6.6247534780837221</v>
      </c>
      <c r="AE9" s="290">
        <f>'Alternative 3-Tilt Up'!$AL9/1000000</f>
        <v>6.8064073819177509</v>
      </c>
      <c r="AF9" s="290">
        <f>'Alternative 3-Tilt Up'!$AR9/1000000</f>
        <v>6.2353738250580557</v>
      </c>
      <c r="AG9" s="290">
        <f>'Alternative 3-Tilt Up'!$AX9/1000000</f>
        <v>5.239362728252452</v>
      </c>
      <c r="AH9" s="290">
        <f>'Alternative 3-Tilt Up'!$BD9/1000000</f>
        <v>3.950919959851706</v>
      </c>
      <c r="AI9" s="290">
        <f>'Alternative 3-Tilt Up'!$BJ9/1000000</f>
        <v>2.4525959544547495</v>
      </c>
      <c r="AJ9" s="290">
        <f>'Alternative 3-Tilt Up'!$BP9/1000000</f>
        <v>0.81066850699125392</v>
      </c>
      <c r="AK9" s="290">
        <f>'Alternative 3-Tilt Up'!$BV9/1000000</f>
        <v>-3.8803307065286336E-4</v>
      </c>
      <c r="AL9" s="290">
        <f>'[3]Alternative 3'!$B$20/1.67</f>
        <v>149.70059880239521</v>
      </c>
    </row>
    <row r="10" spans="1:38" x14ac:dyDescent="0.25">
      <c r="A10" s="290">
        <f>'Alternative 1'!F11</f>
        <v>8</v>
      </c>
      <c r="B10" s="290">
        <f>'Alternative 1-Tilt Up'!T10/1000000</f>
        <v>9.5438236154718492</v>
      </c>
      <c r="C10" s="290">
        <f>'Alternative 1-Tilt Up'!$Z10/1000000</f>
        <v>3.8382081538464479</v>
      </c>
      <c r="D10" s="290">
        <f>'Alternative 1-Tilt Up'!$AF10/1000000</f>
        <v>6.2990089250346664</v>
      </c>
      <c r="E10" s="290">
        <f>'Alternative 1-Tilt Up'!$AL10/1000000</f>
        <v>6.473869766165091</v>
      </c>
      <c r="F10" s="290">
        <f>'Alternative 1-Tilt Up'!$AR10/1000000</f>
        <v>5.9313227414104777</v>
      </c>
      <c r="G10" s="290">
        <f>'Alternative 1-Tilt Up'!$AX10/1000000</f>
        <v>4.9838986173330087</v>
      </c>
      <c r="H10" s="290">
        <f>'Alternative 1-Tilt Up'!$BD10/1000000</f>
        <v>3.7579497547464338</v>
      </c>
      <c r="I10" s="290">
        <f>'Alternative 1-Tilt Up'!$BJ10/1000000</f>
        <v>2.3321260772060564</v>
      </c>
      <c r="J10" s="290">
        <f>'Alternative 1-Tilt Up'!$BP10/1000000</f>
        <v>0.76954542387347391</v>
      </c>
      <c r="K10" s="290">
        <f>'Alternative 1-Tilt Up'!$BV10/1000000</f>
        <v>-3.701371956469955E-4</v>
      </c>
      <c r="L10" s="290">
        <f>'[3]Alternative 1'!$B$20/1.67</f>
        <v>149.70059880239521</v>
      </c>
      <c r="N10" s="290">
        <f>'Alternative 2'!F11</f>
        <v>8</v>
      </c>
      <c r="O10" s="290">
        <f>'Alternative 2-Tilt Up'!$T10/1000000</f>
        <v>9.5438236154718492</v>
      </c>
      <c r="P10" s="290">
        <f>'Alternative 2-Tilt Up'!$Z10/1000000</f>
        <v>3.8382081538464479</v>
      </c>
      <c r="Q10" s="290">
        <f>'Alternative 2-Tilt Up'!$AF10/1000000</f>
        <v>6.2990089250346664</v>
      </c>
      <c r="R10" s="290">
        <f>'Alternative 2-Tilt Up'!$AL10/1000000</f>
        <v>6.473869766165091</v>
      </c>
      <c r="S10" s="290">
        <f>'Alternative 2-Tilt Up'!$AR10/1000000</f>
        <v>5.9313227414104777</v>
      </c>
      <c r="T10" s="290">
        <f>'Alternative 2-Tilt Up'!$AX10/1000000</f>
        <v>4.9838986173330087</v>
      </c>
      <c r="U10" s="290">
        <f>'Alternative 2-Tilt Up'!$BD10/1000000</f>
        <v>3.7579497547464338</v>
      </c>
      <c r="V10" s="290">
        <f>'Alternative 2-Tilt Up'!$BJ10/1000000</f>
        <v>2.3321260772060564</v>
      </c>
      <c r="W10" s="290">
        <f>'Alternative 2-Tilt Up'!$BP10/1000000</f>
        <v>0.76954542387347391</v>
      </c>
      <c r="X10" s="290">
        <f>'Alternative 2-Tilt Up'!$BV10/1000000</f>
        <v>-3.701371956469955E-4</v>
      </c>
      <c r="Y10" s="290">
        <f>'[3]Alternative 2'!$B$20/1.67</f>
        <v>149.70059880239521</v>
      </c>
      <c r="AA10" s="290">
        <f>'Alternative 3'!F11</f>
        <v>8</v>
      </c>
      <c r="AB10" s="290">
        <f>'Alternative 3-Tilt Up'!$T10/1000000</f>
        <v>9.5438236154718492</v>
      </c>
      <c r="AC10" s="290">
        <f>'Alternative 3-Tilt Up'!$Z10/1000000</f>
        <v>3.8382081538464479</v>
      </c>
      <c r="AD10" s="290">
        <f>'Alternative 3-Tilt Up'!$AF10/1000000</f>
        <v>6.2990089250346664</v>
      </c>
      <c r="AE10" s="290">
        <f>'Alternative 3-Tilt Up'!$AL10/1000000</f>
        <v>6.473869766165091</v>
      </c>
      <c r="AF10" s="290">
        <f>'Alternative 3-Tilt Up'!$AR10/1000000</f>
        <v>5.9313227414104777</v>
      </c>
      <c r="AG10" s="290">
        <f>'Alternative 3-Tilt Up'!$AX10/1000000</f>
        <v>4.9838986173330087</v>
      </c>
      <c r="AH10" s="290">
        <f>'Alternative 3-Tilt Up'!$BD10/1000000</f>
        <v>3.7579497547464338</v>
      </c>
      <c r="AI10" s="290">
        <f>'Alternative 3-Tilt Up'!$BJ10/1000000</f>
        <v>2.3321260772060564</v>
      </c>
      <c r="AJ10" s="290">
        <f>'Alternative 3-Tilt Up'!$BP10/1000000</f>
        <v>0.76954542387347391</v>
      </c>
      <c r="AK10" s="290">
        <f>'Alternative 3-Tilt Up'!$BV10/1000000</f>
        <v>-3.701371956469955E-4</v>
      </c>
      <c r="AL10" s="290">
        <f>'[3]Alternative 3'!$B$20/1.67</f>
        <v>149.70059880239521</v>
      </c>
    </row>
    <row r="11" spans="1:38" x14ac:dyDescent="0.25">
      <c r="A11" s="290">
        <f>'Alternative 1'!F12</f>
        <v>9</v>
      </c>
      <c r="B11" s="290">
        <f>'Alternative 1-Tilt Up'!T11/1000000</f>
        <v>9.18194761631106</v>
      </c>
      <c r="C11" s="290">
        <f>'Alternative 1-Tilt Up'!$Z11/1000000</f>
        <v>3.7630826469371477</v>
      </c>
      <c r="D11" s="290">
        <f>'Alternative 1-Tilt Up'!$AF11/1000000</f>
        <v>6.0940001287453835</v>
      </c>
      <c r="E11" s="290">
        <f>'Alternative 1-Tilt Up'!$AL11/1000000</f>
        <v>6.2511203614605382</v>
      </c>
      <c r="F11" s="290">
        <f>'Alternative 1-Tilt Up'!$AR11/1000000</f>
        <v>5.7239308763539469</v>
      </c>
      <c r="G11" s="290">
        <f>'Alternative 1-Tilt Up'!$AX11/1000000</f>
        <v>4.8095258617482406</v>
      </c>
      <c r="H11" s="290">
        <f>'Alternative 1-Tilt Up'!$BD11/1000000</f>
        <v>3.6283208873937434</v>
      </c>
      <c r="I11" s="290">
        <f>'Alternative 1-Tilt Up'!$BJ11/1000000</f>
        <v>2.2555129059326107</v>
      </c>
      <c r="J11" s="290">
        <f>'Alternative 1-Tilt Up'!$BP11/1000000</f>
        <v>0.75160794556076449</v>
      </c>
      <c r="K11" s="290">
        <f>'Alternative 1-Tilt Up'!$BV11/1000000</f>
        <v>-3.5142071595245273E-4</v>
      </c>
      <c r="L11" s="290">
        <f>'[3]Alternative 1'!$B$20/1.67</f>
        <v>149.70059880239521</v>
      </c>
      <c r="N11" s="290">
        <f>'Alternative 2'!F12</f>
        <v>9</v>
      </c>
      <c r="O11" s="290">
        <f>'Alternative 2-Tilt Up'!$T11/1000000</f>
        <v>9.18194761631106</v>
      </c>
      <c r="P11" s="290">
        <f>'Alternative 2-Tilt Up'!$Z11/1000000</f>
        <v>3.7630826469371477</v>
      </c>
      <c r="Q11" s="290">
        <f>'Alternative 2-Tilt Up'!$AF11/1000000</f>
        <v>6.0940001287453835</v>
      </c>
      <c r="R11" s="290">
        <f>'Alternative 2-Tilt Up'!$AL11/1000000</f>
        <v>6.2511203614605382</v>
      </c>
      <c r="S11" s="290">
        <f>'Alternative 2-Tilt Up'!$AR11/1000000</f>
        <v>5.7239308763539469</v>
      </c>
      <c r="T11" s="290">
        <f>'Alternative 2-Tilt Up'!$AX11/1000000</f>
        <v>4.8095258617482406</v>
      </c>
      <c r="U11" s="290">
        <f>'Alternative 2-Tilt Up'!$BD11/1000000</f>
        <v>3.6283208873937434</v>
      </c>
      <c r="V11" s="290">
        <f>'Alternative 2-Tilt Up'!$BJ11/1000000</f>
        <v>2.2555129059326107</v>
      </c>
      <c r="W11" s="290">
        <f>'Alternative 2-Tilt Up'!$BP11/1000000</f>
        <v>0.75160794556076449</v>
      </c>
      <c r="X11" s="290">
        <f>'Alternative 2-Tilt Up'!$BV11/1000000</f>
        <v>-3.5142071595245273E-4</v>
      </c>
      <c r="Y11" s="290">
        <f>'[3]Alternative 2'!$B$20/1.67</f>
        <v>149.70059880239521</v>
      </c>
      <c r="AA11" s="290">
        <f>'Alternative 3'!F12</f>
        <v>9</v>
      </c>
      <c r="AB11" s="290">
        <f>'Alternative 3-Tilt Up'!$T11/1000000</f>
        <v>9.18194761631106</v>
      </c>
      <c r="AC11" s="290">
        <f>'Alternative 3-Tilt Up'!$Z11/1000000</f>
        <v>3.7630826469371477</v>
      </c>
      <c r="AD11" s="290">
        <f>'Alternative 3-Tilt Up'!$AF11/1000000</f>
        <v>6.0940001287453835</v>
      </c>
      <c r="AE11" s="290">
        <f>'Alternative 3-Tilt Up'!$AL11/1000000</f>
        <v>6.2511203614605382</v>
      </c>
      <c r="AF11" s="290">
        <f>'Alternative 3-Tilt Up'!$AR11/1000000</f>
        <v>5.7239308763539469</v>
      </c>
      <c r="AG11" s="290">
        <f>'Alternative 3-Tilt Up'!$AX11/1000000</f>
        <v>4.8095258617482406</v>
      </c>
      <c r="AH11" s="290">
        <f>'Alternative 3-Tilt Up'!$BD11/1000000</f>
        <v>3.6283208873937434</v>
      </c>
      <c r="AI11" s="290">
        <f>'Alternative 3-Tilt Up'!$BJ11/1000000</f>
        <v>2.2555129059326107</v>
      </c>
      <c r="AJ11" s="290">
        <f>'Alternative 3-Tilt Up'!$BP11/1000000</f>
        <v>0.75160794556076449</v>
      </c>
      <c r="AK11" s="290">
        <f>'Alternative 3-Tilt Up'!$BV11/1000000</f>
        <v>-3.5142071595245273E-4</v>
      </c>
      <c r="AL11" s="290">
        <f>'[3]Alternative 3'!$B$20/1.67</f>
        <v>149.70059880239521</v>
      </c>
    </row>
    <row r="12" spans="1:38" x14ac:dyDescent="0.25">
      <c r="A12" s="290">
        <f>'Alternative 1'!F13</f>
        <v>10</v>
      </c>
      <c r="B12" s="290">
        <f>'Alternative 1-Tilt Up'!T12/1000000</f>
        <v>8.9501232173660679</v>
      </c>
      <c r="C12" s="290">
        <f>'Alternative 1-Tilt Up'!$Z12/1000000</f>
        <v>3.8290501510520474</v>
      </c>
      <c r="D12" s="290">
        <f>'Alternative 1-Tilt Up'!$AF12/1000000</f>
        <v>6.017491799468873</v>
      </c>
      <c r="E12" s="290">
        <f>'Alternative 1-Tilt Up'!$AL12/1000000</f>
        <v>6.1452432843154217</v>
      </c>
      <c r="F12" s="290">
        <f>'Alternative 1-Tilt Up'!$AR12/1000000</f>
        <v>5.619442478520952</v>
      </c>
      <c r="G12" s="290">
        <f>'Alternative 1-Tilt Up'!$AX12/1000000</f>
        <v>4.7214832635057435</v>
      </c>
      <c r="H12" s="290">
        <f>'Alternative 1-Tilt Up'!$BD12/1000000</f>
        <v>3.5661211965856907</v>
      </c>
      <c r="I12" s="290">
        <f>'Alternative 1-Tilt Up'!$BJ12/1000000</f>
        <v>2.2255783207343058</v>
      </c>
      <c r="J12" s="290">
        <f>'Alternative 1-Tilt Up'!$BP12/1000000</f>
        <v>0.75833333563604577</v>
      </c>
      <c r="K12" s="290">
        <f>'Alternative 1-Tilt Up'!$BV12/1000000</f>
        <v>-3.3184384350692442E-4</v>
      </c>
      <c r="L12" s="290">
        <f>'[3]Alternative 1'!$B$20/1.67</f>
        <v>149.70059880239521</v>
      </c>
      <c r="N12" s="290">
        <f>'Alternative 2'!F13</f>
        <v>10</v>
      </c>
      <c r="O12" s="290">
        <f>'Alternative 2-Tilt Up'!$T12/1000000</f>
        <v>8.9501232173660679</v>
      </c>
      <c r="P12" s="290">
        <f>'Alternative 2-Tilt Up'!$Z12/1000000</f>
        <v>3.8290501510520474</v>
      </c>
      <c r="Q12" s="290">
        <f>'Alternative 2-Tilt Up'!$AF12/1000000</f>
        <v>6.017491799468873</v>
      </c>
      <c r="R12" s="290">
        <f>'Alternative 2-Tilt Up'!$AL12/1000000</f>
        <v>6.1452432843154217</v>
      </c>
      <c r="S12" s="290">
        <f>'Alternative 2-Tilt Up'!$AR12/1000000</f>
        <v>5.619442478520952</v>
      </c>
      <c r="T12" s="290">
        <f>'Alternative 2-Tilt Up'!$AX12/1000000</f>
        <v>4.7214832635057435</v>
      </c>
      <c r="U12" s="290">
        <f>'Alternative 2-Tilt Up'!$BD12/1000000</f>
        <v>3.5661211965856907</v>
      </c>
      <c r="V12" s="290">
        <f>'Alternative 2-Tilt Up'!$BJ12/1000000</f>
        <v>2.2255783207343058</v>
      </c>
      <c r="W12" s="290">
        <f>'Alternative 2-Tilt Up'!$BP12/1000000</f>
        <v>0.75833333563604577</v>
      </c>
      <c r="X12" s="290">
        <f>'Alternative 2-Tilt Up'!$BV12/1000000</f>
        <v>-3.3184384350692442E-4</v>
      </c>
      <c r="Y12" s="290">
        <f>'[3]Alternative 2'!$B$20/1.67</f>
        <v>149.70059880239521</v>
      </c>
      <c r="AA12" s="290">
        <f>'Alternative 3'!F13</f>
        <v>10</v>
      </c>
      <c r="AB12" s="290">
        <f>'Alternative 3-Tilt Up'!$T12/1000000</f>
        <v>8.9501232173660679</v>
      </c>
      <c r="AC12" s="290">
        <f>'Alternative 3-Tilt Up'!$Z12/1000000</f>
        <v>3.8290501510520474</v>
      </c>
      <c r="AD12" s="290">
        <f>'Alternative 3-Tilt Up'!$AF12/1000000</f>
        <v>6.017491799468873</v>
      </c>
      <c r="AE12" s="290">
        <f>'Alternative 3-Tilt Up'!$AL12/1000000</f>
        <v>6.1452432843154217</v>
      </c>
      <c r="AF12" s="290">
        <f>'Alternative 3-Tilt Up'!$AR12/1000000</f>
        <v>5.619442478520952</v>
      </c>
      <c r="AG12" s="290">
        <f>'Alternative 3-Tilt Up'!$AX12/1000000</f>
        <v>4.7214832635057435</v>
      </c>
      <c r="AH12" s="290">
        <f>'Alternative 3-Tilt Up'!$BD12/1000000</f>
        <v>3.5661211965856907</v>
      </c>
      <c r="AI12" s="290">
        <f>'Alternative 3-Tilt Up'!$BJ12/1000000</f>
        <v>2.2255783207343058</v>
      </c>
      <c r="AJ12" s="290">
        <f>'Alternative 3-Tilt Up'!$BP12/1000000</f>
        <v>0.75833333563604577</v>
      </c>
      <c r="AK12" s="290">
        <f>'Alternative 3-Tilt Up'!$BV12/1000000</f>
        <v>-3.3184384350692442E-4</v>
      </c>
      <c r="AL12" s="290">
        <f>'[3]Alternative 3'!$B$20/1.67</f>
        <v>149.70059880239521</v>
      </c>
    </row>
    <row r="13" spans="1:38" x14ac:dyDescent="0.25">
      <c r="A13" s="290">
        <f>'Alternative 1'!F14</f>
        <v>11</v>
      </c>
      <c r="B13" s="290">
        <f>'Alternative 1-Tilt Up'!T13/1000000</f>
        <v>8.8568120215863644</v>
      </c>
      <c r="C13" s="290">
        <f>'Alternative 1-Tilt Up'!$Z13/1000000</f>
        <v>4.0450813252172821</v>
      </c>
      <c r="D13" s="290">
        <f>'Alternative 1-Tilt Up'!$AF13/1000000</f>
        <v>6.0777440289484748</v>
      </c>
      <c r="E13" s="290">
        <f>'Alternative 1-Tilt Up'!$AL13/1000000</f>
        <v>6.1637750925422283</v>
      </c>
      <c r="F13" s="290">
        <f>'Alternative 1-Tilt Up'!$AR13/1000000</f>
        <v>5.6245007468733581</v>
      </c>
      <c r="G13" s="290">
        <f>'Alternative 1-Tilt Up'!$AX13/1000000</f>
        <v>4.7253443411593858</v>
      </c>
      <c r="H13" s="290">
        <f>'Alternative 1-Tilt Up'!$BD13/1000000</f>
        <v>3.5756996138563393</v>
      </c>
      <c r="I13" s="290">
        <f>'Alternative 1-Tilt Up'!$BJ13/1000000</f>
        <v>2.2453242635085879</v>
      </c>
      <c r="J13" s="290">
        <f>'Alternative 1-Tilt Up'!$BP13/1000000</f>
        <v>0.79129282196512796</v>
      </c>
      <c r="K13" s="290">
        <f>'Alternative 1-Tilt Up'!$BV13/1000000</f>
        <v>-3.1136451810093711E-4</v>
      </c>
      <c r="L13" s="290">
        <f>'[3]Alternative 1'!$B$20/1.67</f>
        <v>149.70059880239521</v>
      </c>
      <c r="N13" s="290">
        <f>'Alternative 2'!F14</f>
        <v>11</v>
      </c>
      <c r="O13" s="290">
        <f>'Alternative 2-Tilt Up'!$T13/1000000</f>
        <v>8.8568120215863644</v>
      </c>
      <c r="P13" s="290">
        <f>'Alternative 2-Tilt Up'!$Z13/1000000</f>
        <v>4.0450813252172821</v>
      </c>
      <c r="Q13" s="290">
        <f>'Alternative 2-Tilt Up'!$AF13/1000000</f>
        <v>6.0777440289484748</v>
      </c>
      <c r="R13" s="290">
        <f>'Alternative 2-Tilt Up'!$AL13/1000000</f>
        <v>6.1637750925422283</v>
      </c>
      <c r="S13" s="290">
        <f>'Alternative 2-Tilt Up'!$AR13/1000000</f>
        <v>5.6245007468733581</v>
      </c>
      <c r="T13" s="290">
        <f>'Alternative 2-Tilt Up'!$AX13/1000000</f>
        <v>4.7253443411593858</v>
      </c>
      <c r="U13" s="290">
        <f>'Alternative 2-Tilt Up'!$BD13/1000000</f>
        <v>3.5756996138563393</v>
      </c>
      <c r="V13" s="290">
        <f>'Alternative 2-Tilt Up'!$BJ13/1000000</f>
        <v>2.2453242635085879</v>
      </c>
      <c r="W13" s="290">
        <f>'Alternative 2-Tilt Up'!$BP13/1000000</f>
        <v>0.79129282196512796</v>
      </c>
      <c r="X13" s="290">
        <f>'Alternative 2-Tilt Up'!$BV13/1000000</f>
        <v>-3.1136451810093711E-4</v>
      </c>
      <c r="Y13" s="290">
        <f>'[3]Alternative 2'!$B$20/1.67</f>
        <v>149.70059880239521</v>
      </c>
      <c r="AA13" s="290">
        <f>'Alternative 3'!F14</f>
        <v>11</v>
      </c>
      <c r="AB13" s="290">
        <f>'Alternative 3-Tilt Up'!$T13/1000000</f>
        <v>8.8568120215863644</v>
      </c>
      <c r="AC13" s="290">
        <f>'Alternative 3-Tilt Up'!$Z13/1000000</f>
        <v>4.0450813252172821</v>
      </c>
      <c r="AD13" s="290">
        <f>'Alternative 3-Tilt Up'!$AF13/1000000</f>
        <v>6.0777440289484748</v>
      </c>
      <c r="AE13" s="290">
        <f>'Alternative 3-Tilt Up'!$AL13/1000000</f>
        <v>6.1637750925422283</v>
      </c>
      <c r="AF13" s="290">
        <f>'Alternative 3-Tilt Up'!$AR13/1000000</f>
        <v>5.6245007468733581</v>
      </c>
      <c r="AG13" s="290">
        <f>'Alternative 3-Tilt Up'!$AX13/1000000</f>
        <v>4.7253443411593858</v>
      </c>
      <c r="AH13" s="290">
        <f>'Alternative 3-Tilt Up'!$BD13/1000000</f>
        <v>3.5756996138563393</v>
      </c>
      <c r="AI13" s="290">
        <f>'Alternative 3-Tilt Up'!$BJ13/1000000</f>
        <v>2.2453242635085879</v>
      </c>
      <c r="AJ13" s="290">
        <f>'Alternative 3-Tilt Up'!$BP13/1000000</f>
        <v>0.79129282196512796</v>
      </c>
      <c r="AK13" s="290">
        <f>'Alternative 3-Tilt Up'!$BV13/1000000</f>
        <v>-3.1136451810093711E-4</v>
      </c>
      <c r="AL13" s="290">
        <f>'[3]Alternative 3'!$B$20/1.67</f>
        <v>149.70059880239521</v>
      </c>
    </row>
    <row r="14" spans="1:38" x14ac:dyDescent="0.25">
      <c r="A14" s="290">
        <f>'Alternative 1'!F15</f>
        <v>12</v>
      </c>
      <c r="B14" s="290">
        <f>'Alternative 1-Tilt Up'!T14/1000000</f>
        <v>8.9110214235530609</v>
      </c>
      <c r="C14" s="290">
        <f>'Alternative 1-Tilt Up'!$Z14/1000000</f>
        <v>4.4207211219285796</v>
      </c>
      <c r="D14" s="290">
        <f>'Alternative 1-Tilt Up'!$AF14/1000000</f>
        <v>6.283547620397643</v>
      </c>
      <c r="E14" s="290">
        <f>'Alternative 1-Tilt Up'!$AL14/1000000</f>
        <v>6.3147370697210592</v>
      </c>
      <c r="F14" s="290">
        <f>'Alternative 1-Tilt Up'!$AR14/1000000</f>
        <v>5.7461763034919251</v>
      </c>
      <c r="G14" s="290">
        <f>'Alternative 1-Tilt Up'!$AX14/1000000</f>
        <v>4.8270412184587572</v>
      </c>
      <c r="H14" s="290">
        <f>'Alternative 1-Tilt Up'!$BD14/1000000</f>
        <v>3.6616847945704385</v>
      </c>
      <c r="I14" s="290">
        <f>'Alternative 1-Tilt Up'!$BJ14/1000000</f>
        <v>2.3179455807288005</v>
      </c>
      <c r="J14" s="290">
        <f>'Alternative 1-Tilt Up'!$BP14/1000000</f>
        <v>0.85215828812487393</v>
      </c>
      <c r="K14" s="290">
        <f>'Alternative 1-Tilt Up'!$BV14/1000000</f>
        <v>-2.8993825470071516E-4</v>
      </c>
      <c r="L14" s="290">
        <f>'[3]Alternative 1'!$B$20/1.67</f>
        <v>149.70059880239521</v>
      </c>
      <c r="N14" s="290">
        <f>'Alternative 2'!F15</f>
        <v>12</v>
      </c>
      <c r="O14" s="290">
        <f>'Alternative 2-Tilt Up'!$T14/1000000</f>
        <v>8.9110214235530609</v>
      </c>
      <c r="P14" s="290">
        <f>'Alternative 2-Tilt Up'!$Z14/1000000</f>
        <v>4.4207211219285796</v>
      </c>
      <c r="Q14" s="290">
        <f>'Alternative 2-Tilt Up'!$AF14/1000000</f>
        <v>6.283547620397643</v>
      </c>
      <c r="R14" s="290">
        <f>'Alternative 2-Tilt Up'!$AL14/1000000</f>
        <v>6.3147370697210592</v>
      </c>
      <c r="S14" s="290">
        <f>'Alternative 2-Tilt Up'!$AR14/1000000</f>
        <v>5.7461763034919251</v>
      </c>
      <c r="T14" s="290">
        <f>'Alternative 2-Tilt Up'!$AX14/1000000</f>
        <v>4.8270412184587572</v>
      </c>
      <c r="U14" s="290">
        <f>'Alternative 2-Tilt Up'!$BD14/1000000</f>
        <v>3.6616847945704385</v>
      </c>
      <c r="V14" s="290">
        <f>'Alternative 2-Tilt Up'!$BJ14/1000000</f>
        <v>2.3179455807288005</v>
      </c>
      <c r="W14" s="290">
        <f>'Alternative 2-Tilt Up'!$BP14/1000000</f>
        <v>0.85215828812487393</v>
      </c>
      <c r="X14" s="290">
        <f>'Alternative 2-Tilt Up'!$BV14/1000000</f>
        <v>-2.8993825470071516E-4</v>
      </c>
      <c r="Y14" s="290">
        <f>'[3]Alternative 2'!$B$20/1.67</f>
        <v>149.70059880239521</v>
      </c>
      <c r="AA14" s="290">
        <f>'Alternative 3'!F15</f>
        <v>12</v>
      </c>
      <c r="AB14" s="290">
        <f>'Alternative 3-Tilt Up'!$T14/1000000</f>
        <v>8.9110214235530609</v>
      </c>
      <c r="AC14" s="290">
        <f>'Alternative 3-Tilt Up'!$Z14/1000000</f>
        <v>4.4207211219285796</v>
      </c>
      <c r="AD14" s="290">
        <f>'Alternative 3-Tilt Up'!$AF14/1000000</f>
        <v>6.283547620397643</v>
      </c>
      <c r="AE14" s="290">
        <f>'Alternative 3-Tilt Up'!$AL14/1000000</f>
        <v>6.3147370697210592</v>
      </c>
      <c r="AF14" s="290">
        <f>'Alternative 3-Tilt Up'!$AR14/1000000</f>
        <v>5.7461763034919251</v>
      </c>
      <c r="AG14" s="290">
        <f>'Alternative 3-Tilt Up'!$AX14/1000000</f>
        <v>4.8270412184587572</v>
      </c>
      <c r="AH14" s="290">
        <f>'Alternative 3-Tilt Up'!$BD14/1000000</f>
        <v>3.6616847945704385</v>
      </c>
      <c r="AI14" s="290">
        <f>'Alternative 3-Tilt Up'!$BJ14/1000000</f>
        <v>2.3179455807288005</v>
      </c>
      <c r="AJ14" s="290">
        <f>'Alternative 3-Tilt Up'!$BP14/1000000</f>
        <v>0.85215828812487393</v>
      </c>
      <c r="AK14" s="290">
        <f>'Alternative 3-Tilt Up'!$BV14/1000000</f>
        <v>-2.8993825470071516E-4</v>
      </c>
      <c r="AL14" s="290">
        <f>'[3]Alternative 3'!$B$20/1.67</f>
        <v>149.70059880239521</v>
      </c>
    </row>
    <row r="15" spans="1:38" x14ac:dyDescent="0.25">
      <c r="A15" s="290">
        <f>'Alternative 1'!F16</f>
        <v>13</v>
      </c>
      <c r="B15" s="290">
        <f>'Alternative 1-Tilt Up'!T15/1000000</f>
        <v>9.1223439607528451</v>
      </c>
      <c r="C15" s="290">
        <f>'Alternative 1-Tilt Up'!$Z15/1000000</f>
        <v>4.9661300393385162</v>
      </c>
      <c r="D15" s="290">
        <f>'Alternative 1-Tilt Up'!$AF15/1000000</f>
        <v>6.6442622784776466</v>
      </c>
      <c r="E15" s="290">
        <f>'Alternative 1-Tilt Up'!$AL15/1000000</f>
        <v>6.6066701239429566</v>
      </c>
      <c r="F15" s="290">
        <f>'Alternative 1-Tilt Up'!$AR15/1000000</f>
        <v>5.9919979722392931</v>
      </c>
      <c r="G15" s="290">
        <f>'Alternative 1-Tilt Up'!$AX15/1000000</f>
        <v>5.0328904476334468</v>
      </c>
      <c r="H15" s="290">
        <f>'Alternative 1-Tilt Up'!$BD15/1000000</f>
        <v>3.829005257713793</v>
      </c>
      <c r="I15" s="290">
        <f>'Alternative 1-Tilt Up'!$BJ15/1000000</f>
        <v>2.446843905906714</v>
      </c>
      <c r="J15" s="290">
        <f>'Alternative 1-Tilt Up'!$BP15/1000000</f>
        <v>0.94270950602776593</v>
      </c>
      <c r="K15" s="290">
        <f>'Alternative 1-Tilt Up'!$BV15/1000000</f>
        <v>-2.6751797886355081E-4</v>
      </c>
      <c r="L15" s="290">
        <f>'[3]Alternative 1'!$B$20/1.67</f>
        <v>149.70059880239521</v>
      </c>
      <c r="N15" s="290">
        <f>'Alternative 2'!F16</f>
        <v>13</v>
      </c>
      <c r="O15" s="290">
        <f>'Alternative 2-Tilt Up'!$T15/1000000</f>
        <v>9.1223439607528451</v>
      </c>
      <c r="P15" s="290">
        <f>'Alternative 2-Tilt Up'!$Z15/1000000</f>
        <v>4.9661300393385162</v>
      </c>
      <c r="Q15" s="290">
        <f>'Alternative 2-Tilt Up'!$AF15/1000000</f>
        <v>6.6442622784776466</v>
      </c>
      <c r="R15" s="290">
        <f>'Alternative 2-Tilt Up'!$AL15/1000000</f>
        <v>6.6066701239429566</v>
      </c>
      <c r="S15" s="290">
        <f>'Alternative 2-Tilt Up'!$AR15/1000000</f>
        <v>5.9919979722392931</v>
      </c>
      <c r="T15" s="290">
        <f>'Alternative 2-Tilt Up'!$AX15/1000000</f>
        <v>5.0328904476334468</v>
      </c>
      <c r="U15" s="290">
        <f>'Alternative 2-Tilt Up'!$BD15/1000000</f>
        <v>3.829005257713793</v>
      </c>
      <c r="V15" s="290">
        <f>'Alternative 2-Tilt Up'!$BJ15/1000000</f>
        <v>2.446843905906714</v>
      </c>
      <c r="W15" s="290">
        <f>'Alternative 2-Tilt Up'!$BP15/1000000</f>
        <v>0.94270950602776593</v>
      </c>
      <c r="X15" s="290">
        <f>'Alternative 2-Tilt Up'!$BV15/1000000</f>
        <v>-2.6751797886355081E-4</v>
      </c>
      <c r="Y15" s="290">
        <f>'[3]Alternative 2'!$B$20/1.67</f>
        <v>149.70059880239521</v>
      </c>
      <c r="AA15" s="290">
        <f>'Alternative 3'!F16</f>
        <v>13</v>
      </c>
      <c r="AB15" s="290">
        <f>'Alternative 3-Tilt Up'!$T15/1000000</f>
        <v>9.1223439607528451</v>
      </c>
      <c r="AC15" s="290">
        <f>'Alternative 3-Tilt Up'!$Z15/1000000</f>
        <v>4.9661300393385162</v>
      </c>
      <c r="AD15" s="290">
        <f>'Alternative 3-Tilt Up'!$AF15/1000000</f>
        <v>6.6442622784776466</v>
      </c>
      <c r="AE15" s="290">
        <f>'Alternative 3-Tilt Up'!$AL15/1000000</f>
        <v>6.6066701239429566</v>
      </c>
      <c r="AF15" s="290">
        <f>'Alternative 3-Tilt Up'!$AR15/1000000</f>
        <v>5.9919979722392931</v>
      </c>
      <c r="AG15" s="290">
        <f>'Alternative 3-Tilt Up'!$AX15/1000000</f>
        <v>5.0328904476334468</v>
      </c>
      <c r="AH15" s="290">
        <f>'Alternative 3-Tilt Up'!$BD15/1000000</f>
        <v>3.829005257713793</v>
      </c>
      <c r="AI15" s="290">
        <f>'Alternative 3-Tilt Up'!$BJ15/1000000</f>
        <v>2.446843905906714</v>
      </c>
      <c r="AJ15" s="290">
        <f>'Alternative 3-Tilt Up'!$BP15/1000000</f>
        <v>0.94270950602776593</v>
      </c>
      <c r="AK15" s="290">
        <f>'Alternative 3-Tilt Up'!$BV15/1000000</f>
        <v>-2.6751797886355081E-4</v>
      </c>
      <c r="AL15" s="290">
        <f>'[3]Alternative 3'!$B$20/1.67</f>
        <v>149.70059880239521</v>
      </c>
    </row>
    <row r="16" spans="1:38" x14ac:dyDescent="0.25">
      <c r="A16" s="290">
        <f>'Alternative 1'!F17</f>
        <v>14</v>
      </c>
      <c r="B16" s="290">
        <f>'Alternative 1-Tilt Up'!T16/1000000</f>
        <v>9.5009998853864239</v>
      </c>
      <c r="C16" s="290">
        <f>'Alternative 1-Tilt Up'!$Z16/1000000</f>
        <v>5.6921287420408193</v>
      </c>
      <c r="D16" s="290">
        <f>'Alternative 1-Tilt Up'!$AF16/1000000</f>
        <v>7.1698579211599442</v>
      </c>
      <c r="E16" s="290">
        <f>'Alternative 1-Tilt Up'!$AL16/1000000</f>
        <v>7.0486725402659962</v>
      </c>
      <c r="F16" s="290">
        <f>'Alternative 1-Tilt Up'!$AR16/1000000</f>
        <v>6.3699860745019867</v>
      </c>
      <c r="G16" s="290">
        <f>'Alternative 1-Tilt Up'!$AX16/1000000</f>
        <v>5.3496209445145251</v>
      </c>
      <c r="H16" s="290">
        <f>'Alternative 1-Tilt Up'!$BD16/1000000</f>
        <v>4.0829111725655718</v>
      </c>
      <c r="I16" s="290">
        <f>'Alternative 1-Tilt Up'!$BJ16/1000000</f>
        <v>2.6356426769449151</v>
      </c>
      <c r="J16" s="290">
        <f>'Alternative 1-Tilt Up'!$BP16/1000000</f>
        <v>1.0648419592702738</v>
      </c>
      <c r="K16" s="290">
        <f>'Alternative 1-Tilt Up'!$BV16/1000000</f>
        <v>-2.4405384918279785E-4</v>
      </c>
      <c r="L16" s="290">
        <f>'[3]Alternative 1'!$B$20/1.67</f>
        <v>149.70059880239521</v>
      </c>
      <c r="N16" s="290">
        <f>'Alternative 2'!F17</f>
        <v>14</v>
      </c>
      <c r="O16" s="290">
        <f>'Alternative 2-Tilt Up'!$T16/1000000</f>
        <v>9.5009998853864239</v>
      </c>
      <c r="P16" s="290">
        <f>'Alternative 2-Tilt Up'!$Z16/1000000</f>
        <v>5.6921287420408193</v>
      </c>
      <c r="Q16" s="290">
        <f>'Alternative 2-Tilt Up'!$AF16/1000000</f>
        <v>7.1698579211599442</v>
      </c>
      <c r="R16" s="290">
        <f>'Alternative 2-Tilt Up'!$AL16/1000000</f>
        <v>7.0486725402659962</v>
      </c>
      <c r="S16" s="290">
        <f>'Alternative 2-Tilt Up'!$AR16/1000000</f>
        <v>6.3699860745019867</v>
      </c>
      <c r="T16" s="290">
        <f>'Alternative 2-Tilt Up'!$AX16/1000000</f>
        <v>5.3496209445145251</v>
      </c>
      <c r="U16" s="290">
        <f>'Alternative 2-Tilt Up'!$BD16/1000000</f>
        <v>4.0829111725655718</v>
      </c>
      <c r="V16" s="290">
        <f>'Alternative 2-Tilt Up'!$BJ16/1000000</f>
        <v>2.6356426769449151</v>
      </c>
      <c r="W16" s="290">
        <f>'Alternative 2-Tilt Up'!$BP16/1000000</f>
        <v>1.0648419592702738</v>
      </c>
      <c r="X16" s="290">
        <f>'Alternative 2-Tilt Up'!$BV16/1000000</f>
        <v>-2.4405384918279785E-4</v>
      </c>
      <c r="Y16" s="290">
        <f>'[3]Alternative 2'!$B$20/1.67</f>
        <v>149.70059880239521</v>
      </c>
      <c r="AA16" s="290">
        <f>'Alternative 3'!F17</f>
        <v>14</v>
      </c>
      <c r="AB16" s="290">
        <f>'Alternative 3-Tilt Up'!$T16/1000000</f>
        <v>9.5009998853864239</v>
      </c>
      <c r="AC16" s="290">
        <f>'Alternative 3-Tilt Up'!$Z16/1000000</f>
        <v>5.6921287420408193</v>
      </c>
      <c r="AD16" s="290">
        <f>'Alternative 3-Tilt Up'!$AF16/1000000</f>
        <v>7.1698579211599442</v>
      </c>
      <c r="AE16" s="290">
        <f>'Alternative 3-Tilt Up'!$AL16/1000000</f>
        <v>7.0486725402659962</v>
      </c>
      <c r="AF16" s="290">
        <f>'Alternative 3-Tilt Up'!$AR16/1000000</f>
        <v>6.3699860745019867</v>
      </c>
      <c r="AG16" s="290">
        <f>'Alternative 3-Tilt Up'!$AX16/1000000</f>
        <v>5.3496209445145251</v>
      </c>
      <c r="AH16" s="290">
        <f>'Alternative 3-Tilt Up'!$BD16/1000000</f>
        <v>4.0829111725655718</v>
      </c>
      <c r="AI16" s="290">
        <f>'Alternative 3-Tilt Up'!$BJ16/1000000</f>
        <v>2.6356426769449151</v>
      </c>
      <c r="AJ16" s="290">
        <f>'Alternative 3-Tilt Up'!$BP16/1000000</f>
        <v>1.0648419592702738</v>
      </c>
      <c r="AK16" s="290">
        <f>'Alternative 3-Tilt Up'!$BV16/1000000</f>
        <v>-2.4405384918279785E-4</v>
      </c>
      <c r="AL16" s="290">
        <f>'[3]Alternative 3'!$B$20/1.67</f>
        <v>149.70059880239521</v>
      </c>
    </row>
    <row r="17" spans="1:38" x14ac:dyDescent="0.25">
      <c r="A17" s="290">
        <f>'Alternative 1'!F18</f>
        <v>15</v>
      </c>
      <c r="B17" s="290">
        <f>'Alternative 1-Tilt Up'!T17/1000000</f>
        <v>10.057883254877776</v>
      </c>
      <c r="C17" s="290">
        <f>'Alternative 1-Tilt Up'!$Z17/1000000</f>
        <v>6.6102463618648892</v>
      </c>
      <c r="D17" s="290">
        <f>'Alternative 1-Tilt Up'!$AF17/1000000</f>
        <v>7.8709594022849156</v>
      </c>
      <c r="E17" s="290">
        <f>'Alternative 1-Tilt Up'!$AL17/1000000</f>
        <v>7.6504408509405657</v>
      </c>
      <c r="F17" s="290">
        <f>'Alternative 1-Tilt Up'!$AR17/1000000</f>
        <v>6.8886884749350417</v>
      </c>
      <c r="G17" s="290">
        <f>'Alternative 1-Tilt Up'!$AX17/1000000</f>
        <v>5.7844042309176</v>
      </c>
      <c r="H17" s="290">
        <f>'Alternative 1-Tilt Up'!$BD17/1000000</f>
        <v>4.428997944641508</v>
      </c>
      <c r="I17" s="290">
        <f>'Alternative 1-Tilt Up'!$BJ17/1000000</f>
        <v>2.8882033933730469</v>
      </c>
      <c r="J17" s="290">
        <f>'Alternative 1-Tilt Up'!$BP17/1000000</f>
        <v>1.2205753118223579</v>
      </c>
      <c r="K17" s="290">
        <f>'Alternative 1-Tilt Up'!$BV17/1000000</f>
        <v>-2.1949306559232833E-4</v>
      </c>
      <c r="L17" s="290">
        <f>'[3]Alternative 1'!$B$20/1.67</f>
        <v>149.70059880239521</v>
      </c>
      <c r="N17" s="290">
        <f>'Alternative 2'!F18</f>
        <v>15</v>
      </c>
      <c r="O17" s="290">
        <f>'Alternative 2-Tilt Up'!$T17/1000000</f>
        <v>10.057883254877776</v>
      </c>
      <c r="P17" s="290">
        <f>'Alternative 2-Tilt Up'!$Z17/1000000</f>
        <v>6.6102463618648892</v>
      </c>
      <c r="Q17" s="290">
        <f>'Alternative 2-Tilt Up'!$AF17/1000000</f>
        <v>7.8709594022849156</v>
      </c>
      <c r="R17" s="290">
        <f>'Alternative 2-Tilt Up'!$AL17/1000000</f>
        <v>7.6504408509405657</v>
      </c>
      <c r="S17" s="290">
        <f>'Alternative 2-Tilt Up'!$AR17/1000000</f>
        <v>6.8886884749350417</v>
      </c>
      <c r="T17" s="290">
        <f>'Alternative 2-Tilt Up'!$AX17/1000000</f>
        <v>5.7844042309176</v>
      </c>
      <c r="U17" s="290">
        <f>'Alternative 2-Tilt Up'!$BD17/1000000</f>
        <v>4.428997944641508</v>
      </c>
      <c r="V17" s="290">
        <f>'Alternative 2-Tilt Up'!$BJ17/1000000</f>
        <v>2.8882033933730469</v>
      </c>
      <c r="W17" s="290">
        <f>'Alternative 2-Tilt Up'!$BP17/1000000</f>
        <v>1.2205753118223579</v>
      </c>
      <c r="X17" s="290">
        <f>'Alternative 2-Tilt Up'!$BV17/1000000</f>
        <v>-2.1949306559232833E-4</v>
      </c>
      <c r="Y17" s="290">
        <f>'[3]Alternative 2'!$B$20/1.67</f>
        <v>149.70059880239521</v>
      </c>
      <c r="AA17" s="290">
        <f>'Alternative 3'!F18</f>
        <v>15</v>
      </c>
      <c r="AB17" s="290">
        <f>'Alternative 3-Tilt Up'!$T17/1000000</f>
        <v>10.057883254877776</v>
      </c>
      <c r="AC17" s="290">
        <f>'Alternative 3-Tilt Up'!$Z17/1000000</f>
        <v>6.6102463618648892</v>
      </c>
      <c r="AD17" s="290">
        <f>'Alternative 3-Tilt Up'!$AF17/1000000</f>
        <v>7.8709594022849156</v>
      </c>
      <c r="AE17" s="290">
        <f>'Alternative 3-Tilt Up'!$AL17/1000000</f>
        <v>7.6504408509405657</v>
      </c>
      <c r="AF17" s="290">
        <f>'Alternative 3-Tilt Up'!$AR17/1000000</f>
        <v>6.8886884749350417</v>
      </c>
      <c r="AG17" s="290">
        <f>'Alternative 3-Tilt Up'!$AX17/1000000</f>
        <v>5.7844042309176</v>
      </c>
      <c r="AH17" s="290">
        <f>'Alternative 3-Tilt Up'!$BD17/1000000</f>
        <v>4.428997944641508</v>
      </c>
      <c r="AI17" s="290">
        <f>'Alternative 3-Tilt Up'!$BJ17/1000000</f>
        <v>2.8882033933730469</v>
      </c>
      <c r="AJ17" s="290">
        <f>'Alternative 3-Tilt Up'!$BP17/1000000</f>
        <v>1.2205753118223579</v>
      </c>
      <c r="AK17" s="290">
        <f>'Alternative 3-Tilt Up'!$BV17/1000000</f>
        <v>-2.1949306559232833E-4</v>
      </c>
      <c r="AL17" s="290">
        <f>'[3]Alternative 3'!$B$20/1.67</f>
        <v>149.70059880239521</v>
      </c>
    </row>
    <row r="18" spans="1:38" x14ac:dyDescent="0.25">
      <c r="A18" s="290">
        <f>'Alternative 1'!F19</f>
        <v>16</v>
      </c>
      <c r="B18" s="290">
        <f>'Alternative 1-Tilt Up'!T18/1000000</f>
        <v>10.804611870247367</v>
      </c>
      <c r="C18" s="290">
        <f>'Alternative 1-Tilt Up'!$Z18/1000000</f>
        <v>7.732772822433204</v>
      </c>
      <c r="D18" s="290">
        <f>'Alternative 1-Tilt Up'!$AF18/1000000</f>
        <v>8.7588949636360276</v>
      </c>
      <c r="E18" s="290">
        <f>'Alternative 1-Tilt Up'!$AL18/1000000</f>
        <v>8.4223141148995069</v>
      </c>
      <c r="F18" s="290">
        <f>'Alternative 1-Tilt Up'!$AR18/1000000</f>
        <v>7.5572196343389137</v>
      </c>
      <c r="G18" s="290">
        <f>'Alternative 1-Tilt Up'!$AX18/1000000</f>
        <v>6.3448872000206107</v>
      </c>
      <c r="H18" s="290">
        <f>'Alternative 1-Tilt Up'!$BD18/1000000</f>
        <v>4.8732317691324942</v>
      </c>
      <c r="I18" s="290">
        <f>'Alternative 1-Tilt Up'!$BJ18/1000000</f>
        <v>3.2086432293711225</v>
      </c>
      <c r="J18" s="290">
        <f>'Alternative 1-Tilt Up'!$BP18/1000000</f>
        <v>1.4120625823477697</v>
      </c>
      <c r="K18" s="290">
        <f>'Alternative 1-Tilt Up'!$BV18/1000000</f>
        <v>-1.9377966224092759E-4</v>
      </c>
      <c r="L18" s="290">
        <f>'[3]Alternative 1'!$B$20/1.67</f>
        <v>149.70059880239521</v>
      </c>
      <c r="N18" s="290">
        <f>'Alternative 2'!F19</f>
        <v>16</v>
      </c>
      <c r="O18" s="290">
        <f>'Alternative 2-Tilt Up'!$T18/1000000</f>
        <v>10.804611870247367</v>
      </c>
      <c r="P18" s="290">
        <f>'Alternative 2-Tilt Up'!$Z18/1000000</f>
        <v>7.732772822433204</v>
      </c>
      <c r="Q18" s="290">
        <f>'Alternative 2-Tilt Up'!$AF18/1000000</f>
        <v>8.7588949636360276</v>
      </c>
      <c r="R18" s="290">
        <f>'Alternative 2-Tilt Up'!$AL18/1000000</f>
        <v>8.4223141148995069</v>
      </c>
      <c r="S18" s="290">
        <f>'Alternative 2-Tilt Up'!$AR18/1000000</f>
        <v>7.5572196343389137</v>
      </c>
      <c r="T18" s="290">
        <f>'Alternative 2-Tilt Up'!$AX18/1000000</f>
        <v>6.3448872000206107</v>
      </c>
      <c r="U18" s="290">
        <f>'Alternative 2-Tilt Up'!$BD18/1000000</f>
        <v>4.8732317691324942</v>
      </c>
      <c r="V18" s="290">
        <f>'Alternative 2-Tilt Up'!$BJ18/1000000</f>
        <v>3.2086432293711225</v>
      </c>
      <c r="W18" s="290">
        <f>'Alternative 2-Tilt Up'!$BP18/1000000</f>
        <v>1.4120625823477697</v>
      </c>
      <c r="X18" s="290">
        <f>'Alternative 2-Tilt Up'!$BV18/1000000</f>
        <v>-1.9377966224092759E-4</v>
      </c>
      <c r="Y18" s="290">
        <f>'[3]Alternative 2'!$B$20/1.67</f>
        <v>149.70059880239521</v>
      </c>
      <c r="AA18" s="290">
        <f>'Alternative 3'!F19</f>
        <v>16</v>
      </c>
      <c r="AB18" s="290">
        <f>'Alternative 3-Tilt Up'!$T18/1000000</f>
        <v>10.804611870247367</v>
      </c>
      <c r="AC18" s="290">
        <f>'Alternative 3-Tilt Up'!$Z18/1000000</f>
        <v>7.732772822433204</v>
      </c>
      <c r="AD18" s="290">
        <f>'Alternative 3-Tilt Up'!$AF18/1000000</f>
        <v>8.7588949636360276</v>
      </c>
      <c r="AE18" s="290">
        <f>'Alternative 3-Tilt Up'!$AL18/1000000</f>
        <v>8.4223141148995069</v>
      </c>
      <c r="AF18" s="290">
        <f>'Alternative 3-Tilt Up'!$AR18/1000000</f>
        <v>7.5572196343389137</v>
      </c>
      <c r="AG18" s="290">
        <f>'Alternative 3-Tilt Up'!$AX18/1000000</f>
        <v>6.3448872000206107</v>
      </c>
      <c r="AH18" s="290">
        <f>'Alternative 3-Tilt Up'!$BD18/1000000</f>
        <v>4.8732317691324942</v>
      </c>
      <c r="AI18" s="290">
        <f>'Alternative 3-Tilt Up'!$BJ18/1000000</f>
        <v>3.2086432293711225</v>
      </c>
      <c r="AJ18" s="290">
        <f>'Alternative 3-Tilt Up'!$BP18/1000000</f>
        <v>1.4120625823477697</v>
      </c>
      <c r="AK18" s="290">
        <f>'Alternative 3-Tilt Up'!$BV18/1000000</f>
        <v>-1.9377966224092759E-4</v>
      </c>
      <c r="AL18" s="290">
        <f>'[3]Alternative 3'!$B$20/1.67</f>
        <v>149.70059880239521</v>
      </c>
    </row>
    <row r="19" spans="1:38" x14ac:dyDescent="0.25">
      <c r="A19" s="290">
        <f>'Alternative 1'!F20</f>
        <v>17</v>
      </c>
      <c r="B19" s="290">
        <f>'Alternative 1-Tilt Up'!T19/1000000</f>
        <v>10.348712725972049</v>
      </c>
      <c r="C19" s="290">
        <f>'Alternative 1-Tilt Up'!$Z19/1000000</f>
        <v>7.5316180322663389</v>
      </c>
      <c r="D19" s="290">
        <f>'Alternative 1-Tilt Up'!$AF19/1000000</f>
        <v>8.4494407544570453</v>
      </c>
      <c r="E19" s="290">
        <f>'Alternative 1-Tilt Up'!$AL19/1000000</f>
        <v>8.1073169256568871</v>
      </c>
      <c r="F19" s="290">
        <f>'Alternative 1-Tilt Up'!$AR19/1000000</f>
        <v>7.2694581699941718</v>
      </c>
      <c r="G19" s="290">
        <f>'Alternative 1-Tilt Up'!$AX19/1000000</f>
        <v>6.1031178857868431</v>
      </c>
      <c r="H19" s="290">
        <f>'Alternative 1-Tilt Up'!$BD19/1000000</f>
        <v>4.6904651015910481</v>
      </c>
      <c r="I19" s="290">
        <f>'Alternative 1-Tilt Up'!$BJ19/1000000</f>
        <v>3.0942517408520578</v>
      </c>
      <c r="J19" s="290">
        <f>'Alternative 1-Tilt Up'!$BP19/1000000</f>
        <v>1.372459002447034</v>
      </c>
      <c r="K19" s="290">
        <f>'Alternative 1-Tilt Up'!$BV19/1000000</f>
        <v>-1.7728267623385102E-4</v>
      </c>
      <c r="L19" s="290">
        <f>'[3]Alternative 1'!$B$20/1.67</f>
        <v>149.70059880239521</v>
      </c>
      <c r="N19" s="290">
        <f>'Alternative 2'!F20</f>
        <v>17</v>
      </c>
      <c r="O19" s="290">
        <f>'Alternative 2-Tilt Up'!$T19/1000000</f>
        <v>10.348712725972049</v>
      </c>
      <c r="P19" s="290">
        <f>'Alternative 2-Tilt Up'!$Z19/1000000</f>
        <v>7.5316180322663389</v>
      </c>
      <c r="Q19" s="290">
        <f>'Alternative 2-Tilt Up'!$AF19/1000000</f>
        <v>8.4494407544570453</v>
      </c>
      <c r="R19" s="290">
        <f>'Alternative 2-Tilt Up'!$AL19/1000000</f>
        <v>8.1073169256568871</v>
      </c>
      <c r="S19" s="290">
        <f>'Alternative 2-Tilt Up'!$AR19/1000000</f>
        <v>7.2694581699941718</v>
      </c>
      <c r="T19" s="290">
        <f>'Alternative 2-Tilt Up'!$AX19/1000000</f>
        <v>6.1031178857868431</v>
      </c>
      <c r="U19" s="290">
        <f>'Alternative 2-Tilt Up'!$BD19/1000000</f>
        <v>4.6904651015910481</v>
      </c>
      <c r="V19" s="290">
        <f>'Alternative 2-Tilt Up'!$BJ19/1000000</f>
        <v>3.0942517408520578</v>
      </c>
      <c r="W19" s="290">
        <f>'Alternative 2-Tilt Up'!$BP19/1000000</f>
        <v>1.372459002447034</v>
      </c>
      <c r="X19" s="290">
        <f>'Alternative 2-Tilt Up'!$BV19/1000000</f>
        <v>-1.7728267623385102E-4</v>
      </c>
      <c r="Y19" s="290">
        <f>'[3]Alternative 2'!$B$20/1.67</f>
        <v>149.70059880239521</v>
      </c>
      <c r="AA19" s="290">
        <f>'Alternative 3'!F20</f>
        <v>17</v>
      </c>
      <c r="AB19" s="290">
        <f>'Alternative 3-Tilt Up'!$T19/1000000</f>
        <v>10.348712725972049</v>
      </c>
      <c r="AC19" s="290">
        <f>'Alternative 3-Tilt Up'!$Z19/1000000</f>
        <v>7.5316180322663389</v>
      </c>
      <c r="AD19" s="290">
        <f>'Alternative 3-Tilt Up'!$AF19/1000000</f>
        <v>8.4494407544570453</v>
      </c>
      <c r="AE19" s="290">
        <f>'Alternative 3-Tilt Up'!$AL19/1000000</f>
        <v>8.1073169256568871</v>
      </c>
      <c r="AF19" s="290">
        <f>'Alternative 3-Tilt Up'!$AR19/1000000</f>
        <v>7.2694581699941718</v>
      </c>
      <c r="AG19" s="290">
        <f>'Alternative 3-Tilt Up'!$AX19/1000000</f>
        <v>6.1031178857868431</v>
      </c>
      <c r="AH19" s="290">
        <f>'Alternative 3-Tilt Up'!$BD19/1000000</f>
        <v>4.6904651015910481</v>
      </c>
      <c r="AI19" s="290">
        <f>'Alternative 3-Tilt Up'!$BJ19/1000000</f>
        <v>3.0942517408520578</v>
      </c>
      <c r="AJ19" s="290">
        <f>'Alternative 3-Tilt Up'!$BP19/1000000</f>
        <v>1.372459002447034</v>
      </c>
      <c r="AK19" s="290">
        <f>'Alternative 3-Tilt Up'!$BV19/1000000</f>
        <v>-1.7728267623385102E-4</v>
      </c>
      <c r="AL19" s="290">
        <f>'[3]Alternative 3'!$B$20/1.67</f>
        <v>149.70059880239521</v>
      </c>
    </row>
    <row r="20" spans="1:38" x14ac:dyDescent="0.25">
      <c r="A20" s="290">
        <f>'Alternative 1'!F21</f>
        <v>18</v>
      </c>
      <c r="B20" s="290">
        <f>'Alternative 1-Tilt Up'!T20/1000000</f>
        <v>10.044352102200108</v>
      </c>
      <c r="C20" s="290">
        <f>'Alternative 1-Tilt Up'!$Z20/1000000</f>
        <v>7.4918270222592227</v>
      </c>
      <c r="D20" s="290">
        <f>'Alternative 1-Tilt Up'!$AF20/1000000</f>
        <v>8.2882566997468547</v>
      </c>
      <c r="E20" s="290">
        <f>'Alternative 1-Tilt Up'!$AL20/1000000</f>
        <v>7.9275203353064922</v>
      </c>
      <c r="F20" s="290">
        <f>'Alternative 1-Tilt Up'!$AR20/1000000</f>
        <v>7.100845698025898</v>
      </c>
      <c r="G20" s="290">
        <f>'Alternative 1-Tilt Up'!$AX20/1000000</f>
        <v>5.9613114664555535</v>
      </c>
      <c r="H20" s="290">
        <f>'Alternative 1-Tilt Up'!$BD20/1000000</f>
        <v>4.5857127281399119</v>
      </c>
      <c r="I20" s="290">
        <f>'Alternative 1-Tilt Up'!$BJ20/1000000</f>
        <v>3.0337408171625992</v>
      </c>
      <c r="J20" s="290">
        <f>'Alternative 1-Tilt Up'!$BP20/1000000</f>
        <v>1.3611076169348622</v>
      </c>
      <c r="K20" s="290">
        <f>'Alternative 1-Tilt Up'!$BV20/1000000</f>
        <v>-1.5998531726835852E-4</v>
      </c>
      <c r="L20" s="290">
        <f>'[3]Alternative 1'!$B$20/1.67</f>
        <v>149.70059880239521</v>
      </c>
      <c r="N20" s="290">
        <f>'Alternative 2'!F21</f>
        <v>18</v>
      </c>
      <c r="O20" s="290">
        <f>'Alternative 2-Tilt Up'!$T20/1000000</f>
        <v>10.044352102200108</v>
      </c>
      <c r="P20" s="290">
        <f>'Alternative 2-Tilt Up'!$Z20/1000000</f>
        <v>7.4918270222592227</v>
      </c>
      <c r="Q20" s="290">
        <f>'Alternative 2-Tilt Up'!$AF20/1000000</f>
        <v>8.2882566997468547</v>
      </c>
      <c r="R20" s="290">
        <f>'Alternative 2-Tilt Up'!$AL20/1000000</f>
        <v>7.9275203353064922</v>
      </c>
      <c r="S20" s="290">
        <f>'Alternative 2-Tilt Up'!$AR20/1000000</f>
        <v>7.100845698025898</v>
      </c>
      <c r="T20" s="290">
        <f>'Alternative 2-Tilt Up'!$AX20/1000000</f>
        <v>5.9613114664555535</v>
      </c>
      <c r="U20" s="290">
        <f>'Alternative 2-Tilt Up'!$BD20/1000000</f>
        <v>4.5857127281399119</v>
      </c>
      <c r="V20" s="290">
        <f>'Alternative 2-Tilt Up'!$BJ20/1000000</f>
        <v>3.0337408171625992</v>
      </c>
      <c r="W20" s="290">
        <f>'Alternative 2-Tilt Up'!$BP20/1000000</f>
        <v>1.3611076169348622</v>
      </c>
      <c r="X20" s="290">
        <f>'Alternative 2-Tilt Up'!$BV20/1000000</f>
        <v>-1.5998531726835852E-4</v>
      </c>
      <c r="Y20" s="290">
        <f>'[3]Alternative 2'!$B$20/1.67</f>
        <v>149.70059880239521</v>
      </c>
      <c r="AA20" s="290">
        <f>'Alternative 3'!F21</f>
        <v>18</v>
      </c>
      <c r="AB20" s="290">
        <f>'Alternative 3-Tilt Up'!$T20/1000000</f>
        <v>10.044352102200108</v>
      </c>
      <c r="AC20" s="290">
        <f>'Alternative 3-Tilt Up'!$Z20/1000000</f>
        <v>7.4918270222592227</v>
      </c>
      <c r="AD20" s="290">
        <f>'Alternative 3-Tilt Up'!$AF20/1000000</f>
        <v>8.2882566997468547</v>
      </c>
      <c r="AE20" s="290">
        <f>'Alternative 3-Tilt Up'!$AL20/1000000</f>
        <v>7.9275203353064922</v>
      </c>
      <c r="AF20" s="290">
        <f>'Alternative 3-Tilt Up'!$AR20/1000000</f>
        <v>7.100845698025898</v>
      </c>
      <c r="AG20" s="290">
        <f>'Alternative 3-Tilt Up'!$AX20/1000000</f>
        <v>5.9613114664555535</v>
      </c>
      <c r="AH20" s="290">
        <f>'Alternative 3-Tilt Up'!$BD20/1000000</f>
        <v>4.5857127281399119</v>
      </c>
      <c r="AI20" s="290">
        <f>'Alternative 3-Tilt Up'!$BJ20/1000000</f>
        <v>3.0337408171625992</v>
      </c>
      <c r="AJ20" s="290">
        <f>'Alternative 3-Tilt Up'!$BP20/1000000</f>
        <v>1.3611076169348622</v>
      </c>
      <c r="AK20" s="290">
        <f>'Alternative 3-Tilt Up'!$BV20/1000000</f>
        <v>-1.5998531726835852E-4</v>
      </c>
      <c r="AL20" s="290">
        <f>'[3]Alternative 3'!$B$20/1.67</f>
        <v>149.70059880239521</v>
      </c>
    </row>
    <row r="21" spans="1:38" x14ac:dyDescent="0.25">
      <c r="A21" s="290">
        <f>'Alternative 1'!F22</f>
        <v>19</v>
      </c>
      <c r="B21" s="290">
        <f>'Alternative 1-Tilt Up'!T21/1000000</f>
        <v>9.9023518589208237</v>
      </c>
      <c r="C21" s="290">
        <f>'Alternative 1-Tilt Up'!$Z21/1000000</f>
        <v>7.6246999494228556</v>
      </c>
      <c r="D21" s="290">
        <f>'Alternative 1-Tilt Up'!$AF21/1000000</f>
        <v>8.2858239284178001</v>
      </c>
      <c r="E21" s="290">
        <f>'Alternative 1-Tilt Up'!$AL21/1000000</f>
        <v>7.8925073783111808</v>
      </c>
      <c r="F21" s="290">
        <f>'Alternative 1-Tilt Up'!$AR21/1000000</f>
        <v>7.0598354967763362</v>
      </c>
      <c r="G21" s="290">
        <f>'Alternative 1-Tilt Up'!$AX21/1000000</f>
        <v>5.9265602929387802</v>
      </c>
      <c r="H21" s="290">
        <f>'Alternative 1-Tilt Up'!$BD21/1000000</f>
        <v>4.5645051007581143</v>
      </c>
      <c r="I21" s="290">
        <f>'Alternative 1-Tilt Up'!$BJ21/1000000</f>
        <v>3.0309207655095713</v>
      </c>
      <c r="J21" s="290">
        <f>'Alternative 1-Tilt Up'!$BP21/1000000</f>
        <v>1.3799903456656315</v>
      </c>
      <c r="K21" s="290">
        <f>'Alternative 1-Tilt Up'!$BV21/1000000</f>
        <v>-1.4184528031671668E-4</v>
      </c>
      <c r="L21" s="290">
        <f>'[3]Alternative 1'!$B$20/1.67</f>
        <v>149.70059880239521</v>
      </c>
      <c r="N21" s="290">
        <f>'Alternative 2'!F22</f>
        <v>19</v>
      </c>
      <c r="O21" s="290">
        <f>'Alternative 2-Tilt Up'!$T21/1000000</f>
        <v>9.9023518589208237</v>
      </c>
      <c r="P21" s="290">
        <f>'Alternative 2-Tilt Up'!$Z21/1000000</f>
        <v>7.6246999494228556</v>
      </c>
      <c r="Q21" s="290">
        <f>'Alternative 2-Tilt Up'!$AF21/1000000</f>
        <v>8.2858239284178001</v>
      </c>
      <c r="R21" s="290">
        <f>'Alternative 2-Tilt Up'!$AL21/1000000</f>
        <v>7.8925073783111808</v>
      </c>
      <c r="S21" s="290">
        <f>'Alternative 2-Tilt Up'!$AR21/1000000</f>
        <v>7.0598354967763362</v>
      </c>
      <c r="T21" s="290">
        <f>'Alternative 2-Tilt Up'!$AX21/1000000</f>
        <v>5.9265602929387802</v>
      </c>
      <c r="U21" s="290">
        <f>'Alternative 2-Tilt Up'!$BD21/1000000</f>
        <v>4.5645051007581143</v>
      </c>
      <c r="V21" s="290">
        <f>'Alternative 2-Tilt Up'!$BJ21/1000000</f>
        <v>3.0309207655095713</v>
      </c>
      <c r="W21" s="290">
        <f>'Alternative 2-Tilt Up'!$BP21/1000000</f>
        <v>1.3799903456656315</v>
      </c>
      <c r="X21" s="290">
        <f>'Alternative 2-Tilt Up'!$BV21/1000000</f>
        <v>-1.4184528031671668E-4</v>
      </c>
      <c r="Y21" s="290">
        <f>'[3]Alternative 2'!$B$20/1.67</f>
        <v>149.70059880239521</v>
      </c>
      <c r="AA21" s="290">
        <f>'Alternative 3'!F22</f>
        <v>19</v>
      </c>
      <c r="AB21" s="290">
        <f>'Alternative 3-Tilt Up'!$T21/1000000</f>
        <v>9.9023518589208237</v>
      </c>
      <c r="AC21" s="290">
        <f>'Alternative 3-Tilt Up'!$Z21/1000000</f>
        <v>7.6246999494228556</v>
      </c>
      <c r="AD21" s="290">
        <f>'Alternative 3-Tilt Up'!$AF21/1000000</f>
        <v>8.2858239284178001</v>
      </c>
      <c r="AE21" s="290">
        <f>'Alternative 3-Tilt Up'!$AL21/1000000</f>
        <v>7.8925073783111808</v>
      </c>
      <c r="AF21" s="290">
        <f>'Alternative 3-Tilt Up'!$AR21/1000000</f>
        <v>7.0598354967763362</v>
      </c>
      <c r="AG21" s="290">
        <f>'Alternative 3-Tilt Up'!$AX21/1000000</f>
        <v>5.9265602929387802</v>
      </c>
      <c r="AH21" s="290">
        <f>'Alternative 3-Tilt Up'!$BD21/1000000</f>
        <v>4.5645051007581143</v>
      </c>
      <c r="AI21" s="290">
        <f>'Alternative 3-Tilt Up'!$BJ21/1000000</f>
        <v>3.0309207655095713</v>
      </c>
      <c r="AJ21" s="290">
        <f>'Alternative 3-Tilt Up'!$BP21/1000000</f>
        <v>1.3799903456656315</v>
      </c>
      <c r="AK21" s="290">
        <f>'Alternative 3-Tilt Up'!$BV21/1000000</f>
        <v>-1.4184528031671668E-4</v>
      </c>
      <c r="AL21" s="290">
        <f>'[3]Alternative 3'!$B$20/1.67</f>
        <v>149.70059880239521</v>
      </c>
    </row>
    <row r="22" spans="1:38" x14ac:dyDescent="0.25">
      <c r="A22" s="290">
        <f>'Alternative 1'!F23</f>
        <v>20</v>
      </c>
      <c r="B22" s="290">
        <f>'Alternative 1-Tilt Up'!T22/1000000</f>
        <v>9.934298133680544</v>
      </c>
      <c r="C22" s="290">
        <f>'Alternative 1-Tilt Up'!$Z22/1000000</f>
        <v>7.9423299985364402</v>
      </c>
      <c r="D22" s="290">
        <f>'Alternative 1-Tilt Up'!$AF22/1000000</f>
        <v>8.4533613669064707</v>
      </c>
      <c r="E22" s="290">
        <f>'Alternative 1-Tilt Up'!$AL22/1000000</f>
        <v>8.0125362536218852</v>
      </c>
      <c r="F22" s="290">
        <f>'Alternative 1-Tilt Up'!$AR22/1000000</f>
        <v>7.1554765941765863</v>
      </c>
      <c r="G22" s="290">
        <f>'Alternative 1-Tilt Up'!$AX22/1000000</f>
        <v>6.0064565597460939</v>
      </c>
      <c r="H22" s="290">
        <f>'Alternative 1-Tilt Up'!$BD22/1000000</f>
        <v>4.6327623325943508</v>
      </c>
      <c r="I22" s="290">
        <f>'Alternative 1-Tilt Up'!$BJ22/1000000</f>
        <v>3.0898701464649876</v>
      </c>
      <c r="J22" s="290">
        <f>'Alternative 1-Tilt Up'!$BP22/1000000</f>
        <v>1.4312282756922206</v>
      </c>
      <c r="K22" s="290">
        <f>'Alternative 1-Tilt Up'!$BV22/1000000</f>
        <v>-1.2281760701444313E-4</v>
      </c>
      <c r="L22" s="290">
        <f>'[3]Alternative 1'!$B$20/1.67</f>
        <v>149.70059880239521</v>
      </c>
      <c r="N22" s="290">
        <f>'Alternative 2'!F23</f>
        <v>20</v>
      </c>
      <c r="O22" s="290">
        <f>'Alternative 2-Tilt Up'!$T22/1000000</f>
        <v>9.934298133680544</v>
      </c>
      <c r="P22" s="290">
        <f>'Alternative 2-Tilt Up'!$Z22/1000000</f>
        <v>7.9423299985364402</v>
      </c>
      <c r="Q22" s="290">
        <f>'Alternative 2-Tilt Up'!$AF22/1000000</f>
        <v>8.4533613669064707</v>
      </c>
      <c r="R22" s="290">
        <f>'Alternative 2-Tilt Up'!$AL22/1000000</f>
        <v>8.0125362536218852</v>
      </c>
      <c r="S22" s="290">
        <f>'Alternative 2-Tilt Up'!$AR22/1000000</f>
        <v>7.1554765941765863</v>
      </c>
      <c r="T22" s="290">
        <f>'Alternative 2-Tilt Up'!$AX22/1000000</f>
        <v>6.0064565597460939</v>
      </c>
      <c r="U22" s="290">
        <f>'Alternative 2-Tilt Up'!$BD22/1000000</f>
        <v>4.6327623325943508</v>
      </c>
      <c r="V22" s="290">
        <f>'Alternative 2-Tilt Up'!$BJ22/1000000</f>
        <v>3.0898701464649876</v>
      </c>
      <c r="W22" s="290">
        <f>'Alternative 2-Tilt Up'!$BP22/1000000</f>
        <v>1.4312282756922206</v>
      </c>
      <c r="X22" s="290">
        <f>'Alternative 2-Tilt Up'!$BV22/1000000</f>
        <v>-1.2281760701444313E-4</v>
      </c>
      <c r="Y22" s="290">
        <f>'[3]Alternative 2'!$B$20/1.67</f>
        <v>149.70059880239521</v>
      </c>
      <c r="AA22" s="290">
        <f>'Alternative 3'!F23</f>
        <v>20</v>
      </c>
      <c r="AB22" s="290">
        <f>'Alternative 3-Tilt Up'!$T22/1000000</f>
        <v>9.934298133680544</v>
      </c>
      <c r="AC22" s="290">
        <f>'Alternative 3-Tilt Up'!$Z22/1000000</f>
        <v>7.9423299985364402</v>
      </c>
      <c r="AD22" s="290">
        <f>'Alternative 3-Tilt Up'!$AF22/1000000</f>
        <v>8.4533613669064707</v>
      </c>
      <c r="AE22" s="290">
        <f>'Alternative 3-Tilt Up'!$AL22/1000000</f>
        <v>8.0125362536218852</v>
      </c>
      <c r="AF22" s="290">
        <f>'Alternative 3-Tilt Up'!$AR22/1000000</f>
        <v>7.1554765941765863</v>
      </c>
      <c r="AG22" s="290">
        <f>'Alternative 3-Tilt Up'!$AX22/1000000</f>
        <v>6.0064565597460939</v>
      </c>
      <c r="AH22" s="290">
        <f>'Alternative 3-Tilt Up'!$BD22/1000000</f>
        <v>4.6327623325943508</v>
      </c>
      <c r="AI22" s="290">
        <f>'Alternative 3-Tilt Up'!$BJ22/1000000</f>
        <v>3.0898701464649876</v>
      </c>
      <c r="AJ22" s="290">
        <f>'Alternative 3-Tilt Up'!$BP22/1000000</f>
        <v>1.4312282756922206</v>
      </c>
      <c r="AK22" s="290">
        <f>'Alternative 3-Tilt Up'!$BV22/1000000</f>
        <v>-1.2281760701444313E-4</v>
      </c>
      <c r="AL22" s="290">
        <f>'[3]Alternative 3'!$B$20/1.67</f>
        <v>149.70059880239521</v>
      </c>
    </row>
    <row r="23" spans="1:38" x14ac:dyDescent="0.25">
      <c r="A23" s="290">
        <f>'Alternative 1'!F24</f>
        <v>21</v>
      </c>
      <c r="B23" s="290">
        <f>'Alternative 1-Tilt Up'!T23/1000000</f>
        <v>10.152601685936776</v>
      </c>
      <c r="C23" s="290">
        <f>'Alternative 1-Tilt Up'!$Z23/1000000</f>
        <v>8.4576658011972743</v>
      </c>
      <c r="D23" s="290">
        <f>'Alternative 1-Tilt Up'!$AF23/1000000</f>
        <v>8.802883898919978</v>
      </c>
      <c r="E23" s="290">
        <f>'Alternative 1-Tilt Up'!$AL23/1000000</f>
        <v>8.2985935699844227</v>
      </c>
      <c r="F23" s="290">
        <f>'Alternative 1-Tilt Up'!$AR23/1000000</f>
        <v>7.3974607572290338</v>
      </c>
      <c r="G23" s="290">
        <f>'Alternative 1-Tilt Up'!$AX23/1000000</f>
        <v>6.2091317301638824</v>
      </c>
      <c r="H23" s="290">
        <f>'Alternative 1-Tilt Up'!$BD23/1000000</f>
        <v>4.7968249284033124</v>
      </c>
      <c r="I23" s="290">
        <f>'Alternative 1-Tilt Up'!$BJ23/1000000</f>
        <v>3.2149569214251543</v>
      </c>
      <c r="J23" s="290">
        <f>'Alternative 1-Tilt Up'!$BP23/1000000</f>
        <v>1.5170926181782347</v>
      </c>
      <c r="K23" s="290">
        <f>'Alternative 1-Tilt Up'!$BV23/1000000</f>
        <v>-1.0285448915035226E-4</v>
      </c>
      <c r="L23" s="290">
        <f>'[3]Alternative 1'!$B$20/1.67</f>
        <v>149.70059880239521</v>
      </c>
      <c r="N23" s="290">
        <f>'Alternative 2'!F24</f>
        <v>21</v>
      </c>
      <c r="O23" s="290">
        <f>'Alternative 2-Tilt Up'!$T23/1000000</f>
        <v>10.152601685936776</v>
      </c>
      <c r="P23" s="290">
        <f>'Alternative 2-Tilt Up'!$Z23/1000000</f>
        <v>8.4576658011972743</v>
      </c>
      <c r="Q23" s="290">
        <f>'Alternative 2-Tilt Up'!$AF23/1000000</f>
        <v>8.802883898919978</v>
      </c>
      <c r="R23" s="290">
        <f>'Alternative 2-Tilt Up'!$AL23/1000000</f>
        <v>8.2985935699844227</v>
      </c>
      <c r="S23" s="290">
        <f>'Alternative 2-Tilt Up'!$AR23/1000000</f>
        <v>7.3974607572290338</v>
      </c>
      <c r="T23" s="290">
        <f>'Alternative 2-Tilt Up'!$AX23/1000000</f>
        <v>6.2091317301638824</v>
      </c>
      <c r="U23" s="290">
        <f>'Alternative 2-Tilt Up'!$BD23/1000000</f>
        <v>4.7968249284033124</v>
      </c>
      <c r="V23" s="290">
        <f>'Alternative 2-Tilt Up'!$BJ23/1000000</f>
        <v>3.2149569214251543</v>
      </c>
      <c r="W23" s="290">
        <f>'Alternative 2-Tilt Up'!$BP23/1000000</f>
        <v>1.5170926181782347</v>
      </c>
      <c r="X23" s="290">
        <f>'Alternative 2-Tilt Up'!$BV23/1000000</f>
        <v>-1.0285448915035226E-4</v>
      </c>
      <c r="Y23" s="290">
        <f>'[3]Alternative 2'!$B$20/1.67</f>
        <v>149.70059880239521</v>
      </c>
      <c r="AA23" s="290">
        <f>'Alternative 3'!F24</f>
        <v>21</v>
      </c>
      <c r="AB23" s="290">
        <f>'Alternative 3-Tilt Up'!$T23/1000000</f>
        <v>10.152601685936776</v>
      </c>
      <c r="AC23" s="290">
        <f>'Alternative 3-Tilt Up'!$Z23/1000000</f>
        <v>8.4576658011972743</v>
      </c>
      <c r="AD23" s="290">
        <f>'Alternative 3-Tilt Up'!$AF23/1000000</f>
        <v>8.802883898919978</v>
      </c>
      <c r="AE23" s="290">
        <f>'Alternative 3-Tilt Up'!$AL23/1000000</f>
        <v>8.2985935699844227</v>
      </c>
      <c r="AF23" s="290">
        <f>'Alternative 3-Tilt Up'!$AR23/1000000</f>
        <v>7.3974607572290338</v>
      </c>
      <c r="AG23" s="290">
        <f>'Alternative 3-Tilt Up'!$AX23/1000000</f>
        <v>6.2091317301638824</v>
      </c>
      <c r="AH23" s="290">
        <f>'Alternative 3-Tilt Up'!$BD23/1000000</f>
        <v>4.7968249284033124</v>
      </c>
      <c r="AI23" s="290">
        <f>'Alternative 3-Tilt Up'!$BJ23/1000000</f>
        <v>3.2149569214251543</v>
      </c>
      <c r="AJ23" s="290">
        <f>'Alternative 3-Tilt Up'!$BP23/1000000</f>
        <v>1.5170926181782347</v>
      </c>
      <c r="AK23" s="290">
        <f>'Alternative 3-Tilt Up'!$BV23/1000000</f>
        <v>-1.0285448915035226E-4</v>
      </c>
      <c r="AL23" s="290">
        <f>'[3]Alternative 3'!$B$20/1.67</f>
        <v>149.70059880239521</v>
      </c>
    </row>
    <row r="24" spans="1:38" x14ac:dyDescent="0.25">
      <c r="A24" s="290">
        <f>'Alternative 1'!F25</f>
        <v>22</v>
      </c>
      <c r="B24" s="290">
        <f>'Alternative 1-Tilt Up'!T24/1000000</f>
        <v>10.570563653492259</v>
      </c>
      <c r="C24" s="290">
        <f>'Alternative 1-Tilt Up'!$Z24/1000000</f>
        <v>9.1845794426031286</v>
      </c>
      <c r="D24" s="290">
        <f>'Alternative 1-Tilt Up'!$AF24/1000000</f>
        <v>9.347265736325145</v>
      </c>
      <c r="E24" s="290">
        <f>'Alternative 1-Tilt Up'!$AL24/1000000</f>
        <v>8.7624523632741145</v>
      </c>
      <c r="F24" s="290">
        <f>'Alternative 1-Tilt Up'!$AR24/1000000</f>
        <v>7.7961736932257422</v>
      </c>
      <c r="G24" s="290">
        <f>'Alternative 1-Tilt Up'!$AX24/1000000</f>
        <v>6.5432994951838044</v>
      </c>
      <c r="H24" s="290">
        <f>'Alternative 1-Tilt Up'!$BD24/1000000</f>
        <v>5.0634872691868402</v>
      </c>
      <c r="I24" s="290">
        <f>'Alternative 1-Tilt Up'!$BJ24/1000000</f>
        <v>3.4108614949649882</v>
      </c>
      <c r="J24" s="290">
        <f>'Alternative 1-Tilt Up'!$BP24/1000000</f>
        <v>1.6400166463347896</v>
      </c>
      <c r="K24" s="290">
        <f>'Alternative 1-Tilt Up'!$BV24/1000000</f>
        <v>-8.1905055225165582E-5</v>
      </c>
      <c r="L24" s="290">
        <f>'[3]Alternative 1'!$B$20/1.67</f>
        <v>149.70059880239521</v>
      </c>
      <c r="N24" s="290">
        <f>'Alternative 2'!F25</f>
        <v>22</v>
      </c>
      <c r="O24" s="290">
        <f>'Alternative 2-Tilt Up'!$T24/1000000</f>
        <v>10.570563653492259</v>
      </c>
      <c r="P24" s="290">
        <f>'Alternative 2-Tilt Up'!$Z24/1000000</f>
        <v>9.1845794426031286</v>
      </c>
      <c r="Q24" s="290">
        <f>'Alternative 2-Tilt Up'!$AF24/1000000</f>
        <v>9.347265736325145</v>
      </c>
      <c r="R24" s="290">
        <f>'Alternative 2-Tilt Up'!$AL24/1000000</f>
        <v>8.7624523632741145</v>
      </c>
      <c r="S24" s="290">
        <f>'Alternative 2-Tilt Up'!$AR24/1000000</f>
        <v>7.7961736932257422</v>
      </c>
      <c r="T24" s="290">
        <f>'Alternative 2-Tilt Up'!$AX24/1000000</f>
        <v>6.5432994951838044</v>
      </c>
      <c r="U24" s="290">
        <f>'Alternative 2-Tilt Up'!$BD24/1000000</f>
        <v>5.0634872691868402</v>
      </c>
      <c r="V24" s="290">
        <f>'Alternative 2-Tilt Up'!$BJ24/1000000</f>
        <v>3.4108614949649882</v>
      </c>
      <c r="W24" s="290">
        <f>'Alternative 2-Tilt Up'!$BP24/1000000</f>
        <v>1.6400166463347896</v>
      </c>
      <c r="X24" s="290">
        <f>'Alternative 2-Tilt Up'!$BV24/1000000</f>
        <v>-8.1905055225165582E-5</v>
      </c>
      <c r="Y24" s="290">
        <f>'[3]Alternative 2'!$B$20/1.67</f>
        <v>149.70059880239521</v>
      </c>
      <c r="AA24" s="290">
        <f>'Alternative 3'!F25</f>
        <v>22</v>
      </c>
      <c r="AB24" s="290">
        <f>'Alternative 3-Tilt Up'!$T24/1000000</f>
        <v>10.570563653492259</v>
      </c>
      <c r="AC24" s="290">
        <f>'Alternative 3-Tilt Up'!$Z24/1000000</f>
        <v>9.1845794426031286</v>
      </c>
      <c r="AD24" s="290">
        <f>'Alternative 3-Tilt Up'!$AF24/1000000</f>
        <v>9.347265736325145</v>
      </c>
      <c r="AE24" s="290">
        <f>'Alternative 3-Tilt Up'!$AL24/1000000</f>
        <v>8.7624523632741145</v>
      </c>
      <c r="AF24" s="290">
        <f>'Alternative 3-Tilt Up'!$AR24/1000000</f>
        <v>7.7961736932257422</v>
      </c>
      <c r="AG24" s="290">
        <f>'Alternative 3-Tilt Up'!$AX24/1000000</f>
        <v>6.5432994951838044</v>
      </c>
      <c r="AH24" s="290">
        <f>'Alternative 3-Tilt Up'!$BD24/1000000</f>
        <v>5.0634872691868402</v>
      </c>
      <c r="AI24" s="290">
        <f>'Alternative 3-Tilt Up'!$BJ24/1000000</f>
        <v>3.4108614949649882</v>
      </c>
      <c r="AJ24" s="290">
        <f>'Alternative 3-Tilt Up'!$BP24/1000000</f>
        <v>1.6400166463347896</v>
      </c>
      <c r="AK24" s="290">
        <f>'Alternative 3-Tilt Up'!$BV24/1000000</f>
        <v>-8.1905055225165582E-5</v>
      </c>
      <c r="AL24" s="290">
        <f>'[3]Alternative 3'!$B$20/1.67</f>
        <v>149.70059880239521</v>
      </c>
    </row>
    <row r="25" spans="1:38" x14ac:dyDescent="0.25">
      <c r="A25" s="290">
        <f>'Alternative 1'!F26</f>
        <v>23</v>
      </c>
      <c r="B25" s="290">
        <f>'Alternative 1-Tilt Up'!T25/1000000</f>
        <v>9.5881447625530782</v>
      </c>
      <c r="C25" s="290">
        <f>'Alternative 1-Tilt Up'!$Z25/1000000</f>
        <v>8.3669857670109558</v>
      </c>
      <c r="D25" s="290">
        <f>'Alternative 1-Tilt Up'!$AF25/1000000</f>
        <v>8.4958439102852044</v>
      </c>
      <c r="E25" s="290">
        <f>'Alternative 1-Tilt Up'!$AL25/1000000</f>
        <v>7.9596998078829078</v>
      </c>
      <c r="F25" s="290">
        <f>'Alternative 1-Tilt Up'!$AR25/1000000</f>
        <v>7.0805591573353768</v>
      </c>
      <c r="G25" s="290">
        <f>'Alternative 1-Tilt Up'!$AX25/1000000</f>
        <v>5.9426403021701271</v>
      </c>
      <c r="H25" s="290">
        <f>'Alternative 1-Tilt Up'!$BD25/1000000</f>
        <v>4.5994701424026836</v>
      </c>
      <c r="I25" s="290">
        <f>'Alternative 1-Tilt Up'!$BJ25/1000000</f>
        <v>3.0999020806217228</v>
      </c>
      <c r="J25" s="290">
        <f>'Alternative 1-Tilt Up'!$BP25/1000000</f>
        <v>1.4933448418552129</v>
      </c>
      <c r="K25" s="290">
        <f>'Alternative 1-Tilt Up'!$BV25/1000000</f>
        <v>-7.1898166087411858E-5</v>
      </c>
      <c r="L25" s="290">
        <f>'[3]Alternative 1'!$B$20/1.67</f>
        <v>149.70059880239521</v>
      </c>
      <c r="N25" s="290">
        <f>'Alternative 2'!F26</f>
        <v>23</v>
      </c>
      <c r="O25" s="290">
        <f>'Alternative 2-Tilt Up'!$T25/1000000</f>
        <v>9.5881447625530782</v>
      </c>
      <c r="P25" s="290">
        <f>'Alternative 2-Tilt Up'!$Z25/1000000</f>
        <v>8.3669857670109558</v>
      </c>
      <c r="Q25" s="290">
        <f>'Alternative 2-Tilt Up'!$AF25/1000000</f>
        <v>8.4958439102852044</v>
      </c>
      <c r="R25" s="290">
        <f>'Alternative 2-Tilt Up'!$AL25/1000000</f>
        <v>7.9596998078829078</v>
      </c>
      <c r="S25" s="290">
        <f>'Alternative 2-Tilt Up'!$AR25/1000000</f>
        <v>7.0805591573353768</v>
      </c>
      <c r="T25" s="290">
        <f>'Alternative 2-Tilt Up'!$AX25/1000000</f>
        <v>5.9426403021701271</v>
      </c>
      <c r="U25" s="290">
        <f>'Alternative 2-Tilt Up'!$BD25/1000000</f>
        <v>4.5994701424026836</v>
      </c>
      <c r="V25" s="290">
        <f>'Alternative 2-Tilt Up'!$BJ25/1000000</f>
        <v>3.0999020806217228</v>
      </c>
      <c r="W25" s="290">
        <f>'Alternative 2-Tilt Up'!$BP25/1000000</f>
        <v>1.4933448418552129</v>
      </c>
      <c r="X25" s="290">
        <f>'Alternative 2-Tilt Up'!$BV25/1000000</f>
        <v>-7.1898166087411858E-5</v>
      </c>
      <c r="Y25" s="290">
        <f>'[3]Alternative 2'!$B$20/1.67</f>
        <v>149.70059880239521</v>
      </c>
      <c r="AA25" s="290">
        <f>'Alternative 3'!F26</f>
        <v>23</v>
      </c>
      <c r="AB25" s="290">
        <f>'Alternative 3-Tilt Up'!$T25/1000000</f>
        <v>9.5881447625530782</v>
      </c>
      <c r="AC25" s="290">
        <f>'Alternative 3-Tilt Up'!$Z25/1000000</f>
        <v>8.3669857670109558</v>
      </c>
      <c r="AD25" s="290">
        <f>'Alternative 3-Tilt Up'!$AF25/1000000</f>
        <v>8.4958439102852044</v>
      </c>
      <c r="AE25" s="290">
        <f>'Alternative 3-Tilt Up'!$AL25/1000000</f>
        <v>7.9596998078829078</v>
      </c>
      <c r="AF25" s="290">
        <f>'Alternative 3-Tilt Up'!$AR25/1000000</f>
        <v>7.0805591573353768</v>
      </c>
      <c r="AG25" s="290">
        <f>'Alternative 3-Tilt Up'!$AX25/1000000</f>
        <v>5.9426403021701271</v>
      </c>
      <c r="AH25" s="290">
        <f>'Alternative 3-Tilt Up'!$BD25/1000000</f>
        <v>4.5994701424026836</v>
      </c>
      <c r="AI25" s="290">
        <f>'Alternative 3-Tilt Up'!$BJ25/1000000</f>
        <v>3.0999020806217228</v>
      </c>
      <c r="AJ25" s="290">
        <f>'Alternative 3-Tilt Up'!$BP25/1000000</f>
        <v>1.4933448418552129</v>
      </c>
      <c r="AK25" s="290">
        <f>'Alternative 3-Tilt Up'!$BV25/1000000</f>
        <v>-7.1898166087411858E-5</v>
      </c>
      <c r="AL25" s="290">
        <f>'[3]Alternative 3'!$B$20/1.67</f>
        <v>149.70059880239521</v>
      </c>
    </row>
    <row r="26" spans="1:38" x14ac:dyDescent="0.25">
      <c r="A26" s="290">
        <f>'Alternative 1'!F27</f>
        <v>24</v>
      </c>
      <c r="B26" s="290">
        <f>'Alternative 1-Tilt Up'!T26/1000000</f>
        <v>8.7561028287653642</v>
      </c>
      <c r="C26" s="290">
        <f>'Alternative 1-Tilt Up'!$Z26/1000000</f>
        <v>7.7052881153159136</v>
      </c>
      <c r="D26" s="290">
        <f>'Alternative 1-Tilt Up'!$AF26/1000000</f>
        <v>7.7895227241991005</v>
      </c>
      <c r="E26" s="290">
        <f>'Alternative 1-Tilt Up'!$AL26/1000000</f>
        <v>7.2897461391002096</v>
      </c>
      <c r="F26" s="290">
        <f>'Alternative 1-Tilt Up'!$AR26/1000000</f>
        <v>6.4821282716396391</v>
      </c>
      <c r="G26" s="290">
        <f>'Alternative 1-Tilt Up'!$AX26/1000000</f>
        <v>5.4403002667501932</v>
      </c>
      <c r="H26" s="290">
        <f>'Alternative 1-Tilt Up'!$BD26/1000000</f>
        <v>4.2120964149895057</v>
      </c>
      <c r="I26" s="290">
        <f>'Alternative 1-Tilt Up'!$BJ26/1000000</f>
        <v>2.841700280147768</v>
      </c>
      <c r="J26" s="290">
        <f>'Alternative 1-Tilt Up'!$BP26/1000000</f>
        <v>1.3740331659263598</v>
      </c>
      <c r="K26" s="290">
        <f>'Alternative 1-Tilt Up'!$BV26/1000000</f>
        <v>-6.1378373361953517E-5</v>
      </c>
      <c r="L26" s="290">
        <f>'[3]Alternative 1'!$B$20/1.67</f>
        <v>149.70059880239521</v>
      </c>
      <c r="N26" s="290">
        <f>'Alternative 2'!F27</f>
        <v>24</v>
      </c>
      <c r="O26" s="290">
        <f>'Alternative 2-Tilt Up'!$T26/1000000</f>
        <v>8.7561028287653642</v>
      </c>
      <c r="P26" s="290">
        <f>'Alternative 2-Tilt Up'!$Z26/1000000</f>
        <v>7.7052881153159136</v>
      </c>
      <c r="Q26" s="290">
        <f>'Alternative 2-Tilt Up'!$AF26/1000000</f>
        <v>7.7895227241991005</v>
      </c>
      <c r="R26" s="290">
        <f>'Alternative 2-Tilt Up'!$AL26/1000000</f>
        <v>7.2897461391002096</v>
      </c>
      <c r="S26" s="290">
        <f>'Alternative 2-Tilt Up'!$AR26/1000000</f>
        <v>6.4821282716396391</v>
      </c>
      <c r="T26" s="290">
        <f>'Alternative 2-Tilt Up'!$AX26/1000000</f>
        <v>5.4403002667501932</v>
      </c>
      <c r="U26" s="290">
        <f>'Alternative 2-Tilt Up'!$BD26/1000000</f>
        <v>4.2120964149895057</v>
      </c>
      <c r="V26" s="290">
        <f>'Alternative 2-Tilt Up'!$BJ26/1000000</f>
        <v>2.841700280147768</v>
      </c>
      <c r="W26" s="290">
        <f>'Alternative 2-Tilt Up'!$BP26/1000000</f>
        <v>1.3740331659263598</v>
      </c>
      <c r="X26" s="290">
        <f>'Alternative 2-Tilt Up'!$BV26/1000000</f>
        <v>-6.1378373361953517E-5</v>
      </c>
      <c r="Y26" s="290">
        <f>'[3]Alternative 2'!$B$20/1.67</f>
        <v>149.70059880239521</v>
      </c>
      <c r="AA26" s="290">
        <f>'Alternative 3'!F27</f>
        <v>24</v>
      </c>
      <c r="AB26" s="290">
        <f>'Alternative 3-Tilt Up'!$T26/1000000</f>
        <v>8.7561028287653642</v>
      </c>
      <c r="AC26" s="290">
        <f>'Alternative 3-Tilt Up'!$Z26/1000000</f>
        <v>7.7052881153159136</v>
      </c>
      <c r="AD26" s="290">
        <f>'Alternative 3-Tilt Up'!$AF26/1000000</f>
        <v>7.7895227241991005</v>
      </c>
      <c r="AE26" s="290">
        <f>'Alternative 3-Tilt Up'!$AL26/1000000</f>
        <v>7.2897461391002096</v>
      </c>
      <c r="AF26" s="290">
        <f>'Alternative 3-Tilt Up'!$AR26/1000000</f>
        <v>6.4821282716396391</v>
      </c>
      <c r="AG26" s="290">
        <f>'Alternative 3-Tilt Up'!$AX26/1000000</f>
        <v>5.4403002667501932</v>
      </c>
      <c r="AH26" s="290">
        <f>'Alternative 3-Tilt Up'!$BD26/1000000</f>
        <v>4.2120964149895057</v>
      </c>
      <c r="AI26" s="290">
        <f>'Alternative 3-Tilt Up'!$BJ26/1000000</f>
        <v>2.841700280147768</v>
      </c>
      <c r="AJ26" s="290">
        <f>'Alternative 3-Tilt Up'!$BP26/1000000</f>
        <v>1.3740331659263598</v>
      </c>
      <c r="AK26" s="290">
        <f>'Alternative 3-Tilt Up'!$BV26/1000000</f>
        <v>-6.1378373361953517E-5</v>
      </c>
      <c r="AL26" s="290">
        <f>'[3]Alternative 3'!$B$20/1.67</f>
        <v>149.70059880239521</v>
      </c>
    </row>
    <row r="27" spans="1:38" x14ac:dyDescent="0.25">
      <c r="A27" s="290">
        <f>'Alternative 1'!F28</f>
        <v>25</v>
      </c>
      <c r="B27" s="290">
        <f>'Alternative 1-Tilt Up'!T27/1000000</f>
        <v>8.0864812707050095</v>
      </c>
      <c r="C27" s="290">
        <f>'Alternative 1-Tilt Up'!$Z27/1000000</f>
        <v>7.2117899741506291</v>
      </c>
      <c r="D27" s="290">
        <f>'Alternative 1-Tilt Up'!$AF27/1000000</f>
        <v>7.2398355990287744</v>
      </c>
      <c r="E27" s="290">
        <f>'Alternative 1-Tilt Up'!$AL27/1000000</f>
        <v>6.7631682630133234</v>
      </c>
      <c r="F27" s="290">
        <f>'Alternative 1-Tilt Up'!$AR27/1000000</f>
        <v>6.0102208206645154</v>
      </c>
      <c r="G27" s="290">
        <f>'Alternative 1-Tilt Up'!$AX27/1000000</f>
        <v>5.0441158562710848</v>
      </c>
      <c r="H27" s="290">
        <f>'Alternative 1-Tilt Up'!$BD27/1000000</f>
        <v>3.9074710803669834</v>
      </c>
      <c r="I27" s="290">
        <f>'Alternative 1-Tilt Up'!$BJ27/1000000</f>
        <v>2.6404508249182026</v>
      </c>
      <c r="J27" s="290">
        <f>'Alternative 1-Tilt Up'!$BP27/1000000</f>
        <v>1.2842437923088179</v>
      </c>
      <c r="K27" s="290">
        <f>'Alternative 1-Tilt Up'!$BV27/1000000</f>
        <v>-5.0316697980340345E-5</v>
      </c>
      <c r="L27" s="290">
        <f>'[3]Alternative 1'!$B$20/1.67</f>
        <v>149.70059880239521</v>
      </c>
      <c r="N27" s="290">
        <f>'Alternative 2'!F28</f>
        <v>25</v>
      </c>
      <c r="O27" s="290">
        <f>'Alternative 2-Tilt Up'!$T27/1000000</f>
        <v>8.0864812707050095</v>
      </c>
      <c r="P27" s="290">
        <f>'Alternative 2-Tilt Up'!$Z27/1000000</f>
        <v>7.2117899741506291</v>
      </c>
      <c r="Q27" s="290">
        <f>'Alternative 2-Tilt Up'!$AF27/1000000</f>
        <v>7.2398355990287744</v>
      </c>
      <c r="R27" s="290">
        <f>'Alternative 2-Tilt Up'!$AL27/1000000</f>
        <v>6.7631682630133234</v>
      </c>
      <c r="S27" s="290">
        <f>'Alternative 2-Tilt Up'!$AR27/1000000</f>
        <v>6.0102208206645154</v>
      </c>
      <c r="T27" s="290">
        <f>'Alternative 2-Tilt Up'!$AX27/1000000</f>
        <v>5.0441158562710848</v>
      </c>
      <c r="U27" s="290">
        <f>'Alternative 2-Tilt Up'!$BD27/1000000</f>
        <v>3.9074710803669834</v>
      </c>
      <c r="V27" s="290">
        <f>'Alternative 2-Tilt Up'!$BJ27/1000000</f>
        <v>2.6404508249182026</v>
      </c>
      <c r="W27" s="290">
        <f>'Alternative 2-Tilt Up'!$BP27/1000000</f>
        <v>1.2842437923088179</v>
      </c>
      <c r="X27" s="290">
        <f>'Alternative 2-Tilt Up'!$BV27/1000000</f>
        <v>-5.0316697980340345E-5</v>
      </c>
      <c r="Y27" s="290">
        <f>'[3]Alternative 2'!$B$20/1.67</f>
        <v>149.70059880239521</v>
      </c>
      <c r="AA27" s="290">
        <f>'Alternative 3'!F28</f>
        <v>25</v>
      </c>
      <c r="AB27" s="290">
        <f>'Alternative 3-Tilt Up'!$T27/1000000</f>
        <v>8.0864812707050095</v>
      </c>
      <c r="AC27" s="290">
        <f>'Alternative 3-Tilt Up'!$Z27/1000000</f>
        <v>7.2117899741506291</v>
      </c>
      <c r="AD27" s="290">
        <f>'Alternative 3-Tilt Up'!$AF27/1000000</f>
        <v>7.2398355990287744</v>
      </c>
      <c r="AE27" s="290">
        <f>'Alternative 3-Tilt Up'!$AL27/1000000</f>
        <v>6.7631682630133234</v>
      </c>
      <c r="AF27" s="290">
        <f>'Alternative 3-Tilt Up'!$AR27/1000000</f>
        <v>6.0102208206645154</v>
      </c>
      <c r="AG27" s="290">
        <f>'Alternative 3-Tilt Up'!$AX27/1000000</f>
        <v>5.0441158562710848</v>
      </c>
      <c r="AH27" s="290">
        <f>'Alternative 3-Tilt Up'!$BD27/1000000</f>
        <v>3.9074710803669834</v>
      </c>
      <c r="AI27" s="290">
        <f>'Alternative 3-Tilt Up'!$BJ27/1000000</f>
        <v>2.6404508249182026</v>
      </c>
      <c r="AJ27" s="290">
        <f>'Alternative 3-Tilt Up'!$BP27/1000000</f>
        <v>1.2842437923088179</v>
      </c>
      <c r="AK27" s="290">
        <f>'Alternative 3-Tilt Up'!$BV27/1000000</f>
        <v>-5.0316697980340345E-5</v>
      </c>
      <c r="AL27" s="290">
        <f>'[3]Alternative 3'!$B$20/1.67</f>
        <v>149.70059880239521</v>
      </c>
    </row>
    <row r="28" spans="1:38" x14ac:dyDescent="0.25">
      <c r="A28" s="290">
        <f>'Alternative 1'!F29</f>
        <v>26</v>
      </c>
      <c r="B28" s="290">
        <f>'Alternative 1-Tilt Up'!T28/1000000</f>
        <v>7.5922502240657739</v>
      </c>
      <c r="C28" s="290">
        <f>'Alternative 1-Tilt Up'!$Z28/1000000</f>
        <v>6.8997373407093363</v>
      </c>
      <c r="D28" s="290">
        <f>'Alternative 1-Tilt Up'!$AF28/1000000</f>
        <v>6.8592014026046204</v>
      </c>
      <c r="E28" s="290">
        <f>'Alternative 1-Tilt Up'!$AL28/1000000</f>
        <v>6.391355596293228</v>
      </c>
      <c r="F28" s="290">
        <f>'Alternative 1-Tilt Up'!$AR28/1000000</f>
        <v>5.674894217873681</v>
      </c>
      <c r="G28" s="290">
        <f>'Alternative 1-Tilt Up'!$AX28/1000000</f>
        <v>4.7625256637700017</v>
      </c>
      <c r="H28" s="290">
        <f>'Alternative 1-Tilt Up'!$BD28/1000000</f>
        <v>3.6921681284601902</v>
      </c>
      <c r="I28" s="290">
        <f>'Alternative 1-Tilt Up'!$BJ28/1000000</f>
        <v>2.5006705147145505</v>
      </c>
      <c r="J28" s="290">
        <f>'Alternative 1-Tilt Up'!$BP28/1000000</f>
        <v>1.2263045962393504</v>
      </c>
      <c r="K28" s="290">
        <f>'Alternative 1-Tilt Up'!$BV28/1000000</f>
        <v>-3.8682211488659118E-5</v>
      </c>
      <c r="L28" s="290">
        <f>'[3]Alternative 1'!$B$20/1.67</f>
        <v>149.70059880239521</v>
      </c>
      <c r="N28" s="290">
        <f>'Alternative 2'!F29</f>
        <v>26</v>
      </c>
      <c r="O28" s="290">
        <f>'Alternative 2-Tilt Up'!$T28/1000000</f>
        <v>7.5922502240657739</v>
      </c>
      <c r="P28" s="290">
        <f>'Alternative 2-Tilt Up'!$Z28/1000000</f>
        <v>6.8997373407093363</v>
      </c>
      <c r="Q28" s="290">
        <f>'Alternative 2-Tilt Up'!$AF28/1000000</f>
        <v>6.8592014026046204</v>
      </c>
      <c r="R28" s="290">
        <f>'Alternative 2-Tilt Up'!$AL28/1000000</f>
        <v>6.391355596293228</v>
      </c>
      <c r="S28" s="290">
        <f>'Alternative 2-Tilt Up'!$AR28/1000000</f>
        <v>5.674894217873681</v>
      </c>
      <c r="T28" s="290">
        <f>'Alternative 2-Tilt Up'!$AX28/1000000</f>
        <v>4.7625256637700017</v>
      </c>
      <c r="U28" s="290">
        <f>'Alternative 2-Tilt Up'!$BD28/1000000</f>
        <v>3.6921681284601902</v>
      </c>
      <c r="V28" s="290">
        <f>'Alternative 2-Tilt Up'!$BJ28/1000000</f>
        <v>2.5006705147145505</v>
      </c>
      <c r="W28" s="290">
        <f>'Alternative 2-Tilt Up'!$BP28/1000000</f>
        <v>1.2263045962393504</v>
      </c>
      <c r="X28" s="290">
        <f>'Alternative 2-Tilt Up'!$BV28/1000000</f>
        <v>-3.8682211488659118E-5</v>
      </c>
      <c r="Y28" s="290">
        <f>'[3]Alternative 2'!$B$20/1.67</f>
        <v>149.70059880239521</v>
      </c>
      <c r="AA28" s="290">
        <f>'Alternative 3'!F29</f>
        <v>26</v>
      </c>
      <c r="AB28" s="290">
        <f>'Alternative 3-Tilt Up'!$T28/1000000</f>
        <v>7.5922502240657739</v>
      </c>
      <c r="AC28" s="290">
        <f>'Alternative 3-Tilt Up'!$Z28/1000000</f>
        <v>6.8997373407093363</v>
      </c>
      <c r="AD28" s="290">
        <f>'Alternative 3-Tilt Up'!$AF28/1000000</f>
        <v>6.8592014026046204</v>
      </c>
      <c r="AE28" s="290">
        <f>'Alternative 3-Tilt Up'!$AL28/1000000</f>
        <v>6.391355596293228</v>
      </c>
      <c r="AF28" s="290">
        <f>'Alternative 3-Tilt Up'!$AR28/1000000</f>
        <v>5.674894217873681</v>
      </c>
      <c r="AG28" s="290">
        <f>'Alternative 3-Tilt Up'!$AX28/1000000</f>
        <v>4.7625256637700017</v>
      </c>
      <c r="AH28" s="290">
        <f>'Alternative 3-Tilt Up'!$BD28/1000000</f>
        <v>3.6921681284601902</v>
      </c>
      <c r="AI28" s="290">
        <f>'Alternative 3-Tilt Up'!$BJ28/1000000</f>
        <v>2.5006705147145505</v>
      </c>
      <c r="AJ28" s="290">
        <f>'Alternative 3-Tilt Up'!$BP28/1000000</f>
        <v>1.2263045962393504</v>
      </c>
      <c r="AK28" s="290">
        <f>'Alternative 3-Tilt Up'!$BV28/1000000</f>
        <v>-3.8682211488659118E-5</v>
      </c>
      <c r="AL28" s="290">
        <f>'[3]Alternative 3'!$B$20/1.67</f>
        <v>149.70059880239521</v>
      </c>
    </row>
    <row r="29" spans="1:38" x14ac:dyDescent="0.25">
      <c r="A29" s="290">
        <f>'Alternative 1'!F30</f>
        <v>27</v>
      </c>
      <c r="B29" s="290">
        <f>'Alternative 1-Tilt Up'!T29/1000000</f>
        <v>7.2873857897117986</v>
      </c>
      <c r="C29" s="290">
        <f>'Alternative 1-Tilt Up'!$Z29/1000000</f>
        <v>6.783399147423979</v>
      </c>
      <c r="D29" s="290">
        <f>'Alternative 1-Tilt Up'!$AF29/1000000</f>
        <v>6.6610000848741642</v>
      </c>
      <c r="E29" s="290">
        <f>'Alternative 1-Tilt Up'!$AL29/1000000</f>
        <v>6.186579491758434</v>
      </c>
      <c r="F29" s="290">
        <f>'Alternative 1-Tilt Up'!$AR29/1000000</f>
        <v>5.4869848303274953</v>
      </c>
      <c r="G29" s="290">
        <f>'Alternative 1-Tilt Up'!$AX29/1000000</f>
        <v>4.6046218625693136</v>
      </c>
      <c r="H29" s="290">
        <f>'Alternative 1-Tilt Up'!$BD29/1000000</f>
        <v>3.5732706200763977</v>
      </c>
      <c r="I29" s="290">
        <f>'Alternative 1-Tilt Up'!$BJ29/1000000</f>
        <v>2.427225730159206</v>
      </c>
      <c r="J29" s="290">
        <f>'Alternative 1-Tilt Up'!$BP29/1000000</f>
        <v>1.2027232965905763</v>
      </c>
      <c r="K29" s="290">
        <f>'Alternative 1-Tilt Up'!$BV29/1000000</f>
        <v>-2.6441880913061483E-5</v>
      </c>
      <c r="L29" s="290">
        <f>'[3]Alternative 1'!$B$20/1.67</f>
        <v>149.70059880239521</v>
      </c>
      <c r="N29" s="290">
        <f>'Alternative 2'!F30</f>
        <v>27</v>
      </c>
      <c r="O29" s="290">
        <f>'Alternative 2-Tilt Up'!$T29/1000000</f>
        <v>7.2873857897117986</v>
      </c>
      <c r="P29" s="290">
        <f>'Alternative 2-Tilt Up'!$Z29/1000000</f>
        <v>6.783399147423979</v>
      </c>
      <c r="Q29" s="290">
        <f>'Alternative 2-Tilt Up'!$AF29/1000000</f>
        <v>6.6610000848741642</v>
      </c>
      <c r="R29" s="290">
        <f>'Alternative 2-Tilt Up'!$AL29/1000000</f>
        <v>6.186579491758434</v>
      </c>
      <c r="S29" s="290">
        <f>'Alternative 2-Tilt Up'!$AR29/1000000</f>
        <v>5.4869848303274953</v>
      </c>
      <c r="T29" s="290">
        <f>'Alternative 2-Tilt Up'!$AX29/1000000</f>
        <v>4.6046218625693136</v>
      </c>
      <c r="U29" s="290">
        <f>'Alternative 2-Tilt Up'!$BD29/1000000</f>
        <v>3.5732706200763977</v>
      </c>
      <c r="V29" s="290">
        <f>'Alternative 2-Tilt Up'!$BJ29/1000000</f>
        <v>2.427225730159206</v>
      </c>
      <c r="W29" s="290">
        <f>'Alternative 2-Tilt Up'!$BP29/1000000</f>
        <v>1.2027232965905763</v>
      </c>
      <c r="X29" s="290">
        <f>'Alternative 2-Tilt Up'!$BV29/1000000</f>
        <v>-2.6441880913061483E-5</v>
      </c>
      <c r="Y29" s="290">
        <f>'[3]Alternative 2'!$B$20/1.67</f>
        <v>149.70059880239521</v>
      </c>
      <c r="AA29" s="290">
        <f>'Alternative 3'!F30</f>
        <v>27</v>
      </c>
      <c r="AB29" s="290">
        <f>'Alternative 3-Tilt Up'!$T29/1000000</f>
        <v>7.2873857897117986</v>
      </c>
      <c r="AC29" s="290">
        <f>'Alternative 3-Tilt Up'!$Z29/1000000</f>
        <v>6.783399147423979</v>
      </c>
      <c r="AD29" s="290">
        <f>'Alternative 3-Tilt Up'!$AF29/1000000</f>
        <v>6.6610000848741642</v>
      </c>
      <c r="AE29" s="290">
        <f>'Alternative 3-Tilt Up'!$AL29/1000000</f>
        <v>6.186579491758434</v>
      </c>
      <c r="AF29" s="290">
        <f>'Alternative 3-Tilt Up'!$AR29/1000000</f>
        <v>5.4869848303274953</v>
      </c>
      <c r="AG29" s="290">
        <f>'Alternative 3-Tilt Up'!$AX29/1000000</f>
        <v>4.6046218625693136</v>
      </c>
      <c r="AH29" s="290">
        <f>'Alternative 3-Tilt Up'!$BD29/1000000</f>
        <v>3.5732706200763977</v>
      </c>
      <c r="AI29" s="290">
        <f>'Alternative 3-Tilt Up'!$BJ29/1000000</f>
        <v>2.427225730159206</v>
      </c>
      <c r="AJ29" s="290">
        <f>'Alternative 3-Tilt Up'!$BP29/1000000</f>
        <v>1.2027232965905763</v>
      </c>
      <c r="AK29" s="290">
        <f>'Alternative 3-Tilt Up'!$BV29/1000000</f>
        <v>-2.6441880913061483E-5</v>
      </c>
      <c r="AL29" s="290">
        <f>'[3]Alternative 3'!$B$20/1.67</f>
        <v>149.70059880239521</v>
      </c>
    </row>
    <row r="30" spans="1:38" x14ac:dyDescent="0.25">
      <c r="A30" s="290">
        <f>'Alternative 1'!F31</f>
        <v>28</v>
      </c>
      <c r="B30" s="290">
        <f>'Alternative 1-Tilt Up'!T30/1000000</f>
        <v>7.1869569661603867</v>
      </c>
      <c r="C30" s="290">
        <f>'Alternative 1-Tilt Up'!$Z30/1000000</f>
        <v>6.8781554752335401</v>
      </c>
      <c r="D30" s="290">
        <f>'Alternative 1-Tilt Up'!$AF30/1000000</f>
        <v>6.6596556424872428</v>
      </c>
      <c r="E30" s="290">
        <f>'Alternative 1-Tilt Up'!$AL30/1000000</f>
        <v>6.1620693927091184</v>
      </c>
      <c r="F30" s="290">
        <f>'Alternative 1-Tilt Up'!$AR30/1000000</f>
        <v>5.4581752473287404</v>
      </c>
      <c r="G30" s="290">
        <f>'Alternative 1-Tilt Up'!$AX30/1000000</f>
        <v>4.5802066481995558</v>
      </c>
      <c r="H30" s="290">
        <f>'Alternative 1-Tilt Up'!$BD30/1000000</f>
        <v>3.558414645351911</v>
      </c>
      <c r="I30" s="290">
        <f>'Alternative 1-Tilt Up'!$BJ30/1000000</f>
        <v>2.4253626112763076</v>
      </c>
      <c r="J30" s="290">
        <f>'Alternative 1-Tilt Up'!$BP30/1000000</f>
        <v>1.2162029677651387</v>
      </c>
      <c r="K30" s="290">
        <f>'Alternative 1-Tilt Up'!$BV30/1000000</f>
        <v>-1.3560399242731267E-5</v>
      </c>
      <c r="L30" s="290">
        <f>'[3]Alternative 1'!$B$20/1.67</f>
        <v>149.70059880239521</v>
      </c>
      <c r="N30" s="290">
        <f>'Alternative 2'!F31</f>
        <v>28</v>
      </c>
      <c r="O30" s="290">
        <f>'Alternative 2-Tilt Up'!$T30/1000000</f>
        <v>7.1869569661603867</v>
      </c>
      <c r="P30" s="290">
        <f>'Alternative 2-Tilt Up'!$Z30/1000000</f>
        <v>6.8781554752335401</v>
      </c>
      <c r="Q30" s="290">
        <f>'Alternative 2-Tilt Up'!$AF30/1000000</f>
        <v>6.6596556424872428</v>
      </c>
      <c r="R30" s="290">
        <f>'Alternative 2-Tilt Up'!$AL30/1000000</f>
        <v>6.1620693927091184</v>
      </c>
      <c r="S30" s="290">
        <f>'Alternative 2-Tilt Up'!$AR30/1000000</f>
        <v>5.4581752473287404</v>
      </c>
      <c r="T30" s="290">
        <f>'Alternative 2-Tilt Up'!$AX30/1000000</f>
        <v>4.5802066481995558</v>
      </c>
      <c r="U30" s="290">
        <f>'Alternative 2-Tilt Up'!$BD30/1000000</f>
        <v>3.558414645351911</v>
      </c>
      <c r="V30" s="290">
        <f>'Alternative 2-Tilt Up'!$BJ30/1000000</f>
        <v>2.4253626112763076</v>
      </c>
      <c r="W30" s="290">
        <f>'Alternative 2-Tilt Up'!$BP30/1000000</f>
        <v>1.2162029677651387</v>
      </c>
      <c r="X30" s="290">
        <f>'Alternative 2-Tilt Up'!$BV30/1000000</f>
        <v>-1.3560399242731267E-5</v>
      </c>
      <c r="Y30" s="290">
        <f>'[3]Alternative 2'!$B$20/1.67</f>
        <v>149.70059880239521</v>
      </c>
      <c r="AA30" s="290">
        <f>'Alternative 3'!F31</f>
        <v>28</v>
      </c>
      <c r="AB30" s="290">
        <f>'Alternative 3-Tilt Up'!$T30/1000000</f>
        <v>7.1869569661603867</v>
      </c>
      <c r="AC30" s="290">
        <f>'Alternative 3-Tilt Up'!$Z30/1000000</f>
        <v>6.8781554752335401</v>
      </c>
      <c r="AD30" s="290">
        <f>'Alternative 3-Tilt Up'!$AF30/1000000</f>
        <v>6.6596556424872428</v>
      </c>
      <c r="AE30" s="290">
        <f>'Alternative 3-Tilt Up'!$AL30/1000000</f>
        <v>6.1620693927091184</v>
      </c>
      <c r="AF30" s="290">
        <f>'Alternative 3-Tilt Up'!$AR30/1000000</f>
        <v>5.4581752473287404</v>
      </c>
      <c r="AG30" s="290">
        <f>'Alternative 3-Tilt Up'!$AX30/1000000</f>
        <v>4.5802066481995558</v>
      </c>
      <c r="AH30" s="290">
        <f>'Alternative 3-Tilt Up'!$BD30/1000000</f>
        <v>3.558414645351911</v>
      </c>
      <c r="AI30" s="290">
        <f>'Alternative 3-Tilt Up'!$BJ30/1000000</f>
        <v>2.4253626112763076</v>
      </c>
      <c r="AJ30" s="290">
        <f>'Alternative 3-Tilt Up'!$BP30/1000000</f>
        <v>1.2162029677651387</v>
      </c>
      <c r="AK30" s="290">
        <f>'Alternative 3-Tilt Up'!$BV30/1000000</f>
        <v>-1.3560399242731267E-5</v>
      </c>
      <c r="AL30" s="290">
        <f>'[3]Alternative 3'!$B$20/1.67</f>
        <v>149.70059880239521</v>
      </c>
    </row>
    <row r="31" spans="1:38" x14ac:dyDescent="0.25">
      <c r="A31" s="290">
        <f>'Alternative 1'!F32</f>
        <v>29</v>
      </c>
      <c r="B31" s="290">
        <f>'Alternative 1-Tilt Up'!T31/1000000</f>
        <v>7.3072211098649831</v>
      </c>
      <c r="C31" s="290">
        <f>'Alternative 1-Tilt Up'!$Z31/1000000</f>
        <v>7.2005944095302441</v>
      </c>
      <c r="D31" s="290">
        <f>'Alternative 1-Tilt Up'!$AF31/1000000</f>
        <v>6.87072721677076</v>
      </c>
      <c r="E31" s="290">
        <f>'Alternative 1-Tilt Up'!$AL31/1000000</f>
        <v>6.332096454285427</v>
      </c>
      <c r="F31" s="290">
        <f>'Alternative 1-Tilt Up'!$AR31/1000000</f>
        <v>5.6010681452320403</v>
      </c>
      <c r="G31" s="290">
        <f>'Alternative 1-Tilt Up'!$AX31/1000000</f>
        <v>4.6998542148630174</v>
      </c>
      <c r="H31" s="290">
        <f>'Alternative 1-Tilt Up'!$BD31/1000000</f>
        <v>3.6558375924163666</v>
      </c>
      <c r="I31" s="290">
        <f>'Alternative 1-Tilt Up'!$BJ31/1000000</f>
        <v>2.5007401946672267</v>
      </c>
      <c r="J31" s="290">
        <f>'Alternative 1-Tilt Up'!$BP31/1000000</f>
        <v>1.2696590715387204</v>
      </c>
      <c r="K31" s="290">
        <f>'Alternative 1-Tilt Up'!$BV31/1000000</f>
        <v>4.4789437777457602E-16</v>
      </c>
      <c r="L31" s="290">
        <f>'[3]Alternative 1'!$B$20/1.67</f>
        <v>149.70059880239521</v>
      </c>
      <c r="N31" s="290">
        <f>'Alternative 2'!F32</f>
        <v>29</v>
      </c>
      <c r="O31" s="290">
        <f>'Alternative 2-Tilt Up'!$T31/1000000</f>
        <v>7.3072211098649831</v>
      </c>
      <c r="P31" s="290">
        <f>'Alternative 2-Tilt Up'!$Z31/1000000</f>
        <v>7.2005944095302441</v>
      </c>
      <c r="Q31" s="290">
        <f>'Alternative 2-Tilt Up'!$AF31/1000000</f>
        <v>6.87072721677076</v>
      </c>
      <c r="R31" s="290">
        <f>'Alternative 2-Tilt Up'!$AL31/1000000</f>
        <v>6.332096454285427</v>
      </c>
      <c r="S31" s="290">
        <f>'Alternative 2-Tilt Up'!$AR31/1000000</f>
        <v>5.6010681452320403</v>
      </c>
      <c r="T31" s="290">
        <f>'Alternative 2-Tilt Up'!$AX31/1000000</f>
        <v>4.6998542148630174</v>
      </c>
      <c r="U31" s="290">
        <f>'Alternative 2-Tilt Up'!$BD31/1000000</f>
        <v>3.6558375924163666</v>
      </c>
      <c r="V31" s="290">
        <f>'Alternative 2-Tilt Up'!$BJ31/1000000</f>
        <v>2.5007401946672267</v>
      </c>
      <c r="W31" s="290">
        <f>'Alternative 2-Tilt Up'!$BP31/1000000</f>
        <v>1.2696590715387204</v>
      </c>
      <c r="X31" s="290">
        <f>'Alternative 2-Tilt Up'!$BV31/1000000</f>
        <v>4.4789437777457602E-16</v>
      </c>
      <c r="Y31" s="290">
        <f>'[3]Alternative 2'!$B$20/1.67</f>
        <v>149.70059880239521</v>
      </c>
      <c r="AA31" s="290">
        <f>'Alternative 3'!F32</f>
        <v>29</v>
      </c>
      <c r="AB31" s="290">
        <f>'Alternative 3-Tilt Up'!$T31/1000000</f>
        <v>7.3072211098649831</v>
      </c>
      <c r="AC31" s="290">
        <f>'Alternative 3-Tilt Up'!$Z31/1000000</f>
        <v>7.2005944095302441</v>
      </c>
      <c r="AD31" s="290">
        <f>'Alternative 3-Tilt Up'!$AF31/1000000</f>
        <v>6.87072721677076</v>
      </c>
      <c r="AE31" s="290">
        <f>'Alternative 3-Tilt Up'!$AL31/1000000</f>
        <v>6.332096454285427</v>
      </c>
      <c r="AF31" s="290">
        <f>'Alternative 3-Tilt Up'!$AR31/1000000</f>
        <v>5.6010681452320403</v>
      </c>
      <c r="AG31" s="290">
        <f>'Alternative 3-Tilt Up'!$AX31/1000000</f>
        <v>4.6998542148630174</v>
      </c>
      <c r="AH31" s="290">
        <f>'Alternative 3-Tilt Up'!$BD31/1000000</f>
        <v>3.6558375924163666</v>
      </c>
      <c r="AI31" s="290">
        <f>'Alternative 3-Tilt Up'!$BJ31/1000000</f>
        <v>2.5007401946672267</v>
      </c>
      <c r="AJ31" s="290">
        <f>'Alternative 3-Tilt Up'!$BP31/1000000</f>
        <v>1.2696590715387204</v>
      </c>
      <c r="AK31" s="290">
        <f>'Alternative 3-Tilt Up'!$BV31/1000000</f>
        <v>4.4789437777457602E-16</v>
      </c>
      <c r="AL31" s="290">
        <f>'[3]Alternative 3'!$B$20/1.67</f>
        <v>149.70059880239521</v>
      </c>
    </row>
    <row r="32" spans="1:38" x14ac:dyDescent="0.25">
      <c r="A32" s="290">
        <f>'Alternative 1'!F33</f>
        <v>30</v>
      </c>
      <c r="B32" s="290">
        <f>'Alternative 1-Tilt Up'!T32/1000000</f>
        <v>5.7420222662431488</v>
      </c>
      <c r="C32" s="290">
        <f>'Alternative 1-Tilt Up'!$Z32/1000000</f>
        <v>5.6582348895793242</v>
      </c>
      <c r="D32" s="290">
        <f>'Alternative 1-Tilt Up'!$AF32/1000000</f>
        <v>5.3990248920645412</v>
      </c>
      <c r="E32" s="290">
        <f>'Alternative 1-Tilt Up'!$AL32/1000000</f>
        <v>4.9757682552427953</v>
      </c>
      <c r="F32" s="290">
        <f>'Alternative 1-Tilt Up'!$AR32/1000000</f>
        <v>4.4013254178457242</v>
      </c>
      <c r="G32" s="290">
        <f>'Alternative 1-Tilt Up'!$AX32/1000000</f>
        <v>3.693150534805536</v>
      </c>
      <c r="H32" s="290">
        <f>'Alternative 1-Tilt Up'!$BD32/1000000</f>
        <v>2.8727611415896233</v>
      </c>
      <c r="I32" s="290">
        <f>'Alternative 1-Tilt Up'!$BJ32/1000000</f>
        <v>1.9650843547737895</v>
      </c>
      <c r="J32" s="290">
        <f>'Alternative 1-Tilt Up'!$BP32/1000000</f>
        <v>0.99769947421881733</v>
      </c>
      <c r="K32" s="290">
        <f>'Alternative 1-Tilt Up'!$BV32/1000000</f>
        <v>3.5195588739400496E-16</v>
      </c>
      <c r="L32" s="290">
        <f>'[3]Alternative 1'!$B$20/1.67</f>
        <v>149.70059880239521</v>
      </c>
      <c r="N32" s="290">
        <f>'Alternative 2'!F33</f>
        <v>30</v>
      </c>
      <c r="O32" s="290">
        <f>'Alternative 2-Tilt Up'!$T32/1000000</f>
        <v>5.7420222662431488</v>
      </c>
      <c r="P32" s="290">
        <f>'Alternative 2-Tilt Up'!$Z32/1000000</f>
        <v>5.6582348895793242</v>
      </c>
      <c r="Q32" s="290">
        <f>'Alternative 2-Tilt Up'!$AF32/1000000</f>
        <v>5.3990248920645412</v>
      </c>
      <c r="R32" s="290">
        <f>'Alternative 2-Tilt Up'!$AL32/1000000</f>
        <v>4.9757682552427953</v>
      </c>
      <c r="S32" s="290">
        <f>'Alternative 2-Tilt Up'!$AR32/1000000</f>
        <v>4.4013254178457242</v>
      </c>
      <c r="T32" s="290">
        <f>'Alternative 2-Tilt Up'!$AX32/1000000</f>
        <v>3.693150534805536</v>
      </c>
      <c r="U32" s="290">
        <f>'Alternative 2-Tilt Up'!$BD32/1000000</f>
        <v>2.8727611415896233</v>
      </c>
      <c r="V32" s="290">
        <f>'Alternative 2-Tilt Up'!$BJ32/1000000</f>
        <v>1.9650843547737895</v>
      </c>
      <c r="W32" s="290">
        <f>'Alternative 2-Tilt Up'!$BP32/1000000</f>
        <v>0.99769947421881733</v>
      </c>
      <c r="X32" s="290">
        <f>'Alternative 2-Tilt Up'!$BV32/1000000</f>
        <v>3.5195588739400496E-16</v>
      </c>
      <c r="Y32" s="290">
        <f>'[3]Alternative 2'!$B$20/1.67</f>
        <v>149.70059880239521</v>
      </c>
      <c r="AA32" s="290">
        <f>'Alternative 3'!F33</f>
        <v>30</v>
      </c>
      <c r="AB32" s="290">
        <f>'Alternative 3-Tilt Up'!$T32/1000000</f>
        <v>5.7420222662431488</v>
      </c>
      <c r="AC32" s="290">
        <f>'Alternative 3-Tilt Up'!$Z32/1000000</f>
        <v>5.6582348895793242</v>
      </c>
      <c r="AD32" s="290">
        <f>'Alternative 3-Tilt Up'!$AF32/1000000</f>
        <v>5.3990248920645412</v>
      </c>
      <c r="AE32" s="290">
        <f>'Alternative 3-Tilt Up'!$AL32/1000000</f>
        <v>4.9757682552427953</v>
      </c>
      <c r="AF32" s="290">
        <f>'Alternative 3-Tilt Up'!$AR32/1000000</f>
        <v>4.4013254178457242</v>
      </c>
      <c r="AG32" s="290">
        <f>'Alternative 3-Tilt Up'!$AX32/1000000</f>
        <v>3.693150534805536</v>
      </c>
      <c r="AH32" s="290">
        <f>'Alternative 3-Tilt Up'!$BD32/1000000</f>
        <v>2.8727611415896233</v>
      </c>
      <c r="AI32" s="290">
        <f>'Alternative 3-Tilt Up'!$BJ32/1000000</f>
        <v>1.9650843547737895</v>
      </c>
      <c r="AJ32" s="290">
        <f>'Alternative 3-Tilt Up'!$BP32/1000000</f>
        <v>0.99769947421881733</v>
      </c>
      <c r="AK32" s="290">
        <f>'Alternative 3-Tilt Up'!$BV32/1000000</f>
        <v>3.5195588739400496E-16</v>
      </c>
      <c r="AL32" s="290">
        <f>'[3]Alternative 3'!$B$20/1.67</f>
        <v>149.70059880239521</v>
      </c>
    </row>
    <row r="33" spans="1:38" x14ac:dyDescent="0.25">
      <c r="A33" s="290">
        <f>'Alternative 1'!F34</f>
        <v>31</v>
      </c>
      <c r="B33" s="290">
        <f>'Alternative 1-Tilt Up'!T33/1000000</f>
        <v>4.3312840520286091</v>
      </c>
      <c r="C33" s="290">
        <f>'Alternative 1-Tilt Up'!$Z33/1000000</f>
        <v>4.2680821152407908</v>
      </c>
      <c r="D33" s="290">
        <f>'Alternative 1-Tilt Up'!$AF33/1000000</f>
        <v>4.0725565536346506</v>
      </c>
      <c r="E33" s="290">
        <f>'Alternative 1-Tilt Up'!$AL33/1000000</f>
        <v>3.7532884219593736</v>
      </c>
      <c r="F33" s="290">
        <f>'Alternative 1-Tilt Up'!$AR33/1000000</f>
        <v>3.3199785208384438</v>
      </c>
      <c r="G33" s="290">
        <f>'Alternative 1-Tilt Up'!$AX33/1000000</f>
        <v>2.7857927523520294</v>
      </c>
      <c r="H33" s="290">
        <f>'Alternative 1-Tilt Up'!$BD33/1000000</f>
        <v>2.1669620807645504</v>
      </c>
      <c r="I33" s="290">
        <f>'Alternative 1-Tilt Up'!$BJ33/1000000</f>
        <v>1.4822893628887619</v>
      </c>
      <c r="J33" s="290">
        <f>'Alternative 1-Tilt Up'!$BP33/1000000</f>
        <v>0.7525780327962075</v>
      </c>
      <c r="K33" s="290">
        <f>'Alternative 1-Tilt Up'!$BV33/1000000</f>
        <v>2.654850245094257E-16</v>
      </c>
      <c r="L33" s="290">
        <f>'[3]Alternative 1'!$B$20/1.67</f>
        <v>149.70059880239521</v>
      </c>
      <c r="N33" s="290">
        <f>'Alternative 2'!F34</f>
        <v>31</v>
      </c>
      <c r="O33" s="290">
        <f>'Alternative 2-Tilt Up'!$T33/1000000</f>
        <v>4.3312840520286091</v>
      </c>
      <c r="P33" s="290">
        <f>'Alternative 2-Tilt Up'!$Z33/1000000</f>
        <v>4.2680821152407908</v>
      </c>
      <c r="Q33" s="290">
        <f>'Alternative 2-Tilt Up'!$AF33/1000000</f>
        <v>4.0725565536346506</v>
      </c>
      <c r="R33" s="290">
        <f>'Alternative 2-Tilt Up'!$AL33/1000000</f>
        <v>3.7532884219593736</v>
      </c>
      <c r="S33" s="290">
        <f>'Alternative 2-Tilt Up'!$AR33/1000000</f>
        <v>3.3199785208384438</v>
      </c>
      <c r="T33" s="290">
        <f>'Alternative 2-Tilt Up'!$AX33/1000000</f>
        <v>2.7857927523520294</v>
      </c>
      <c r="U33" s="290">
        <f>'Alternative 2-Tilt Up'!$BD33/1000000</f>
        <v>2.1669620807645504</v>
      </c>
      <c r="V33" s="290">
        <f>'Alternative 2-Tilt Up'!$BJ33/1000000</f>
        <v>1.4822893628887619</v>
      </c>
      <c r="W33" s="290">
        <f>'Alternative 2-Tilt Up'!$BP33/1000000</f>
        <v>0.7525780327962075</v>
      </c>
      <c r="X33" s="290">
        <f>'Alternative 2-Tilt Up'!$BV33/1000000</f>
        <v>2.654850245094257E-16</v>
      </c>
      <c r="Y33" s="290">
        <f>'[3]Alternative 2'!$B$20/1.67</f>
        <v>149.70059880239521</v>
      </c>
      <c r="AA33" s="290">
        <f>'Alternative 3'!F34</f>
        <v>31</v>
      </c>
      <c r="AB33" s="290">
        <f>'Alternative 3-Tilt Up'!$T33/1000000</f>
        <v>4.3312840520286091</v>
      </c>
      <c r="AC33" s="290">
        <f>'Alternative 3-Tilt Up'!$Z33/1000000</f>
        <v>4.2680821152407908</v>
      </c>
      <c r="AD33" s="290">
        <f>'Alternative 3-Tilt Up'!$AF33/1000000</f>
        <v>4.0725565536346506</v>
      </c>
      <c r="AE33" s="290">
        <f>'Alternative 3-Tilt Up'!$AL33/1000000</f>
        <v>3.7532884219593736</v>
      </c>
      <c r="AF33" s="290">
        <f>'Alternative 3-Tilt Up'!$AR33/1000000</f>
        <v>3.3199785208384438</v>
      </c>
      <c r="AG33" s="290">
        <f>'Alternative 3-Tilt Up'!$AX33/1000000</f>
        <v>2.7857927523520294</v>
      </c>
      <c r="AH33" s="290">
        <f>'Alternative 3-Tilt Up'!$BD33/1000000</f>
        <v>2.1669620807645504</v>
      </c>
      <c r="AI33" s="290">
        <f>'Alternative 3-Tilt Up'!$BJ33/1000000</f>
        <v>1.4822893628887619</v>
      </c>
      <c r="AJ33" s="290">
        <f>'Alternative 3-Tilt Up'!$BP33/1000000</f>
        <v>0.7525780327962075</v>
      </c>
      <c r="AK33" s="290">
        <f>'Alternative 3-Tilt Up'!$BV33/1000000</f>
        <v>2.654850245094257E-16</v>
      </c>
      <c r="AL33" s="290">
        <f>'[3]Alternative 3'!$B$20/1.67</f>
        <v>149.70059880239521</v>
      </c>
    </row>
    <row r="34" spans="1:38" x14ac:dyDescent="0.25">
      <c r="A34" s="290">
        <f>'Alternative 1'!F35</f>
        <v>32</v>
      </c>
      <c r="B34" s="290">
        <f>'Alternative 1-Tilt Up'!T34/1000000</f>
        <v>3.0892451893918418</v>
      </c>
      <c r="C34" s="290">
        <f>'Alternative 1-Tilt Up'!$Z34/1000000</f>
        <v>3.0441670377775254</v>
      </c>
      <c r="D34" s="290">
        <f>'Alternative 1-Tilt Up'!$AF34/1000000</f>
        <v>2.9047103793503322</v>
      </c>
      <c r="E34" s="290">
        <f>'Alternative 1-Tilt Up'!$AL34/1000000</f>
        <v>2.6769955659009517</v>
      </c>
      <c r="F34" s="290">
        <f>'Alternative 1-Tilt Up'!$AR34/1000000</f>
        <v>2.367941596806789</v>
      </c>
      <c r="G34" s="290">
        <f>'Alternative 1-Tilt Up'!$AX34/1000000</f>
        <v>1.9869389205299162</v>
      </c>
      <c r="H34" s="290">
        <f>'Alternative 1-Tilt Up'!$BD34/1000000</f>
        <v>1.5455641105923492</v>
      </c>
      <c r="I34" s="290">
        <f>'Alternative 1-Tilt Up'!$BJ34/1000000</f>
        <v>1.0572281172476101</v>
      </c>
      <c r="J34" s="290">
        <f>'Alternative 1-Tilt Up'!$BP34/1000000</f>
        <v>0.53676878254354288</v>
      </c>
      <c r="K34" s="290">
        <f>'Alternative 1-Tilt Up'!$BV34/1000000</f>
        <v>1.8935454820544316E-16</v>
      </c>
      <c r="L34" s="290">
        <f>'[3]Alternative 1'!$B$20/1.67</f>
        <v>149.70059880239521</v>
      </c>
      <c r="N34" s="290">
        <f>'Alternative 2'!F35</f>
        <v>32</v>
      </c>
      <c r="O34" s="290">
        <f>'Alternative 2-Tilt Up'!$T34/1000000</f>
        <v>3.0892451893918418</v>
      </c>
      <c r="P34" s="290">
        <f>'Alternative 2-Tilt Up'!$Z34/1000000</f>
        <v>3.0441670377775254</v>
      </c>
      <c r="Q34" s="290">
        <f>'Alternative 2-Tilt Up'!$AF34/1000000</f>
        <v>2.9047103793503322</v>
      </c>
      <c r="R34" s="290">
        <f>'Alternative 2-Tilt Up'!$AL34/1000000</f>
        <v>2.6769955659009517</v>
      </c>
      <c r="S34" s="290">
        <f>'Alternative 2-Tilt Up'!$AR34/1000000</f>
        <v>2.367941596806789</v>
      </c>
      <c r="T34" s="290">
        <f>'Alternative 2-Tilt Up'!$AX34/1000000</f>
        <v>1.9869389205299162</v>
      </c>
      <c r="U34" s="290">
        <f>'Alternative 2-Tilt Up'!$BD34/1000000</f>
        <v>1.5455641105923492</v>
      </c>
      <c r="V34" s="290">
        <f>'Alternative 2-Tilt Up'!$BJ34/1000000</f>
        <v>1.0572281172476101</v>
      </c>
      <c r="W34" s="290">
        <f>'Alternative 2-Tilt Up'!$BP34/1000000</f>
        <v>0.53676878254354288</v>
      </c>
      <c r="X34" s="290">
        <f>'Alternative 2-Tilt Up'!$BV34/1000000</f>
        <v>1.8935454820544316E-16</v>
      </c>
      <c r="Y34" s="290">
        <f>'[3]Alternative 2'!$B$20/1.67</f>
        <v>149.70059880239521</v>
      </c>
      <c r="AA34" s="290">
        <f>'Alternative 3'!F35</f>
        <v>32</v>
      </c>
      <c r="AB34" s="290">
        <f>'Alternative 3-Tilt Up'!$T34/1000000</f>
        <v>3.0892451893918418</v>
      </c>
      <c r="AC34" s="290">
        <f>'Alternative 3-Tilt Up'!$Z34/1000000</f>
        <v>3.0441670377775254</v>
      </c>
      <c r="AD34" s="290">
        <f>'Alternative 3-Tilt Up'!$AF34/1000000</f>
        <v>2.9047103793503322</v>
      </c>
      <c r="AE34" s="290">
        <f>'Alternative 3-Tilt Up'!$AL34/1000000</f>
        <v>2.6769955659009517</v>
      </c>
      <c r="AF34" s="290">
        <f>'Alternative 3-Tilt Up'!$AR34/1000000</f>
        <v>2.367941596806789</v>
      </c>
      <c r="AG34" s="290">
        <f>'Alternative 3-Tilt Up'!$AX34/1000000</f>
        <v>1.9869389205299162</v>
      </c>
      <c r="AH34" s="290">
        <f>'Alternative 3-Tilt Up'!$BD34/1000000</f>
        <v>1.5455641105923492</v>
      </c>
      <c r="AI34" s="290">
        <f>'Alternative 3-Tilt Up'!$BJ34/1000000</f>
        <v>1.0572281172476101</v>
      </c>
      <c r="AJ34" s="290">
        <f>'Alternative 3-Tilt Up'!$BP34/1000000</f>
        <v>0.53676878254354288</v>
      </c>
      <c r="AK34" s="290">
        <f>'Alternative 3-Tilt Up'!$BV34/1000000</f>
        <v>1.8935454820544316E-16</v>
      </c>
      <c r="AL34" s="290">
        <f>'[3]Alternative 3'!$B$20/1.67</f>
        <v>149.70059880239521</v>
      </c>
    </row>
    <row r="35" spans="1:38" x14ac:dyDescent="0.25">
      <c r="A35" s="290">
        <f>'Alternative 1'!F36</f>
        <v>33</v>
      </c>
      <c r="B35" s="290">
        <f>'Alternative 1-Tilt Up'!T35/1000000</f>
        <v>2.0313629457554097</v>
      </c>
      <c r="C35" s="290">
        <f>'Alternative 1-Tilt Up'!$Z35/1000000</f>
        <v>2.0017213727372147</v>
      </c>
      <c r="D35" s="290">
        <f>'Alternative 1-Tilt Up'!$AF35/1000000</f>
        <v>1.9100203030258658</v>
      </c>
      <c r="E35" s="290">
        <f>'Alternative 1-Tilt Up'!$AL35/1000000</f>
        <v>1.7602842329239843</v>
      </c>
      <c r="F35" s="290">
        <f>'Alternative 1-Tilt Up'!$AR35/1000000</f>
        <v>1.5570628171515088</v>
      </c>
      <c r="G35" s="290">
        <f>'Alternative 1-Tilt Up'!$AX35/1000000</f>
        <v>1.3065308355916878</v>
      </c>
      <c r="H35" s="290">
        <f>'Alternative 1-Tilt Up'!$BD35/1000000</f>
        <v>1.0163005757289165</v>
      </c>
      <c r="I35" s="290">
        <f>'Alternative 1-Tilt Up'!$BJ35/1000000</f>
        <v>0.69519053714552737</v>
      </c>
      <c r="J35" s="290">
        <f>'Alternative 1-Tilt Up'!$BP35/1000000</f>
        <v>0.35295748587435699</v>
      </c>
      <c r="K35" s="290">
        <f>'Alternative 1-Tilt Up'!$BV35/1000000</f>
        <v>1.2451190800770228E-16</v>
      </c>
      <c r="L35" s="290">
        <f>'[3]Alternative 1'!$B$20/1.67</f>
        <v>149.70059880239521</v>
      </c>
      <c r="N35" s="290">
        <f>'Alternative 2'!F36</f>
        <v>33</v>
      </c>
      <c r="O35" s="290">
        <f>'Alternative 2-Tilt Up'!$T35/1000000</f>
        <v>2.0313629457554097</v>
      </c>
      <c r="P35" s="290">
        <f>'Alternative 2-Tilt Up'!$Z35/1000000</f>
        <v>2.0017213727372147</v>
      </c>
      <c r="Q35" s="290">
        <f>'Alternative 2-Tilt Up'!$AF35/1000000</f>
        <v>1.9100203030258658</v>
      </c>
      <c r="R35" s="290">
        <f>'Alternative 2-Tilt Up'!$AL35/1000000</f>
        <v>1.7602842329239843</v>
      </c>
      <c r="S35" s="290">
        <f>'Alternative 2-Tilt Up'!$AR35/1000000</f>
        <v>1.5570628171515088</v>
      </c>
      <c r="T35" s="290">
        <f>'Alternative 2-Tilt Up'!$AX35/1000000</f>
        <v>1.3065308355916878</v>
      </c>
      <c r="U35" s="290">
        <f>'Alternative 2-Tilt Up'!$BD35/1000000</f>
        <v>1.0163005757289165</v>
      </c>
      <c r="V35" s="290">
        <f>'Alternative 2-Tilt Up'!$BJ35/1000000</f>
        <v>0.69519053714552737</v>
      </c>
      <c r="W35" s="290">
        <f>'Alternative 2-Tilt Up'!$BP35/1000000</f>
        <v>0.35295748587435699</v>
      </c>
      <c r="X35" s="290">
        <f>'Alternative 2-Tilt Up'!$BV35/1000000</f>
        <v>1.2451190800770228E-16</v>
      </c>
      <c r="Y35" s="290">
        <f>'[3]Alternative 2'!$B$20/1.67</f>
        <v>149.70059880239521</v>
      </c>
      <c r="AA35" s="290">
        <f>'Alternative 3'!F36</f>
        <v>33</v>
      </c>
      <c r="AB35" s="290">
        <f>'Alternative 3-Tilt Up'!$T35/1000000</f>
        <v>2.0313629457554097</v>
      </c>
      <c r="AC35" s="290">
        <f>'Alternative 3-Tilt Up'!$Z35/1000000</f>
        <v>2.0017213727372147</v>
      </c>
      <c r="AD35" s="290">
        <f>'Alternative 3-Tilt Up'!$AF35/1000000</f>
        <v>1.9100203030258658</v>
      </c>
      <c r="AE35" s="290">
        <f>'Alternative 3-Tilt Up'!$AL35/1000000</f>
        <v>1.7602842329239843</v>
      </c>
      <c r="AF35" s="290">
        <f>'Alternative 3-Tilt Up'!$AR35/1000000</f>
        <v>1.5570628171515088</v>
      </c>
      <c r="AG35" s="290">
        <f>'Alternative 3-Tilt Up'!$AX35/1000000</f>
        <v>1.3065308355916878</v>
      </c>
      <c r="AH35" s="290">
        <f>'Alternative 3-Tilt Up'!$BD35/1000000</f>
        <v>1.0163005757289165</v>
      </c>
      <c r="AI35" s="290">
        <f>'Alternative 3-Tilt Up'!$BJ35/1000000</f>
        <v>0.69519053714552737</v>
      </c>
      <c r="AJ35" s="290">
        <f>'Alternative 3-Tilt Up'!$BP35/1000000</f>
        <v>0.35295748587435699</v>
      </c>
      <c r="AK35" s="290">
        <f>'Alternative 3-Tilt Up'!$BV35/1000000</f>
        <v>1.2451190800770228E-16</v>
      </c>
      <c r="AL35" s="290">
        <f>'[3]Alternative 3'!$B$20/1.67</f>
        <v>149.70059880239521</v>
      </c>
    </row>
    <row r="36" spans="1:38" x14ac:dyDescent="0.25">
      <c r="A36" s="290">
        <f>'Alternative 1'!F37</f>
        <v>34</v>
      </c>
      <c r="B36" s="290">
        <f>'Alternative 1-Tilt Up'!T36/1000000</f>
        <v>1.1744282831242789</v>
      </c>
      <c r="C36" s="290">
        <f>'Alternative 1-Tilt Up'!$Z36/1000000</f>
        <v>1.1572910690278999</v>
      </c>
      <c r="D36" s="290">
        <f>'Alternative 1-Tilt Up'!$AF36/1000000</f>
        <v>1.1042742853522922</v>
      </c>
      <c r="E36" s="290">
        <f>'Alternative 1-Tilt Up'!$AL36/1000000</f>
        <v>1.017704686306006</v>
      </c>
      <c r="F36" s="290">
        <f>'Alternative 1-Tilt Up'!$AR36/1000000</f>
        <v>0.900212645349731</v>
      </c>
      <c r="G36" s="290">
        <f>'Alternative 1-Tilt Up'!$AX36/1000000</f>
        <v>0.75536809869408283</v>
      </c>
      <c r="H36" s="290">
        <f>'Alternative 1-Tilt Up'!$BD36/1000000</f>
        <v>0.58757207459431615</v>
      </c>
      <c r="I36" s="290">
        <f>'Alternative 1-Tilt Up'!$BJ36/1000000</f>
        <v>0.40192297033381719</v>
      </c>
      <c r="J36" s="290">
        <f>'Alternative 1-Tilt Up'!$BP36/1000000</f>
        <v>0.20406164000256136</v>
      </c>
      <c r="K36" s="290">
        <f>'Alternative 1-Tilt Up'!$BV36/1000000</f>
        <v>7.1986301933667881E-17</v>
      </c>
      <c r="L36" s="290">
        <f>'[3]Alternative 1'!$B$20/1.67</f>
        <v>149.70059880239521</v>
      </c>
      <c r="N36" s="290">
        <f>'Alternative 2'!F37</f>
        <v>34</v>
      </c>
      <c r="O36" s="290">
        <f>'Alternative 2-Tilt Up'!$T36/1000000</f>
        <v>1.1744282831242789</v>
      </c>
      <c r="P36" s="290">
        <f>'Alternative 2-Tilt Up'!$Z36/1000000</f>
        <v>1.1572910690278999</v>
      </c>
      <c r="Q36" s="290">
        <f>'Alternative 2-Tilt Up'!$AF36/1000000</f>
        <v>1.1042742853522922</v>
      </c>
      <c r="R36" s="290">
        <f>'Alternative 2-Tilt Up'!$AL36/1000000</f>
        <v>1.017704686306006</v>
      </c>
      <c r="S36" s="290">
        <f>'Alternative 2-Tilt Up'!$AR36/1000000</f>
        <v>0.900212645349731</v>
      </c>
      <c r="T36" s="290">
        <f>'Alternative 2-Tilt Up'!$AX36/1000000</f>
        <v>0.75536809869408283</v>
      </c>
      <c r="U36" s="290">
        <f>'Alternative 2-Tilt Up'!$BD36/1000000</f>
        <v>0.58757207459431615</v>
      </c>
      <c r="V36" s="290">
        <f>'Alternative 2-Tilt Up'!$BJ36/1000000</f>
        <v>0.40192297033381719</v>
      </c>
      <c r="W36" s="290">
        <f>'Alternative 2-Tilt Up'!$BP36/1000000</f>
        <v>0.20406164000256136</v>
      </c>
      <c r="X36" s="290">
        <f>'Alternative 2-Tilt Up'!$BV36/1000000</f>
        <v>7.1986301933667881E-17</v>
      </c>
      <c r="Y36" s="290">
        <f>'[3]Alternative 2'!$B$20/1.67</f>
        <v>149.70059880239521</v>
      </c>
      <c r="AA36" s="290">
        <f>'Alternative 3'!F37</f>
        <v>34</v>
      </c>
      <c r="AB36" s="290">
        <f>'Alternative 3-Tilt Up'!$T36/1000000</f>
        <v>1.1744282831242789</v>
      </c>
      <c r="AC36" s="290">
        <f>'Alternative 3-Tilt Up'!$Z36/1000000</f>
        <v>1.1572910690278999</v>
      </c>
      <c r="AD36" s="290">
        <f>'Alternative 3-Tilt Up'!$AF36/1000000</f>
        <v>1.1042742853522922</v>
      </c>
      <c r="AE36" s="290">
        <f>'Alternative 3-Tilt Up'!$AL36/1000000</f>
        <v>1.017704686306006</v>
      </c>
      <c r="AF36" s="290">
        <f>'Alternative 3-Tilt Up'!$AR36/1000000</f>
        <v>0.900212645349731</v>
      </c>
      <c r="AG36" s="290">
        <f>'Alternative 3-Tilt Up'!$AX36/1000000</f>
        <v>0.75536809869408283</v>
      </c>
      <c r="AH36" s="290">
        <f>'Alternative 3-Tilt Up'!$BD36/1000000</f>
        <v>0.58757207459431615</v>
      </c>
      <c r="AI36" s="290">
        <f>'Alternative 3-Tilt Up'!$BJ36/1000000</f>
        <v>0.40192297033381719</v>
      </c>
      <c r="AJ36" s="290">
        <f>'Alternative 3-Tilt Up'!$BP36/1000000</f>
        <v>0.20406164000256136</v>
      </c>
      <c r="AK36" s="290">
        <f>'Alternative 3-Tilt Up'!$BV36/1000000</f>
        <v>7.1986301933667881E-17</v>
      </c>
      <c r="AL36" s="290">
        <f>'[3]Alternative 3'!$B$20/1.67</f>
        <v>149.70059880239521</v>
      </c>
    </row>
    <row r="37" spans="1:38" x14ac:dyDescent="0.25">
      <c r="A37" s="290">
        <f>'Alternative 1'!F38</f>
        <v>35</v>
      </c>
      <c r="B37" s="290">
        <f>'Alternative 1-Tilt Up'!T37/1000000</f>
        <v>0.536693325648532</v>
      </c>
      <c r="C37" s="290">
        <f>'Alternative 1-Tilt Up'!$Z37/1000000</f>
        <v>0.52886191647872816</v>
      </c>
      <c r="D37" s="290">
        <f>'Alternative 1-Tilt Up'!$AF37/1000000</f>
        <v>0.5046341672368958</v>
      </c>
      <c r="E37" s="290">
        <f>'Alternative 1-Tilt Up'!$AL37/1000000</f>
        <v>0.46507336418078032</v>
      </c>
      <c r="F37" s="290">
        <f>'Alternative 1-Tilt Up'!$AR37/1000000</f>
        <v>0.41138154229250928</v>
      </c>
      <c r="G37" s="290">
        <f>'Alternative 1-Tilt Up'!$AX37/1000000</f>
        <v>0.34519010041078524</v>
      </c>
      <c r="H37" s="290">
        <f>'Alternative 1-Tilt Up'!$BD37/1000000</f>
        <v>0.26851023200269841</v>
      </c>
      <c r="I37" s="290">
        <f>'Alternative 1-Tilt Up'!$BJ37/1000000</f>
        <v>0.18367181606794294</v>
      </c>
      <c r="J37" s="290">
        <f>'Alternative 1-Tilt Up'!$BP37/1000000</f>
        <v>9.3252624944386533E-2</v>
      </c>
      <c r="K37" s="290">
        <f>'Alternative 1-Tilt Up'!$BV37/1000000</f>
        <v>3.2896489586526099E-17</v>
      </c>
      <c r="L37" s="290">
        <f>'[3]Alternative 1'!$B$20/1.67</f>
        <v>149.70059880239521</v>
      </c>
      <c r="N37" s="290">
        <f>'Alternative 2'!F38</f>
        <v>35</v>
      </c>
      <c r="O37" s="290">
        <f>'Alternative 2-Tilt Up'!$T37/1000000</f>
        <v>0.536693325648532</v>
      </c>
      <c r="P37" s="290">
        <f>'Alternative 2-Tilt Up'!$Z37/1000000</f>
        <v>0.52886191647872816</v>
      </c>
      <c r="Q37" s="290">
        <f>'Alternative 2-Tilt Up'!$AF37/1000000</f>
        <v>0.5046341672368958</v>
      </c>
      <c r="R37" s="290">
        <f>'Alternative 2-Tilt Up'!$AL37/1000000</f>
        <v>0.46507336418078032</v>
      </c>
      <c r="S37" s="290">
        <f>'Alternative 2-Tilt Up'!$AR37/1000000</f>
        <v>0.41138154229250928</v>
      </c>
      <c r="T37" s="290">
        <f>'Alternative 2-Tilt Up'!$AX37/1000000</f>
        <v>0.34519010041078524</v>
      </c>
      <c r="U37" s="290">
        <f>'Alternative 2-Tilt Up'!$BD37/1000000</f>
        <v>0.26851023200269841</v>
      </c>
      <c r="V37" s="290">
        <f>'Alternative 2-Tilt Up'!$BJ37/1000000</f>
        <v>0.18367181606794294</v>
      </c>
      <c r="W37" s="290">
        <f>'Alternative 2-Tilt Up'!$BP37/1000000</f>
        <v>9.3252624944386533E-2</v>
      </c>
      <c r="X37" s="290">
        <f>'Alternative 2-Tilt Up'!$BV37/1000000</f>
        <v>3.2896489586526099E-17</v>
      </c>
      <c r="Y37" s="290">
        <f>'[3]Alternative 2'!$B$20/1.67</f>
        <v>149.70059880239521</v>
      </c>
      <c r="AA37" s="290">
        <f>'Alternative 3'!F38</f>
        <v>35</v>
      </c>
      <c r="AB37" s="290">
        <f>'Alternative 3-Tilt Up'!$T37/1000000</f>
        <v>0.536693325648532</v>
      </c>
      <c r="AC37" s="290">
        <f>'Alternative 3-Tilt Up'!$Z37/1000000</f>
        <v>0.52886191647872816</v>
      </c>
      <c r="AD37" s="290">
        <f>'Alternative 3-Tilt Up'!$AF37/1000000</f>
        <v>0.5046341672368958</v>
      </c>
      <c r="AE37" s="290">
        <f>'Alternative 3-Tilt Up'!$AL37/1000000</f>
        <v>0.46507336418078032</v>
      </c>
      <c r="AF37" s="290">
        <f>'Alternative 3-Tilt Up'!$AR37/1000000</f>
        <v>0.41138154229250928</v>
      </c>
      <c r="AG37" s="290">
        <f>'Alternative 3-Tilt Up'!$AX37/1000000</f>
        <v>0.34519010041078524</v>
      </c>
      <c r="AH37" s="290">
        <f>'Alternative 3-Tilt Up'!$BD37/1000000</f>
        <v>0.26851023200269841</v>
      </c>
      <c r="AI37" s="290">
        <f>'Alternative 3-Tilt Up'!$BJ37/1000000</f>
        <v>0.18367181606794294</v>
      </c>
      <c r="AJ37" s="290">
        <f>'Alternative 3-Tilt Up'!$BP37/1000000</f>
        <v>9.3252624944386533E-2</v>
      </c>
      <c r="AK37" s="290">
        <f>'Alternative 3-Tilt Up'!$BV37/1000000</f>
        <v>3.2896489586526099E-17</v>
      </c>
      <c r="AL37" s="290">
        <f>'[3]Alternative 3'!$B$20/1.67</f>
        <v>149.70059880239521</v>
      </c>
    </row>
    <row r="38" spans="1:38" x14ac:dyDescent="0.25">
      <c r="A38" s="290">
        <f>'Alternative 1'!F39</f>
        <v>36</v>
      </c>
      <c r="B38" s="290">
        <f>'Alternative 1-Tilt Up'!T38/1000000</f>
        <v>0.13801263672232217</v>
      </c>
      <c r="C38" s="290">
        <f>'Alternative 1-Tilt Up'!$Z38/1000000</f>
        <v>0.13599876142869904</v>
      </c>
      <c r="D38" s="290">
        <f>'Alternative 1-Tilt Up'!$AF38/1000000</f>
        <v>0.12976850777187932</v>
      </c>
      <c r="E38" s="290">
        <f>'Alternative 1-Tilt Up'!$AL38/1000000</f>
        <v>0.11959530367244439</v>
      </c>
      <c r="F38" s="290">
        <f>'Alternative 1-Tilt Up'!$AR38/1000000</f>
        <v>0.10578825678906596</v>
      </c>
      <c r="G38" s="290">
        <f>'Alternative 1-Tilt Up'!$AX38/1000000</f>
        <v>8.8766887254592627E-2</v>
      </c>
      <c r="H38" s="290">
        <f>'Alternative 1-Tilt Up'!$BD38/1000000</f>
        <v>6.9048380769100817E-2</v>
      </c>
      <c r="I38" s="290">
        <f>'Alternative 1-Tilt Up'!$BJ38/1000000</f>
        <v>4.7231874174106424E-2</v>
      </c>
      <c r="J38" s="290">
        <f>'Alternative 1-Tilt Up'!$BP38/1000000</f>
        <v>2.3980250982813357E-2</v>
      </c>
      <c r="K38" s="290">
        <f>'Alternative 1-Tilt Up'!$BV38/1000000</f>
        <v>8.4594517013205926E-18</v>
      </c>
      <c r="L38" s="290">
        <f>'[3]Alternative 1'!$B$20/1.67</f>
        <v>149.70059880239521</v>
      </c>
      <c r="N38" s="290">
        <f>'Alternative 2'!F39</f>
        <v>36</v>
      </c>
      <c r="O38" s="290">
        <f>'Alternative 2-Tilt Up'!$T38/1000000</f>
        <v>0.13801263672232217</v>
      </c>
      <c r="P38" s="290">
        <f>'Alternative 2-Tilt Up'!$Z38/1000000</f>
        <v>0.13599876142869904</v>
      </c>
      <c r="Q38" s="290">
        <f>'Alternative 2-Tilt Up'!$AF38/1000000</f>
        <v>0.12976850777187932</v>
      </c>
      <c r="R38" s="290">
        <f>'Alternative 2-Tilt Up'!$AL38/1000000</f>
        <v>0.11959530367244439</v>
      </c>
      <c r="S38" s="290">
        <f>'Alternative 2-Tilt Up'!$AR38/1000000</f>
        <v>0.10578825678906596</v>
      </c>
      <c r="T38" s="290">
        <f>'Alternative 2-Tilt Up'!$AX38/1000000</f>
        <v>8.8766887254592627E-2</v>
      </c>
      <c r="U38" s="290">
        <f>'Alternative 2-Tilt Up'!$BD38/1000000</f>
        <v>6.9048380769100817E-2</v>
      </c>
      <c r="V38" s="290">
        <f>'Alternative 2-Tilt Up'!$BJ38/1000000</f>
        <v>4.7231874174106424E-2</v>
      </c>
      <c r="W38" s="290">
        <f>'Alternative 2-Tilt Up'!$BP38/1000000</f>
        <v>2.3980250982813357E-2</v>
      </c>
      <c r="X38" s="290">
        <f>'Alternative 2-Tilt Up'!$BV38/1000000</f>
        <v>8.4594517013205926E-18</v>
      </c>
      <c r="Y38" s="290">
        <f>'[3]Alternative 2'!$B$20/1.67</f>
        <v>149.70059880239521</v>
      </c>
      <c r="AA38" s="290">
        <f>'Alternative 3'!F39</f>
        <v>36</v>
      </c>
      <c r="AB38" s="290">
        <f>'Alternative 3-Tilt Up'!$T38/1000000</f>
        <v>0.13801263672232217</v>
      </c>
      <c r="AC38" s="290">
        <f>'Alternative 3-Tilt Up'!$Z38/1000000</f>
        <v>0.13599876142869904</v>
      </c>
      <c r="AD38" s="290">
        <f>'Alternative 3-Tilt Up'!$AF38/1000000</f>
        <v>0.12976850777187932</v>
      </c>
      <c r="AE38" s="290">
        <f>'Alternative 3-Tilt Up'!$AL38/1000000</f>
        <v>0.11959530367244439</v>
      </c>
      <c r="AF38" s="290">
        <f>'Alternative 3-Tilt Up'!$AR38/1000000</f>
        <v>0.10578825678906596</v>
      </c>
      <c r="AG38" s="290">
        <f>'Alternative 3-Tilt Up'!$AX38/1000000</f>
        <v>8.8766887254592627E-2</v>
      </c>
      <c r="AH38" s="290">
        <f>'Alternative 3-Tilt Up'!$BD38/1000000</f>
        <v>6.9048380769100817E-2</v>
      </c>
      <c r="AI38" s="290">
        <f>'Alternative 3-Tilt Up'!$BJ38/1000000</f>
        <v>4.7231874174106424E-2</v>
      </c>
      <c r="AJ38" s="290">
        <f>'Alternative 3-Tilt Up'!$BP38/1000000</f>
        <v>2.3980250982813357E-2</v>
      </c>
      <c r="AK38" s="290">
        <f>'Alternative 3-Tilt Up'!$BV38/1000000</f>
        <v>8.4594517013205926E-18</v>
      </c>
      <c r="AL38" s="290">
        <f>'[3]Alternative 3'!$B$20/1.67</f>
        <v>149.70059880239521</v>
      </c>
    </row>
    <row r="39" spans="1:38" x14ac:dyDescent="0.25">
      <c r="A39" s="290" t="str">
        <f>'Alternative 1'!F40</f>
        <v>x</v>
      </c>
      <c r="B39" s="290" t="e">
        <f>'Alternative 1-Tilt Up'!T39/1000000</f>
        <v>#VALUE!</v>
      </c>
      <c r="C39" s="290" t="e">
        <f>'Alternative 1-Tilt Up'!$Z39/1000000</f>
        <v>#VALUE!</v>
      </c>
      <c r="D39" s="290" t="e">
        <f>'Alternative 1-Tilt Up'!$AF39/1000000</f>
        <v>#VALUE!</v>
      </c>
      <c r="E39" s="290" t="e">
        <f>'Alternative 1-Tilt Up'!$AL39/1000000</f>
        <v>#VALUE!</v>
      </c>
      <c r="F39" s="290" t="e">
        <f>'Alternative 1-Tilt Up'!$AR39/1000000</f>
        <v>#VALUE!</v>
      </c>
      <c r="G39" s="290" t="e">
        <f>'Alternative 1-Tilt Up'!$AX39/1000000</f>
        <v>#VALUE!</v>
      </c>
      <c r="H39" s="290" t="e">
        <f>'Alternative 1-Tilt Up'!$BD39/1000000</f>
        <v>#VALUE!</v>
      </c>
      <c r="I39" s="290" t="e">
        <f>'Alternative 1-Tilt Up'!$BJ39/1000000</f>
        <v>#VALUE!</v>
      </c>
      <c r="J39" s="290" t="e">
        <f>'Alternative 1-Tilt Up'!$BP39/1000000</f>
        <v>#VALUE!</v>
      </c>
      <c r="K39" s="290" t="e">
        <f>'Alternative 1-Tilt Up'!$BV39/1000000</f>
        <v>#VALUE!</v>
      </c>
      <c r="L39" s="290">
        <f>'[3]Alternative 1'!$B$20/1.67</f>
        <v>149.70059880239521</v>
      </c>
      <c r="N39" s="290" t="str">
        <f>'Alternative 2'!F40</f>
        <v>x</v>
      </c>
      <c r="O39" s="290" t="e">
        <f>'Alternative 2-Tilt Up'!$T39/1000000</f>
        <v>#VALUE!</v>
      </c>
      <c r="P39" s="290" t="e">
        <f>'Alternative 2-Tilt Up'!$Z39/1000000</f>
        <v>#VALUE!</v>
      </c>
      <c r="Q39" s="290" t="e">
        <f>'Alternative 2-Tilt Up'!$AF39/1000000</f>
        <v>#VALUE!</v>
      </c>
      <c r="R39" s="290" t="e">
        <f>'Alternative 2-Tilt Up'!$AL39/1000000</f>
        <v>#VALUE!</v>
      </c>
      <c r="S39" s="290" t="e">
        <f>'Alternative 2-Tilt Up'!$AR39/1000000</f>
        <v>#VALUE!</v>
      </c>
      <c r="T39" s="290" t="e">
        <f>'Alternative 2-Tilt Up'!$AX39/1000000</f>
        <v>#VALUE!</v>
      </c>
      <c r="U39" s="290" t="e">
        <f>'Alternative 2-Tilt Up'!$BD39/1000000</f>
        <v>#VALUE!</v>
      </c>
      <c r="V39" s="290" t="e">
        <f>'Alternative 2-Tilt Up'!$BJ39/1000000</f>
        <v>#VALUE!</v>
      </c>
      <c r="W39" s="290" t="e">
        <f>'Alternative 2-Tilt Up'!$BP39/1000000</f>
        <v>#VALUE!</v>
      </c>
      <c r="X39" s="290" t="e">
        <f>'Alternative 2-Tilt Up'!$BV39/1000000</f>
        <v>#VALUE!</v>
      </c>
      <c r="Y39" s="290">
        <f>'[3]Alternative 2'!$B$20/1.67</f>
        <v>149.70059880239521</v>
      </c>
      <c r="AA39" s="290" t="str">
        <f>'Alternative 3'!F40</f>
        <v>x</v>
      </c>
      <c r="AB39" s="290" t="e">
        <f>'Alternative 3-Tilt Up'!$T39/1000000</f>
        <v>#VALUE!</v>
      </c>
      <c r="AC39" s="290" t="e">
        <f>'Alternative 3-Tilt Up'!$Z39/1000000</f>
        <v>#VALUE!</v>
      </c>
      <c r="AD39" s="290" t="e">
        <f>'Alternative 3-Tilt Up'!$AF39/1000000</f>
        <v>#VALUE!</v>
      </c>
      <c r="AE39" s="290" t="e">
        <f>'Alternative 3-Tilt Up'!$AL39/1000000</f>
        <v>#VALUE!</v>
      </c>
      <c r="AF39" s="290" t="e">
        <f>'Alternative 3-Tilt Up'!$AR39/1000000</f>
        <v>#VALUE!</v>
      </c>
      <c r="AG39" s="290" t="e">
        <f>'Alternative 3-Tilt Up'!$AX39/1000000</f>
        <v>#VALUE!</v>
      </c>
      <c r="AH39" s="290" t="e">
        <f>'Alternative 3-Tilt Up'!$BD39/1000000</f>
        <v>#VALUE!</v>
      </c>
      <c r="AI39" s="290" t="e">
        <f>'Alternative 3-Tilt Up'!$BJ39/1000000</f>
        <v>#VALUE!</v>
      </c>
      <c r="AJ39" s="290" t="e">
        <f>'Alternative 3-Tilt Up'!$BP39/1000000</f>
        <v>#VALUE!</v>
      </c>
      <c r="AK39" s="290" t="e">
        <f>'Alternative 3-Tilt Up'!$BV39/1000000</f>
        <v>#VALUE!</v>
      </c>
      <c r="AL39" s="290">
        <f>'[3]Alternative 3'!$B$20/1.67</f>
        <v>149.70059880239521</v>
      </c>
    </row>
    <row r="40" spans="1:38" x14ac:dyDescent="0.25">
      <c r="A40" s="290" t="str">
        <f>'Alternative 1'!F41</f>
        <v>x</v>
      </c>
      <c r="B40" s="290" t="e">
        <f>'Alternative 1-Tilt Up'!T40/1000000</f>
        <v>#VALUE!</v>
      </c>
      <c r="C40" s="290" t="e">
        <f>'Alternative 1-Tilt Up'!$Z40/1000000</f>
        <v>#VALUE!</v>
      </c>
      <c r="D40" s="290" t="e">
        <f>'Alternative 1-Tilt Up'!$AF40/1000000</f>
        <v>#VALUE!</v>
      </c>
      <c r="E40" s="290" t="e">
        <f>'Alternative 1-Tilt Up'!$AL40/1000000</f>
        <v>#VALUE!</v>
      </c>
      <c r="F40" s="290" t="e">
        <f>'Alternative 1-Tilt Up'!$AR40/1000000</f>
        <v>#VALUE!</v>
      </c>
      <c r="G40" s="290" t="e">
        <f>'Alternative 1-Tilt Up'!$AX40/1000000</f>
        <v>#VALUE!</v>
      </c>
      <c r="H40" s="290" t="e">
        <f>'Alternative 1-Tilt Up'!$BD40/1000000</f>
        <v>#VALUE!</v>
      </c>
      <c r="I40" s="290" t="e">
        <f>'Alternative 1-Tilt Up'!$BJ40/1000000</f>
        <v>#VALUE!</v>
      </c>
      <c r="J40" s="290" t="e">
        <f>'Alternative 1-Tilt Up'!$BP40/1000000</f>
        <v>#VALUE!</v>
      </c>
      <c r="K40" s="290" t="e">
        <f>'Alternative 1-Tilt Up'!$BV40/1000000</f>
        <v>#VALUE!</v>
      </c>
      <c r="L40" s="290">
        <f>'[3]Alternative 1'!$B$20/1.67</f>
        <v>149.70059880239521</v>
      </c>
      <c r="N40" s="290" t="str">
        <f>'Alternative 2'!F41</f>
        <v>x</v>
      </c>
      <c r="O40" s="290" t="e">
        <f>'Alternative 2-Tilt Up'!$T40/1000000</f>
        <v>#VALUE!</v>
      </c>
      <c r="P40" s="290" t="e">
        <f>'Alternative 2-Tilt Up'!$Z40/1000000</f>
        <v>#VALUE!</v>
      </c>
      <c r="Q40" s="290" t="e">
        <f>'Alternative 2-Tilt Up'!$AF40/1000000</f>
        <v>#VALUE!</v>
      </c>
      <c r="R40" s="290" t="e">
        <f>'Alternative 2-Tilt Up'!$AL40/1000000</f>
        <v>#VALUE!</v>
      </c>
      <c r="S40" s="290" t="e">
        <f>'Alternative 2-Tilt Up'!$AR40/1000000</f>
        <v>#VALUE!</v>
      </c>
      <c r="T40" s="290" t="e">
        <f>'Alternative 2-Tilt Up'!$AX40/1000000</f>
        <v>#VALUE!</v>
      </c>
      <c r="U40" s="290" t="e">
        <f>'Alternative 2-Tilt Up'!$BD40/1000000</f>
        <v>#VALUE!</v>
      </c>
      <c r="V40" s="290" t="e">
        <f>'Alternative 2-Tilt Up'!$BJ40/1000000</f>
        <v>#VALUE!</v>
      </c>
      <c r="W40" s="290" t="e">
        <f>'Alternative 2-Tilt Up'!$BP40/1000000</f>
        <v>#VALUE!</v>
      </c>
      <c r="X40" s="290" t="e">
        <f>'Alternative 2-Tilt Up'!$BV40/1000000</f>
        <v>#VALUE!</v>
      </c>
      <c r="Y40" s="290">
        <f>'[3]Alternative 2'!$B$20/1.67</f>
        <v>149.70059880239521</v>
      </c>
      <c r="AA40" s="290" t="str">
        <f>'Alternative 3'!F41</f>
        <v>x</v>
      </c>
      <c r="AB40" s="290" t="e">
        <f>'Alternative 3-Tilt Up'!$T40/1000000</f>
        <v>#VALUE!</v>
      </c>
      <c r="AC40" s="290" t="e">
        <f>'Alternative 3-Tilt Up'!$Z40/1000000</f>
        <v>#VALUE!</v>
      </c>
      <c r="AD40" s="290" t="e">
        <f>'Alternative 3-Tilt Up'!$AF40/1000000</f>
        <v>#VALUE!</v>
      </c>
      <c r="AE40" s="290" t="e">
        <f>'Alternative 3-Tilt Up'!$AL40/1000000</f>
        <v>#VALUE!</v>
      </c>
      <c r="AF40" s="290" t="e">
        <f>'Alternative 3-Tilt Up'!$AR40/1000000</f>
        <v>#VALUE!</v>
      </c>
      <c r="AG40" s="290" t="e">
        <f>'Alternative 3-Tilt Up'!$AX40/1000000</f>
        <v>#VALUE!</v>
      </c>
      <c r="AH40" s="290" t="e">
        <f>'Alternative 3-Tilt Up'!$BD40/1000000</f>
        <v>#VALUE!</v>
      </c>
      <c r="AI40" s="290" t="e">
        <f>'Alternative 3-Tilt Up'!$BJ40/1000000</f>
        <v>#VALUE!</v>
      </c>
      <c r="AJ40" s="290" t="e">
        <f>'Alternative 3-Tilt Up'!$BP40/1000000</f>
        <v>#VALUE!</v>
      </c>
      <c r="AK40" s="290" t="e">
        <f>'Alternative 3-Tilt Up'!$BV40/1000000</f>
        <v>#VALUE!</v>
      </c>
      <c r="AL40" s="290">
        <f>'[3]Alternative 3'!$B$20/1.67</f>
        <v>149.70059880239521</v>
      </c>
    </row>
    <row r="41" spans="1:38" x14ac:dyDescent="0.25">
      <c r="A41" s="290" t="str">
        <f>'Alternative 1'!F42</f>
        <v>x</v>
      </c>
      <c r="B41" s="290" t="e">
        <f>'Alternative 1-Tilt Up'!T41/1000000</f>
        <v>#VALUE!</v>
      </c>
      <c r="C41" s="290" t="e">
        <f>'Alternative 1-Tilt Up'!$Z41/1000000</f>
        <v>#VALUE!</v>
      </c>
      <c r="D41" s="290" t="e">
        <f>'Alternative 1-Tilt Up'!$AF41/1000000</f>
        <v>#VALUE!</v>
      </c>
      <c r="E41" s="290" t="e">
        <f>'Alternative 1-Tilt Up'!$AL41/1000000</f>
        <v>#VALUE!</v>
      </c>
      <c r="F41" s="290" t="e">
        <f>'Alternative 1-Tilt Up'!$AR41/1000000</f>
        <v>#VALUE!</v>
      </c>
      <c r="G41" s="290" t="e">
        <f>'Alternative 1-Tilt Up'!$AX41/1000000</f>
        <v>#VALUE!</v>
      </c>
      <c r="H41" s="290" t="e">
        <f>'Alternative 1-Tilt Up'!$BD41/1000000</f>
        <v>#VALUE!</v>
      </c>
      <c r="I41" s="290" t="e">
        <f>'Alternative 1-Tilt Up'!$BJ41/1000000</f>
        <v>#VALUE!</v>
      </c>
      <c r="J41" s="290" t="e">
        <f>'Alternative 1-Tilt Up'!$BP41/1000000</f>
        <v>#VALUE!</v>
      </c>
      <c r="K41" s="290" t="e">
        <f>'Alternative 1-Tilt Up'!$BV41/1000000</f>
        <v>#VALUE!</v>
      </c>
      <c r="L41" s="290">
        <f>'[3]Alternative 1'!$B$20/1.67</f>
        <v>149.70059880239521</v>
      </c>
      <c r="N41" s="290" t="str">
        <f>'Alternative 2'!F42</f>
        <v>x</v>
      </c>
      <c r="O41" s="290" t="e">
        <f>'Alternative 2-Tilt Up'!$T41/1000000</f>
        <v>#VALUE!</v>
      </c>
      <c r="P41" s="290" t="e">
        <f>'Alternative 2-Tilt Up'!$Z41/1000000</f>
        <v>#VALUE!</v>
      </c>
      <c r="Q41" s="290" t="e">
        <f>'Alternative 2-Tilt Up'!$AF41/1000000</f>
        <v>#VALUE!</v>
      </c>
      <c r="R41" s="290" t="e">
        <f>'Alternative 2-Tilt Up'!$AL41/1000000</f>
        <v>#VALUE!</v>
      </c>
      <c r="S41" s="290" t="e">
        <f>'Alternative 2-Tilt Up'!$AR41/1000000</f>
        <v>#VALUE!</v>
      </c>
      <c r="T41" s="290" t="e">
        <f>'Alternative 2-Tilt Up'!$AX41/1000000</f>
        <v>#VALUE!</v>
      </c>
      <c r="U41" s="290" t="e">
        <f>'Alternative 2-Tilt Up'!$BD41/1000000</f>
        <v>#VALUE!</v>
      </c>
      <c r="V41" s="290" t="e">
        <f>'Alternative 2-Tilt Up'!$BJ41/1000000</f>
        <v>#VALUE!</v>
      </c>
      <c r="W41" s="290" t="e">
        <f>'Alternative 2-Tilt Up'!$BP41/1000000</f>
        <v>#VALUE!</v>
      </c>
      <c r="X41" s="290" t="e">
        <f>'Alternative 2-Tilt Up'!$BV41/1000000</f>
        <v>#VALUE!</v>
      </c>
      <c r="Y41" s="290">
        <f>'[3]Alternative 2'!$B$20/1.67</f>
        <v>149.70059880239521</v>
      </c>
      <c r="AA41" s="290" t="str">
        <f>'Alternative 3'!F42</f>
        <v>x</v>
      </c>
      <c r="AB41" s="290" t="e">
        <f>'Alternative 3-Tilt Up'!$T41/1000000</f>
        <v>#VALUE!</v>
      </c>
      <c r="AC41" s="290" t="e">
        <f>'Alternative 3-Tilt Up'!$Z41/1000000</f>
        <v>#VALUE!</v>
      </c>
      <c r="AD41" s="290" t="e">
        <f>'Alternative 3-Tilt Up'!$AF41/1000000</f>
        <v>#VALUE!</v>
      </c>
      <c r="AE41" s="290" t="e">
        <f>'Alternative 3-Tilt Up'!$AL41/1000000</f>
        <v>#VALUE!</v>
      </c>
      <c r="AF41" s="290" t="e">
        <f>'Alternative 3-Tilt Up'!$AR41/1000000</f>
        <v>#VALUE!</v>
      </c>
      <c r="AG41" s="290" t="e">
        <f>'Alternative 3-Tilt Up'!$AX41/1000000</f>
        <v>#VALUE!</v>
      </c>
      <c r="AH41" s="290" t="e">
        <f>'Alternative 3-Tilt Up'!$BD41/1000000</f>
        <v>#VALUE!</v>
      </c>
      <c r="AI41" s="290" t="e">
        <f>'Alternative 3-Tilt Up'!$BJ41/1000000</f>
        <v>#VALUE!</v>
      </c>
      <c r="AJ41" s="290" t="e">
        <f>'Alternative 3-Tilt Up'!$BP41/1000000</f>
        <v>#VALUE!</v>
      </c>
      <c r="AK41" s="290" t="e">
        <f>'Alternative 3-Tilt Up'!$BV41/1000000</f>
        <v>#VALUE!</v>
      </c>
      <c r="AL41" s="290">
        <f>'[3]Alternative 3'!$B$20/1.67</f>
        <v>149.70059880239521</v>
      </c>
    </row>
    <row r="42" spans="1:38" x14ac:dyDescent="0.25">
      <c r="A42" s="290" t="str">
        <f>'Alternative 1'!F43</f>
        <v>x</v>
      </c>
      <c r="B42" s="290" t="e">
        <f>'Alternative 1-Tilt Up'!T42/1000000</f>
        <v>#VALUE!</v>
      </c>
      <c r="C42" s="290" t="e">
        <f>'Alternative 1-Tilt Up'!$Z42/1000000</f>
        <v>#VALUE!</v>
      </c>
      <c r="D42" s="290" t="e">
        <f>'Alternative 1-Tilt Up'!$AF42/1000000</f>
        <v>#VALUE!</v>
      </c>
      <c r="E42" s="290" t="e">
        <f>'Alternative 1-Tilt Up'!$AL42/1000000</f>
        <v>#VALUE!</v>
      </c>
      <c r="F42" s="290" t="e">
        <f>'Alternative 1-Tilt Up'!$AR42/1000000</f>
        <v>#VALUE!</v>
      </c>
      <c r="G42" s="290" t="e">
        <f>'Alternative 1-Tilt Up'!$AX42/1000000</f>
        <v>#VALUE!</v>
      </c>
      <c r="H42" s="290" t="e">
        <f>'Alternative 1-Tilt Up'!$BD42/1000000</f>
        <v>#VALUE!</v>
      </c>
      <c r="I42" s="290" t="e">
        <f>'Alternative 1-Tilt Up'!$BJ42/1000000</f>
        <v>#VALUE!</v>
      </c>
      <c r="J42" s="290" t="e">
        <f>'Alternative 1-Tilt Up'!$BP42/1000000</f>
        <v>#VALUE!</v>
      </c>
      <c r="K42" s="290" t="e">
        <f>'Alternative 1-Tilt Up'!$BV42/1000000</f>
        <v>#VALUE!</v>
      </c>
      <c r="L42" s="290">
        <f>'[3]Alternative 1'!$B$20/1.67</f>
        <v>149.70059880239521</v>
      </c>
      <c r="N42" s="290" t="str">
        <f>'Alternative 2'!F43</f>
        <v>x</v>
      </c>
      <c r="O42" s="290" t="e">
        <f>'Alternative 2-Tilt Up'!$T42/1000000</f>
        <v>#VALUE!</v>
      </c>
      <c r="P42" s="290" t="e">
        <f>'Alternative 2-Tilt Up'!$Z42/1000000</f>
        <v>#VALUE!</v>
      </c>
      <c r="Q42" s="290" t="e">
        <f>'Alternative 2-Tilt Up'!$AF42/1000000</f>
        <v>#VALUE!</v>
      </c>
      <c r="R42" s="290" t="e">
        <f>'Alternative 2-Tilt Up'!$AL42/1000000</f>
        <v>#VALUE!</v>
      </c>
      <c r="S42" s="290" t="e">
        <f>'Alternative 2-Tilt Up'!$AR42/1000000</f>
        <v>#VALUE!</v>
      </c>
      <c r="T42" s="290" t="e">
        <f>'Alternative 2-Tilt Up'!$AX42/1000000</f>
        <v>#VALUE!</v>
      </c>
      <c r="U42" s="290" t="e">
        <f>'Alternative 2-Tilt Up'!$BD42/1000000</f>
        <v>#VALUE!</v>
      </c>
      <c r="V42" s="290" t="e">
        <f>'Alternative 2-Tilt Up'!$BJ42/1000000</f>
        <v>#VALUE!</v>
      </c>
      <c r="W42" s="290" t="e">
        <f>'Alternative 2-Tilt Up'!$BP42/1000000</f>
        <v>#VALUE!</v>
      </c>
      <c r="X42" s="290" t="e">
        <f>'Alternative 2-Tilt Up'!$BV42/1000000</f>
        <v>#VALUE!</v>
      </c>
      <c r="Y42" s="290">
        <f>'[3]Alternative 2'!$B$20/1.67</f>
        <v>149.70059880239521</v>
      </c>
      <c r="AA42" s="290" t="str">
        <f>'Alternative 3'!F43</f>
        <v>x</v>
      </c>
      <c r="AB42" s="290" t="e">
        <f>'Alternative 3-Tilt Up'!$T42/1000000</f>
        <v>#VALUE!</v>
      </c>
      <c r="AC42" s="290" t="e">
        <f>'Alternative 3-Tilt Up'!$Z42/1000000</f>
        <v>#VALUE!</v>
      </c>
      <c r="AD42" s="290" t="e">
        <f>'Alternative 3-Tilt Up'!$AF42/1000000</f>
        <v>#VALUE!</v>
      </c>
      <c r="AE42" s="290" t="e">
        <f>'Alternative 3-Tilt Up'!$AL42/1000000</f>
        <v>#VALUE!</v>
      </c>
      <c r="AF42" s="290" t="e">
        <f>'Alternative 3-Tilt Up'!$AR42/1000000</f>
        <v>#VALUE!</v>
      </c>
      <c r="AG42" s="290" t="e">
        <f>'Alternative 3-Tilt Up'!$AX42/1000000</f>
        <v>#VALUE!</v>
      </c>
      <c r="AH42" s="290" t="e">
        <f>'Alternative 3-Tilt Up'!$BD42/1000000</f>
        <v>#VALUE!</v>
      </c>
      <c r="AI42" s="290" t="e">
        <f>'Alternative 3-Tilt Up'!$BJ42/1000000</f>
        <v>#VALUE!</v>
      </c>
      <c r="AJ42" s="290" t="e">
        <f>'Alternative 3-Tilt Up'!$BP42/1000000</f>
        <v>#VALUE!</v>
      </c>
      <c r="AK42" s="290" t="e">
        <f>'Alternative 3-Tilt Up'!$BV42/1000000</f>
        <v>#VALUE!</v>
      </c>
      <c r="AL42" s="290">
        <f>'[3]Alternative 3'!$B$20/1.67</f>
        <v>149.70059880239521</v>
      </c>
    </row>
    <row r="43" spans="1:38" x14ac:dyDescent="0.25">
      <c r="A43" s="290" t="str">
        <f>'Alternative 1'!F44</f>
        <v>x</v>
      </c>
      <c r="B43" s="290" t="e">
        <f>'Alternative 1-Tilt Up'!T43/1000000</f>
        <v>#VALUE!</v>
      </c>
      <c r="C43" s="290" t="e">
        <f>'Alternative 1-Tilt Up'!$Z43/1000000</f>
        <v>#VALUE!</v>
      </c>
      <c r="D43" s="290" t="e">
        <f>'Alternative 1-Tilt Up'!$AF43/1000000</f>
        <v>#VALUE!</v>
      </c>
      <c r="E43" s="290" t="e">
        <f>'Alternative 1-Tilt Up'!$AL43/1000000</f>
        <v>#VALUE!</v>
      </c>
      <c r="F43" s="290" t="e">
        <f>'Alternative 1-Tilt Up'!$AR43/1000000</f>
        <v>#VALUE!</v>
      </c>
      <c r="G43" s="290" t="e">
        <f>'Alternative 1-Tilt Up'!$AX43/1000000</f>
        <v>#VALUE!</v>
      </c>
      <c r="H43" s="290" t="e">
        <f>'Alternative 1-Tilt Up'!$BD43/1000000</f>
        <v>#VALUE!</v>
      </c>
      <c r="I43" s="290" t="e">
        <f>'Alternative 1-Tilt Up'!$BJ43/1000000</f>
        <v>#VALUE!</v>
      </c>
      <c r="J43" s="290" t="e">
        <f>'Alternative 1-Tilt Up'!$BP43/1000000</f>
        <v>#VALUE!</v>
      </c>
      <c r="K43" s="290" t="e">
        <f>'Alternative 1-Tilt Up'!$BV43/1000000</f>
        <v>#VALUE!</v>
      </c>
      <c r="L43" s="290">
        <f>'[3]Alternative 1'!$B$20/1.67</f>
        <v>149.70059880239521</v>
      </c>
      <c r="N43" s="290" t="str">
        <f>'Alternative 2'!F44</f>
        <v>x</v>
      </c>
      <c r="O43" s="290" t="e">
        <f>'Alternative 2-Tilt Up'!$T43/1000000</f>
        <v>#VALUE!</v>
      </c>
      <c r="P43" s="290" t="e">
        <f>'Alternative 2-Tilt Up'!$Z43/1000000</f>
        <v>#VALUE!</v>
      </c>
      <c r="Q43" s="290" t="e">
        <f>'Alternative 2-Tilt Up'!$AF43/1000000</f>
        <v>#VALUE!</v>
      </c>
      <c r="R43" s="290" t="e">
        <f>'Alternative 2-Tilt Up'!$AL43/1000000</f>
        <v>#VALUE!</v>
      </c>
      <c r="S43" s="290" t="e">
        <f>'Alternative 2-Tilt Up'!$AR43/1000000</f>
        <v>#VALUE!</v>
      </c>
      <c r="T43" s="290" t="e">
        <f>'Alternative 2-Tilt Up'!$AX43/1000000</f>
        <v>#VALUE!</v>
      </c>
      <c r="U43" s="290" t="e">
        <f>'Alternative 2-Tilt Up'!$BD43/1000000</f>
        <v>#VALUE!</v>
      </c>
      <c r="V43" s="290" t="e">
        <f>'Alternative 2-Tilt Up'!$BJ43/1000000</f>
        <v>#VALUE!</v>
      </c>
      <c r="W43" s="290" t="e">
        <f>'Alternative 2-Tilt Up'!$BP43/1000000</f>
        <v>#VALUE!</v>
      </c>
      <c r="X43" s="290" t="e">
        <f>'Alternative 2-Tilt Up'!$BV43/1000000</f>
        <v>#VALUE!</v>
      </c>
      <c r="Y43" s="290">
        <f>'[3]Alternative 2'!$B$20/1.67</f>
        <v>149.70059880239521</v>
      </c>
      <c r="AA43" s="290" t="str">
        <f>'Alternative 3'!F44</f>
        <v>x</v>
      </c>
      <c r="AB43" s="290" t="e">
        <f>'Alternative 3-Tilt Up'!$T43/1000000</f>
        <v>#VALUE!</v>
      </c>
      <c r="AC43" s="290" t="e">
        <f>'Alternative 3-Tilt Up'!$Z43/1000000</f>
        <v>#VALUE!</v>
      </c>
      <c r="AD43" s="290" t="e">
        <f>'Alternative 3-Tilt Up'!$AF43/1000000</f>
        <v>#VALUE!</v>
      </c>
      <c r="AE43" s="290" t="e">
        <f>'Alternative 3-Tilt Up'!$AL43/1000000</f>
        <v>#VALUE!</v>
      </c>
      <c r="AF43" s="290" t="e">
        <f>'Alternative 3-Tilt Up'!$AR43/1000000</f>
        <v>#VALUE!</v>
      </c>
      <c r="AG43" s="290" t="e">
        <f>'Alternative 3-Tilt Up'!$AX43/1000000</f>
        <v>#VALUE!</v>
      </c>
      <c r="AH43" s="290" t="e">
        <f>'Alternative 3-Tilt Up'!$BD43/1000000</f>
        <v>#VALUE!</v>
      </c>
      <c r="AI43" s="290" t="e">
        <f>'Alternative 3-Tilt Up'!$BJ43/1000000</f>
        <v>#VALUE!</v>
      </c>
      <c r="AJ43" s="290" t="e">
        <f>'Alternative 3-Tilt Up'!$BP43/1000000</f>
        <v>#VALUE!</v>
      </c>
      <c r="AK43" s="290" t="e">
        <f>'Alternative 3-Tilt Up'!$BV43/1000000</f>
        <v>#VALUE!</v>
      </c>
      <c r="AL43" s="290">
        <f>'[3]Alternative 3'!$B$20/1.67</f>
        <v>149.70059880239521</v>
      </c>
    </row>
    <row r="44" spans="1:38" x14ac:dyDescent="0.25">
      <c r="A44" s="290" t="str">
        <f>'Alternative 1'!F45</f>
        <v>x</v>
      </c>
      <c r="B44" s="290" t="e">
        <f>'Alternative 1-Tilt Up'!T44/1000000</f>
        <v>#VALUE!</v>
      </c>
      <c r="C44" s="290" t="e">
        <f>'Alternative 1-Tilt Up'!$Z44/1000000</f>
        <v>#VALUE!</v>
      </c>
      <c r="D44" s="290" t="e">
        <f>'Alternative 1-Tilt Up'!$AF44/1000000</f>
        <v>#VALUE!</v>
      </c>
      <c r="E44" s="290" t="e">
        <f>'Alternative 1-Tilt Up'!$AL44/1000000</f>
        <v>#VALUE!</v>
      </c>
      <c r="F44" s="290" t="e">
        <f>'Alternative 1-Tilt Up'!$AR44/1000000</f>
        <v>#VALUE!</v>
      </c>
      <c r="G44" s="290" t="e">
        <f>'Alternative 1-Tilt Up'!$AX44/1000000</f>
        <v>#VALUE!</v>
      </c>
      <c r="H44" s="290" t="e">
        <f>'Alternative 1-Tilt Up'!$BD44/1000000</f>
        <v>#VALUE!</v>
      </c>
      <c r="I44" s="290" t="e">
        <f>'Alternative 1-Tilt Up'!$BJ44/1000000</f>
        <v>#VALUE!</v>
      </c>
      <c r="J44" s="290" t="e">
        <f>'Alternative 1-Tilt Up'!$BP44/1000000</f>
        <v>#VALUE!</v>
      </c>
      <c r="K44" s="290" t="e">
        <f>'Alternative 1-Tilt Up'!$BV44/1000000</f>
        <v>#VALUE!</v>
      </c>
      <c r="L44" s="290">
        <f>'[3]Alternative 1'!$B$20/1.67</f>
        <v>149.70059880239521</v>
      </c>
      <c r="N44" s="290" t="str">
        <f>'Alternative 2'!F45</f>
        <v>x</v>
      </c>
      <c r="O44" s="290" t="e">
        <f>'Alternative 2-Tilt Up'!$T44/1000000</f>
        <v>#VALUE!</v>
      </c>
      <c r="P44" s="290" t="e">
        <f>'Alternative 2-Tilt Up'!$Z44/1000000</f>
        <v>#VALUE!</v>
      </c>
      <c r="Q44" s="290" t="e">
        <f>'Alternative 2-Tilt Up'!$AF44/1000000</f>
        <v>#VALUE!</v>
      </c>
      <c r="R44" s="290" t="e">
        <f>'Alternative 2-Tilt Up'!$AL44/1000000</f>
        <v>#VALUE!</v>
      </c>
      <c r="S44" s="290" t="e">
        <f>'Alternative 2-Tilt Up'!$AR44/1000000</f>
        <v>#VALUE!</v>
      </c>
      <c r="T44" s="290" t="e">
        <f>'Alternative 2-Tilt Up'!$AX44/1000000</f>
        <v>#VALUE!</v>
      </c>
      <c r="U44" s="290" t="e">
        <f>'Alternative 2-Tilt Up'!$BD44/1000000</f>
        <v>#VALUE!</v>
      </c>
      <c r="V44" s="290" t="e">
        <f>'Alternative 2-Tilt Up'!$BJ44/1000000</f>
        <v>#VALUE!</v>
      </c>
      <c r="W44" s="290" t="e">
        <f>'Alternative 2-Tilt Up'!$BP44/1000000</f>
        <v>#VALUE!</v>
      </c>
      <c r="X44" s="290" t="e">
        <f>'Alternative 2-Tilt Up'!$BV44/1000000</f>
        <v>#VALUE!</v>
      </c>
      <c r="Y44" s="290">
        <f>'[3]Alternative 2'!$B$20/1.67</f>
        <v>149.70059880239521</v>
      </c>
      <c r="AA44" s="290" t="str">
        <f>'Alternative 3'!F45</f>
        <v>x</v>
      </c>
      <c r="AB44" s="290" t="e">
        <f>'Alternative 3-Tilt Up'!$T44/1000000</f>
        <v>#VALUE!</v>
      </c>
      <c r="AC44" s="290" t="e">
        <f>'Alternative 3-Tilt Up'!$Z44/1000000</f>
        <v>#VALUE!</v>
      </c>
      <c r="AD44" s="290" t="e">
        <f>'Alternative 3-Tilt Up'!$AF44/1000000</f>
        <v>#VALUE!</v>
      </c>
      <c r="AE44" s="290" t="e">
        <f>'Alternative 3-Tilt Up'!$AL44/1000000</f>
        <v>#VALUE!</v>
      </c>
      <c r="AF44" s="290" t="e">
        <f>'Alternative 3-Tilt Up'!$AR44/1000000</f>
        <v>#VALUE!</v>
      </c>
      <c r="AG44" s="290" t="e">
        <f>'Alternative 3-Tilt Up'!$AX44/1000000</f>
        <v>#VALUE!</v>
      </c>
      <c r="AH44" s="290" t="e">
        <f>'Alternative 3-Tilt Up'!$BD44/1000000</f>
        <v>#VALUE!</v>
      </c>
      <c r="AI44" s="290" t="e">
        <f>'Alternative 3-Tilt Up'!$BJ44/1000000</f>
        <v>#VALUE!</v>
      </c>
      <c r="AJ44" s="290" t="e">
        <f>'Alternative 3-Tilt Up'!$BP44/1000000</f>
        <v>#VALUE!</v>
      </c>
      <c r="AK44" s="290" t="e">
        <f>'Alternative 3-Tilt Up'!$BV44/1000000</f>
        <v>#VALUE!</v>
      </c>
      <c r="AL44" s="290">
        <f>'[3]Alternative 3'!$B$20/1.67</f>
        <v>149.70059880239521</v>
      </c>
    </row>
    <row r="45" spans="1:38" x14ac:dyDescent="0.25">
      <c r="A45" s="290" t="str">
        <f>'Alternative 1'!F46</f>
        <v>x</v>
      </c>
      <c r="B45" s="290" t="e">
        <f>'Alternative 1-Tilt Up'!T45/1000000</f>
        <v>#VALUE!</v>
      </c>
      <c r="C45" s="290" t="e">
        <f>'Alternative 1-Tilt Up'!$Z45/1000000</f>
        <v>#VALUE!</v>
      </c>
      <c r="D45" s="290" t="e">
        <f>'Alternative 1-Tilt Up'!$AF45/1000000</f>
        <v>#VALUE!</v>
      </c>
      <c r="E45" s="290" t="e">
        <f>'Alternative 1-Tilt Up'!$AL45/1000000</f>
        <v>#VALUE!</v>
      </c>
      <c r="F45" s="290" t="e">
        <f>'Alternative 1-Tilt Up'!$AR45/1000000</f>
        <v>#VALUE!</v>
      </c>
      <c r="G45" s="290" t="e">
        <f>'Alternative 1-Tilt Up'!$AX45/1000000</f>
        <v>#VALUE!</v>
      </c>
      <c r="H45" s="290" t="e">
        <f>'Alternative 1-Tilt Up'!$BD45/1000000</f>
        <v>#VALUE!</v>
      </c>
      <c r="I45" s="290" t="e">
        <f>'Alternative 1-Tilt Up'!$BJ45/1000000</f>
        <v>#VALUE!</v>
      </c>
      <c r="J45" s="290" t="e">
        <f>'Alternative 1-Tilt Up'!$BP45/1000000</f>
        <v>#VALUE!</v>
      </c>
      <c r="K45" s="290" t="e">
        <f>'Alternative 1-Tilt Up'!$BV45/1000000</f>
        <v>#VALUE!</v>
      </c>
      <c r="L45" s="290">
        <f>'[3]Alternative 1'!$B$20/1.67</f>
        <v>149.70059880239521</v>
      </c>
      <c r="N45" s="290" t="str">
        <f>'Alternative 2'!F46</f>
        <v>x</v>
      </c>
      <c r="O45" s="290" t="e">
        <f>'Alternative 2-Tilt Up'!$T45/1000000</f>
        <v>#VALUE!</v>
      </c>
      <c r="P45" s="290" t="e">
        <f>'Alternative 2-Tilt Up'!$Z45/1000000</f>
        <v>#VALUE!</v>
      </c>
      <c r="Q45" s="290" t="e">
        <f>'Alternative 2-Tilt Up'!$AF45/1000000</f>
        <v>#VALUE!</v>
      </c>
      <c r="R45" s="290" t="e">
        <f>'Alternative 2-Tilt Up'!$AL45/1000000</f>
        <v>#VALUE!</v>
      </c>
      <c r="S45" s="290" t="e">
        <f>'Alternative 2-Tilt Up'!$AR45/1000000</f>
        <v>#VALUE!</v>
      </c>
      <c r="T45" s="290" t="e">
        <f>'Alternative 2-Tilt Up'!$AX45/1000000</f>
        <v>#VALUE!</v>
      </c>
      <c r="U45" s="290" t="e">
        <f>'Alternative 2-Tilt Up'!$BD45/1000000</f>
        <v>#VALUE!</v>
      </c>
      <c r="V45" s="290" t="e">
        <f>'Alternative 2-Tilt Up'!$BJ45/1000000</f>
        <v>#VALUE!</v>
      </c>
      <c r="W45" s="290" t="e">
        <f>'Alternative 2-Tilt Up'!$BP45/1000000</f>
        <v>#VALUE!</v>
      </c>
      <c r="X45" s="290" t="e">
        <f>'Alternative 2-Tilt Up'!$BV45/1000000</f>
        <v>#VALUE!</v>
      </c>
      <c r="Y45" s="290">
        <f>'[3]Alternative 2'!$B$20/1.67</f>
        <v>149.70059880239521</v>
      </c>
      <c r="AA45" s="290" t="str">
        <f>'Alternative 3'!F46</f>
        <v>x</v>
      </c>
      <c r="AB45" s="290" t="e">
        <f>'Alternative 3-Tilt Up'!$T45/1000000</f>
        <v>#VALUE!</v>
      </c>
      <c r="AC45" s="290" t="e">
        <f>'Alternative 3-Tilt Up'!$Z45/1000000</f>
        <v>#VALUE!</v>
      </c>
      <c r="AD45" s="290" t="e">
        <f>'Alternative 3-Tilt Up'!$AF45/1000000</f>
        <v>#VALUE!</v>
      </c>
      <c r="AE45" s="290" t="e">
        <f>'Alternative 3-Tilt Up'!$AL45/1000000</f>
        <v>#VALUE!</v>
      </c>
      <c r="AF45" s="290" t="e">
        <f>'Alternative 3-Tilt Up'!$AR45/1000000</f>
        <v>#VALUE!</v>
      </c>
      <c r="AG45" s="290" t="e">
        <f>'Alternative 3-Tilt Up'!$AX45/1000000</f>
        <v>#VALUE!</v>
      </c>
      <c r="AH45" s="290" t="e">
        <f>'Alternative 3-Tilt Up'!$BD45/1000000</f>
        <v>#VALUE!</v>
      </c>
      <c r="AI45" s="290" t="e">
        <f>'Alternative 3-Tilt Up'!$BJ45/1000000</f>
        <v>#VALUE!</v>
      </c>
      <c r="AJ45" s="290" t="e">
        <f>'Alternative 3-Tilt Up'!$BP45/1000000</f>
        <v>#VALUE!</v>
      </c>
      <c r="AK45" s="290" t="e">
        <f>'Alternative 3-Tilt Up'!$BV45/1000000</f>
        <v>#VALUE!</v>
      </c>
      <c r="AL45" s="290">
        <f>'[3]Alternative 3'!$B$20/1.67</f>
        <v>149.70059880239521</v>
      </c>
    </row>
    <row r="46" spans="1:38" x14ac:dyDescent="0.25">
      <c r="A46" s="290" t="str">
        <f>'Alternative 1'!F47</f>
        <v>x</v>
      </c>
      <c r="B46" s="290" t="e">
        <f>'Alternative 1-Tilt Up'!T46/1000000</f>
        <v>#VALUE!</v>
      </c>
      <c r="C46" s="290" t="e">
        <f>'Alternative 1-Tilt Up'!$Z46/1000000</f>
        <v>#VALUE!</v>
      </c>
      <c r="D46" s="290" t="e">
        <f>'Alternative 1-Tilt Up'!$AF46/1000000</f>
        <v>#VALUE!</v>
      </c>
      <c r="E46" s="290" t="e">
        <f>'Alternative 1-Tilt Up'!$AL46/1000000</f>
        <v>#VALUE!</v>
      </c>
      <c r="F46" s="290" t="e">
        <f>'Alternative 1-Tilt Up'!$AR46/1000000</f>
        <v>#VALUE!</v>
      </c>
      <c r="G46" s="290" t="e">
        <f>'Alternative 1-Tilt Up'!$AX46/1000000</f>
        <v>#VALUE!</v>
      </c>
      <c r="H46" s="290" t="e">
        <f>'Alternative 1-Tilt Up'!$BD46/1000000</f>
        <v>#VALUE!</v>
      </c>
      <c r="I46" s="290" t="e">
        <f>'Alternative 1-Tilt Up'!$BJ46/1000000</f>
        <v>#VALUE!</v>
      </c>
      <c r="J46" s="290" t="e">
        <f>'Alternative 1-Tilt Up'!$BP46/1000000</f>
        <v>#VALUE!</v>
      </c>
      <c r="K46" s="290" t="e">
        <f>'Alternative 1-Tilt Up'!$BV46/1000000</f>
        <v>#VALUE!</v>
      </c>
      <c r="L46" s="290">
        <f>'[3]Alternative 1'!$B$20/1.67</f>
        <v>149.70059880239521</v>
      </c>
      <c r="N46" s="290" t="str">
        <f>'Alternative 2'!F47</f>
        <v>x</v>
      </c>
      <c r="O46" s="290" t="e">
        <f>'Alternative 2-Tilt Up'!$T46/1000000</f>
        <v>#VALUE!</v>
      </c>
      <c r="P46" s="290" t="e">
        <f>'Alternative 2-Tilt Up'!$Z46/1000000</f>
        <v>#VALUE!</v>
      </c>
      <c r="Q46" s="290" t="e">
        <f>'Alternative 2-Tilt Up'!$AF46/1000000</f>
        <v>#VALUE!</v>
      </c>
      <c r="R46" s="290" t="e">
        <f>'Alternative 2-Tilt Up'!$AL46/1000000</f>
        <v>#VALUE!</v>
      </c>
      <c r="S46" s="290" t="e">
        <f>'Alternative 2-Tilt Up'!$AR46/1000000</f>
        <v>#VALUE!</v>
      </c>
      <c r="T46" s="290" t="e">
        <f>'Alternative 2-Tilt Up'!$AX46/1000000</f>
        <v>#VALUE!</v>
      </c>
      <c r="U46" s="290" t="e">
        <f>'Alternative 2-Tilt Up'!$BD46/1000000</f>
        <v>#VALUE!</v>
      </c>
      <c r="V46" s="290" t="e">
        <f>'Alternative 2-Tilt Up'!$BJ46/1000000</f>
        <v>#VALUE!</v>
      </c>
      <c r="W46" s="290" t="e">
        <f>'Alternative 2-Tilt Up'!$BP46/1000000</f>
        <v>#VALUE!</v>
      </c>
      <c r="X46" s="290" t="e">
        <f>'Alternative 2-Tilt Up'!$BV46/1000000</f>
        <v>#VALUE!</v>
      </c>
      <c r="Y46" s="290">
        <f>'[3]Alternative 2'!$B$20/1.67</f>
        <v>149.70059880239521</v>
      </c>
      <c r="AA46" s="290" t="str">
        <f>'Alternative 3'!F47</f>
        <v>x</v>
      </c>
      <c r="AB46" s="290" t="e">
        <f>'Alternative 3-Tilt Up'!$T46/1000000</f>
        <v>#VALUE!</v>
      </c>
      <c r="AC46" s="290" t="e">
        <f>'Alternative 3-Tilt Up'!$Z46/1000000</f>
        <v>#VALUE!</v>
      </c>
      <c r="AD46" s="290" t="e">
        <f>'Alternative 3-Tilt Up'!$AF46/1000000</f>
        <v>#VALUE!</v>
      </c>
      <c r="AE46" s="290" t="e">
        <f>'Alternative 3-Tilt Up'!$AL46/1000000</f>
        <v>#VALUE!</v>
      </c>
      <c r="AF46" s="290" t="e">
        <f>'Alternative 3-Tilt Up'!$AR46/1000000</f>
        <v>#VALUE!</v>
      </c>
      <c r="AG46" s="290" t="e">
        <f>'Alternative 3-Tilt Up'!$AX46/1000000</f>
        <v>#VALUE!</v>
      </c>
      <c r="AH46" s="290" t="e">
        <f>'Alternative 3-Tilt Up'!$BD46/1000000</f>
        <v>#VALUE!</v>
      </c>
      <c r="AI46" s="290" t="e">
        <f>'Alternative 3-Tilt Up'!$BJ46/1000000</f>
        <v>#VALUE!</v>
      </c>
      <c r="AJ46" s="290" t="e">
        <f>'Alternative 3-Tilt Up'!$BP46/1000000</f>
        <v>#VALUE!</v>
      </c>
      <c r="AK46" s="290" t="e">
        <f>'Alternative 3-Tilt Up'!$BV46/1000000</f>
        <v>#VALUE!</v>
      </c>
      <c r="AL46" s="290">
        <f>'[3]Alternative 3'!$B$20/1.67</f>
        <v>149.70059880239521</v>
      </c>
    </row>
    <row r="47" spans="1:38" x14ac:dyDescent="0.25">
      <c r="A47" s="290" t="str">
        <f>'Alternative 1'!F48</f>
        <v>x</v>
      </c>
      <c r="B47" s="290" t="e">
        <f>'Alternative 1-Tilt Up'!T47/1000000</f>
        <v>#VALUE!</v>
      </c>
      <c r="C47" s="290" t="e">
        <f>'Alternative 1-Tilt Up'!$Z47/1000000</f>
        <v>#VALUE!</v>
      </c>
      <c r="D47" s="290" t="e">
        <f>'Alternative 1-Tilt Up'!$AF47/1000000</f>
        <v>#VALUE!</v>
      </c>
      <c r="E47" s="290" t="e">
        <f>'Alternative 1-Tilt Up'!$AL47/1000000</f>
        <v>#VALUE!</v>
      </c>
      <c r="F47" s="290" t="e">
        <f>'Alternative 1-Tilt Up'!$AR47/1000000</f>
        <v>#VALUE!</v>
      </c>
      <c r="G47" s="290" t="e">
        <f>'Alternative 1-Tilt Up'!$AX47/1000000</f>
        <v>#VALUE!</v>
      </c>
      <c r="H47" s="290" t="e">
        <f>'Alternative 1-Tilt Up'!$BD47/1000000</f>
        <v>#VALUE!</v>
      </c>
      <c r="I47" s="290" t="e">
        <f>'Alternative 1-Tilt Up'!$BJ47/1000000</f>
        <v>#VALUE!</v>
      </c>
      <c r="J47" s="290" t="e">
        <f>'Alternative 1-Tilt Up'!$BP47/1000000</f>
        <v>#VALUE!</v>
      </c>
      <c r="K47" s="290" t="e">
        <f>'Alternative 1-Tilt Up'!$BV47/1000000</f>
        <v>#VALUE!</v>
      </c>
      <c r="L47" s="290">
        <f>'[3]Alternative 1'!$B$20/1.67</f>
        <v>149.70059880239521</v>
      </c>
      <c r="N47" s="290" t="str">
        <f>'Alternative 2'!F48</f>
        <v>x</v>
      </c>
      <c r="O47" s="290" t="e">
        <f>'Alternative 2-Tilt Up'!$T47/1000000</f>
        <v>#VALUE!</v>
      </c>
      <c r="P47" s="290" t="e">
        <f>'Alternative 2-Tilt Up'!$Z47/1000000</f>
        <v>#VALUE!</v>
      </c>
      <c r="Q47" s="290" t="e">
        <f>'Alternative 2-Tilt Up'!$AF47/1000000</f>
        <v>#VALUE!</v>
      </c>
      <c r="R47" s="290" t="e">
        <f>'Alternative 2-Tilt Up'!$AL47/1000000</f>
        <v>#VALUE!</v>
      </c>
      <c r="S47" s="290" t="e">
        <f>'Alternative 2-Tilt Up'!$AR47/1000000</f>
        <v>#VALUE!</v>
      </c>
      <c r="T47" s="290" t="e">
        <f>'Alternative 2-Tilt Up'!$AX47/1000000</f>
        <v>#VALUE!</v>
      </c>
      <c r="U47" s="290" t="e">
        <f>'Alternative 2-Tilt Up'!$BD47/1000000</f>
        <v>#VALUE!</v>
      </c>
      <c r="V47" s="290" t="e">
        <f>'Alternative 2-Tilt Up'!$BJ47/1000000</f>
        <v>#VALUE!</v>
      </c>
      <c r="W47" s="290" t="e">
        <f>'Alternative 2-Tilt Up'!$BP47/1000000</f>
        <v>#VALUE!</v>
      </c>
      <c r="X47" s="290" t="e">
        <f>'Alternative 2-Tilt Up'!$BV47/1000000</f>
        <v>#VALUE!</v>
      </c>
      <c r="Y47" s="290">
        <f>'[3]Alternative 2'!$B$20/1.67</f>
        <v>149.70059880239521</v>
      </c>
      <c r="AA47" s="290" t="str">
        <f>'Alternative 3'!F48</f>
        <v>x</v>
      </c>
      <c r="AB47" s="290" t="e">
        <f>'Alternative 3-Tilt Up'!$T47/1000000</f>
        <v>#VALUE!</v>
      </c>
      <c r="AC47" s="290" t="e">
        <f>'Alternative 3-Tilt Up'!$Z47/1000000</f>
        <v>#VALUE!</v>
      </c>
      <c r="AD47" s="290" t="e">
        <f>'Alternative 3-Tilt Up'!$AF47/1000000</f>
        <v>#VALUE!</v>
      </c>
      <c r="AE47" s="290" t="e">
        <f>'Alternative 3-Tilt Up'!$AL47/1000000</f>
        <v>#VALUE!</v>
      </c>
      <c r="AF47" s="290" t="e">
        <f>'Alternative 3-Tilt Up'!$AR47/1000000</f>
        <v>#VALUE!</v>
      </c>
      <c r="AG47" s="290" t="e">
        <f>'Alternative 3-Tilt Up'!$AX47/1000000</f>
        <v>#VALUE!</v>
      </c>
      <c r="AH47" s="290" t="e">
        <f>'Alternative 3-Tilt Up'!$BD47/1000000</f>
        <v>#VALUE!</v>
      </c>
      <c r="AI47" s="290" t="e">
        <f>'Alternative 3-Tilt Up'!$BJ47/1000000</f>
        <v>#VALUE!</v>
      </c>
      <c r="AJ47" s="290" t="e">
        <f>'Alternative 3-Tilt Up'!$BP47/1000000</f>
        <v>#VALUE!</v>
      </c>
      <c r="AK47" s="290" t="e">
        <f>'Alternative 3-Tilt Up'!$BV47/1000000</f>
        <v>#VALUE!</v>
      </c>
      <c r="AL47" s="290">
        <f>'[3]Alternative 3'!$B$20/1.67</f>
        <v>149.70059880239521</v>
      </c>
    </row>
    <row r="48" spans="1:38" x14ac:dyDescent="0.25">
      <c r="A48" s="290" t="str">
        <f>'Alternative 1'!F49</f>
        <v>x</v>
      </c>
      <c r="B48" s="290" t="e">
        <f>'Alternative 1-Tilt Up'!T48/1000000</f>
        <v>#VALUE!</v>
      </c>
      <c r="C48" s="290" t="e">
        <f>'Alternative 1-Tilt Up'!$Z48/1000000</f>
        <v>#VALUE!</v>
      </c>
      <c r="D48" s="290" t="e">
        <f>'Alternative 1-Tilt Up'!$AF48/1000000</f>
        <v>#VALUE!</v>
      </c>
      <c r="E48" s="290" t="e">
        <f>'Alternative 1-Tilt Up'!$AL48/1000000</f>
        <v>#VALUE!</v>
      </c>
      <c r="F48" s="290" t="e">
        <f>'Alternative 1-Tilt Up'!$AR48/1000000</f>
        <v>#VALUE!</v>
      </c>
      <c r="G48" s="290" t="e">
        <f>'Alternative 1-Tilt Up'!$AX48/1000000</f>
        <v>#VALUE!</v>
      </c>
      <c r="H48" s="290" t="e">
        <f>'Alternative 1-Tilt Up'!$BD48/1000000</f>
        <v>#VALUE!</v>
      </c>
      <c r="I48" s="290" t="e">
        <f>'Alternative 1-Tilt Up'!$BJ48/1000000</f>
        <v>#VALUE!</v>
      </c>
      <c r="J48" s="290" t="e">
        <f>'Alternative 1-Tilt Up'!$BP48/1000000</f>
        <v>#VALUE!</v>
      </c>
      <c r="K48" s="290" t="e">
        <f>'Alternative 1-Tilt Up'!$BV48/1000000</f>
        <v>#VALUE!</v>
      </c>
      <c r="L48" s="290">
        <f>'[3]Alternative 1'!$B$20/1.67</f>
        <v>149.70059880239521</v>
      </c>
      <c r="N48" s="290" t="str">
        <f>'Alternative 2'!F49</f>
        <v>x</v>
      </c>
      <c r="O48" s="290" t="e">
        <f>'Alternative 2-Tilt Up'!$T48/1000000</f>
        <v>#VALUE!</v>
      </c>
      <c r="P48" s="290" t="e">
        <f>'Alternative 2-Tilt Up'!$Z48/1000000</f>
        <v>#VALUE!</v>
      </c>
      <c r="Q48" s="290" t="e">
        <f>'Alternative 2-Tilt Up'!$AF48/1000000</f>
        <v>#VALUE!</v>
      </c>
      <c r="R48" s="290" t="e">
        <f>'Alternative 2-Tilt Up'!$AL48/1000000</f>
        <v>#VALUE!</v>
      </c>
      <c r="S48" s="290" t="e">
        <f>'Alternative 2-Tilt Up'!$AR48/1000000</f>
        <v>#VALUE!</v>
      </c>
      <c r="T48" s="290" t="e">
        <f>'Alternative 2-Tilt Up'!$AX48/1000000</f>
        <v>#VALUE!</v>
      </c>
      <c r="U48" s="290" t="e">
        <f>'Alternative 2-Tilt Up'!$BD48/1000000</f>
        <v>#VALUE!</v>
      </c>
      <c r="V48" s="290" t="e">
        <f>'Alternative 2-Tilt Up'!$BJ48/1000000</f>
        <v>#VALUE!</v>
      </c>
      <c r="W48" s="290" t="e">
        <f>'Alternative 2-Tilt Up'!$BP48/1000000</f>
        <v>#VALUE!</v>
      </c>
      <c r="X48" s="290" t="e">
        <f>'Alternative 2-Tilt Up'!$BV48/1000000</f>
        <v>#VALUE!</v>
      </c>
      <c r="Y48" s="290">
        <f>'[3]Alternative 2'!$B$20/1.67</f>
        <v>149.70059880239521</v>
      </c>
      <c r="AA48" s="290" t="str">
        <f>'Alternative 3'!F49</f>
        <v>x</v>
      </c>
      <c r="AB48" s="290" t="e">
        <f>'Alternative 3-Tilt Up'!$T48/1000000</f>
        <v>#VALUE!</v>
      </c>
      <c r="AC48" s="290" t="e">
        <f>'Alternative 3-Tilt Up'!$Z48/1000000</f>
        <v>#VALUE!</v>
      </c>
      <c r="AD48" s="290" t="e">
        <f>'Alternative 3-Tilt Up'!$AF48/1000000</f>
        <v>#VALUE!</v>
      </c>
      <c r="AE48" s="290" t="e">
        <f>'Alternative 3-Tilt Up'!$AL48/1000000</f>
        <v>#VALUE!</v>
      </c>
      <c r="AF48" s="290" t="e">
        <f>'Alternative 3-Tilt Up'!$AR48/1000000</f>
        <v>#VALUE!</v>
      </c>
      <c r="AG48" s="290" t="e">
        <f>'Alternative 3-Tilt Up'!$AX48/1000000</f>
        <v>#VALUE!</v>
      </c>
      <c r="AH48" s="290" t="e">
        <f>'Alternative 3-Tilt Up'!$BD48/1000000</f>
        <v>#VALUE!</v>
      </c>
      <c r="AI48" s="290" t="e">
        <f>'Alternative 3-Tilt Up'!$BJ48/1000000</f>
        <v>#VALUE!</v>
      </c>
      <c r="AJ48" s="290" t="e">
        <f>'Alternative 3-Tilt Up'!$BP48/1000000</f>
        <v>#VALUE!</v>
      </c>
      <c r="AK48" s="290" t="e">
        <f>'Alternative 3-Tilt Up'!$BV48/1000000</f>
        <v>#VALUE!</v>
      </c>
      <c r="AL48" s="290">
        <f>'[3]Alternative 3'!$B$20/1.67</f>
        <v>149.70059880239521</v>
      </c>
    </row>
    <row r="49" spans="1:38" x14ac:dyDescent="0.25">
      <c r="A49" s="290" t="str">
        <f>'Alternative 1'!F50</f>
        <v>x</v>
      </c>
      <c r="B49" s="290" t="e">
        <f>'Alternative 1-Tilt Up'!T49/1000000</f>
        <v>#VALUE!</v>
      </c>
      <c r="C49" s="290" t="e">
        <f>'Alternative 1-Tilt Up'!$Z49/1000000</f>
        <v>#VALUE!</v>
      </c>
      <c r="D49" s="290" t="e">
        <f>'Alternative 1-Tilt Up'!$AF49/1000000</f>
        <v>#VALUE!</v>
      </c>
      <c r="E49" s="290" t="e">
        <f>'Alternative 1-Tilt Up'!$AL49/1000000</f>
        <v>#VALUE!</v>
      </c>
      <c r="F49" s="290" t="e">
        <f>'Alternative 1-Tilt Up'!$AR49/1000000</f>
        <v>#VALUE!</v>
      </c>
      <c r="G49" s="290" t="e">
        <f>'Alternative 1-Tilt Up'!$AX49/1000000</f>
        <v>#VALUE!</v>
      </c>
      <c r="H49" s="290" t="e">
        <f>'Alternative 1-Tilt Up'!$BD49/1000000</f>
        <v>#VALUE!</v>
      </c>
      <c r="I49" s="290" t="e">
        <f>'Alternative 1-Tilt Up'!$BJ49/1000000</f>
        <v>#VALUE!</v>
      </c>
      <c r="J49" s="290" t="e">
        <f>'Alternative 1-Tilt Up'!$BP49/1000000</f>
        <v>#VALUE!</v>
      </c>
      <c r="K49" s="290" t="e">
        <f>'Alternative 1-Tilt Up'!$BV49/1000000</f>
        <v>#VALUE!</v>
      </c>
      <c r="L49" s="290">
        <f>'[3]Alternative 1'!$B$20/1.67</f>
        <v>149.70059880239521</v>
      </c>
      <c r="N49" s="290" t="str">
        <f>'Alternative 2'!F50</f>
        <v>x</v>
      </c>
      <c r="O49" s="290" t="e">
        <f>'Alternative 2-Tilt Up'!$T49/1000000</f>
        <v>#VALUE!</v>
      </c>
      <c r="P49" s="290" t="e">
        <f>'Alternative 2-Tilt Up'!$Z49/1000000</f>
        <v>#VALUE!</v>
      </c>
      <c r="Q49" s="290" t="e">
        <f>'Alternative 2-Tilt Up'!$AF49/1000000</f>
        <v>#VALUE!</v>
      </c>
      <c r="R49" s="290" t="e">
        <f>'Alternative 2-Tilt Up'!$AL49/1000000</f>
        <v>#VALUE!</v>
      </c>
      <c r="S49" s="290" t="e">
        <f>'Alternative 2-Tilt Up'!$AR49/1000000</f>
        <v>#VALUE!</v>
      </c>
      <c r="T49" s="290" t="e">
        <f>'Alternative 2-Tilt Up'!$AX49/1000000</f>
        <v>#VALUE!</v>
      </c>
      <c r="U49" s="290" t="e">
        <f>'Alternative 2-Tilt Up'!$BD49/1000000</f>
        <v>#VALUE!</v>
      </c>
      <c r="V49" s="290" t="e">
        <f>'Alternative 2-Tilt Up'!$BJ49/1000000</f>
        <v>#VALUE!</v>
      </c>
      <c r="W49" s="290" t="e">
        <f>'Alternative 2-Tilt Up'!$BP49/1000000</f>
        <v>#VALUE!</v>
      </c>
      <c r="X49" s="290" t="e">
        <f>'Alternative 2-Tilt Up'!$BV49/1000000</f>
        <v>#VALUE!</v>
      </c>
      <c r="Y49" s="290">
        <f>'[3]Alternative 2'!$B$20/1.67</f>
        <v>149.70059880239521</v>
      </c>
      <c r="AA49" s="290" t="str">
        <f>'Alternative 3'!F50</f>
        <v>x</v>
      </c>
      <c r="AB49" s="290" t="e">
        <f>'Alternative 3-Tilt Up'!$T49/1000000</f>
        <v>#VALUE!</v>
      </c>
      <c r="AC49" s="290" t="e">
        <f>'Alternative 3-Tilt Up'!$Z49/1000000</f>
        <v>#VALUE!</v>
      </c>
      <c r="AD49" s="290" t="e">
        <f>'Alternative 3-Tilt Up'!$AF49/1000000</f>
        <v>#VALUE!</v>
      </c>
      <c r="AE49" s="290" t="e">
        <f>'Alternative 3-Tilt Up'!$AL49/1000000</f>
        <v>#VALUE!</v>
      </c>
      <c r="AF49" s="290" t="e">
        <f>'Alternative 3-Tilt Up'!$AR49/1000000</f>
        <v>#VALUE!</v>
      </c>
      <c r="AG49" s="290" t="e">
        <f>'Alternative 3-Tilt Up'!$AX49/1000000</f>
        <v>#VALUE!</v>
      </c>
      <c r="AH49" s="290" t="e">
        <f>'Alternative 3-Tilt Up'!$BD49/1000000</f>
        <v>#VALUE!</v>
      </c>
      <c r="AI49" s="290" t="e">
        <f>'Alternative 3-Tilt Up'!$BJ49/1000000</f>
        <v>#VALUE!</v>
      </c>
      <c r="AJ49" s="290" t="e">
        <f>'Alternative 3-Tilt Up'!$BP49/1000000</f>
        <v>#VALUE!</v>
      </c>
      <c r="AK49" s="290" t="e">
        <f>'Alternative 3-Tilt Up'!$BV49/1000000</f>
        <v>#VALUE!</v>
      </c>
      <c r="AL49" s="290">
        <f>'[3]Alternative 3'!$B$20/1.67</f>
        <v>149.70059880239521</v>
      </c>
    </row>
    <row r="50" spans="1:38" x14ac:dyDescent="0.25">
      <c r="A50" s="290" t="str">
        <f>'Alternative 1'!F51</f>
        <v>x</v>
      </c>
      <c r="B50" s="290" t="e">
        <f>'Alternative 1-Tilt Up'!T50/1000000</f>
        <v>#VALUE!</v>
      </c>
      <c r="C50" s="290" t="e">
        <f>'Alternative 1-Tilt Up'!$Z50/1000000</f>
        <v>#VALUE!</v>
      </c>
      <c r="D50" s="290" t="e">
        <f>'Alternative 1-Tilt Up'!$AF50/1000000</f>
        <v>#VALUE!</v>
      </c>
      <c r="E50" s="290" t="e">
        <f>'Alternative 1-Tilt Up'!$AL50/1000000</f>
        <v>#VALUE!</v>
      </c>
      <c r="F50" s="290" t="e">
        <f>'Alternative 1-Tilt Up'!$AR50/1000000</f>
        <v>#VALUE!</v>
      </c>
      <c r="G50" s="290" t="e">
        <f>'Alternative 1-Tilt Up'!$AX50/1000000</f>
        <v>#VALUE!</v>
      </c>
      <c r="H50" s="290" t="e">
        <f>'Alternative 1-Tilt Up'!$BD50/1000000</f>
        <v>#VALUE!</v>
      </c>
      <c r="I50" s="290" t="e">
        <f>'Alternative 1-Tilt Up'!$BJ50/1000000</f>
        <v>#VALUE!</v>
      </c>
      <c r="J50" s="290" t="e">
        <f>'Alternative 1-Tilt Up'!$BP50/1000000</f>
        <v>#VALUE!</v>
      </c>
      <c r="K50" s="290" t="e">
        <f>'Alternative 1-Tilt Up'!$BV50/1000000</f>
        <v>#VALUE!</v>
      </c>
      <c r="L50" s="290">
        <f>'[3]Alternative 1'!$B$20/1.67</f>
        <v>149.70059880239521</v>
      </c>
      <c r="N50" s="290" t="str">
        <f>'Alternative 2'!F51</f>
        <v>x</v>
      </c>
      <c r="O50" s="290" t="e">
        <f>'Alternative 2-Tilt Up'!$T50/1000000</f>
        <v>#VALUE!</v>
      </c>
      <c r="P50" s="290" t="e">
        <f>'Alternative 2-Tilt Up'!$Z50/1000000</f>
        <v>#VALUE!</v>
      </c>
      <c r="Q50" s="290" t="e">
        <f>'Alternative 2-Tilt Up'!$AF50/1000000</f>
        <v>#VALUE!</v>
      </c>
      <c r="R50" s="290" t="e">
        <f>'Alternative 2-Tilt Up'!$AL50/1000000</f>
        <v>#VALUE!</v>
      </c>
      <c r="S50" s="290" t="e">
        <f>'Alternative 2-Tilt Up'!$AR50/1000000</f>
        <v>#VALUE!</v>
      </c>
      <c r="T50" s="290" t="e">
        <f>'Alternative 2-Tilt Up'!$AX50/1000000</f>
        <v>#VALUE!</v>
      </c>
      <c r="U50" s="290" t="e">
        <f>'Alternative 2-Tilt Up'!$BD50/1000000</f>
        <v>#VALUE!</v>
      </c>
      <c r="V50" s="290" t="e">
        <f>'Alternative 2-Tilt Up'!$BJ50/1000000</f>
        <v>#VALUE!</v>
      </c>
      <c r="W50" s="290" t="e">
        <f>'Alternative 2-Tilt Up'!$BP50/1000000</f>
        <v>#VALUE!</v>
      </c>
      <c r="X50" s="290" t="e">
        <f>'Alternative 2-Tilt Up'!$BV50/1000000</f>
        <v>#VALUE!</v>
      </c>
      <c r="Y50" s="290">
        <f>'[3]Alternative 2'!$B$20/1.67</f>
        <v>149.70059880239521</v>
      </c>
      <c r="AA50" s="290" t="str">
        <f>'Alternative 3'!F51</f>
        <v>x</v>
      </c>
      <c r="AB50" s="290" t="e">
        <f>'Alternative 3-Tilt Up'!$T50/1000000</f>
        <v>#VALUE!</v>
      </c>
      <c r="AC50" s="290" t="e">
        <f>'Alternative 3-Tilt Up'!$Z50/1000000</f>
        <v>#VALUE!</v>
      </c>
      <c r="AD50" s="290" t="e">
        <f>'Alternative 3-Tilt Up'!$AF50/1000000</f>
        <v>#VALUE!</v>
      </c>
      <c r="AE50" s="290" t="e">
        <f>'Alternative 3-Tilt Up'!$AL50/1000000</f>
        <v>#VALUE!</v>
      </c>
      <c r="AF50" s="290" t="e">
        <f>'Alternative 3-Tilt Up'!$AR50/1000000</f>
        <v>#VALUE!</v>
      </c>
      <c r="AG50" s="290" t="e">
        <f>'Alternative 3-Tilt Up'!$AX50/1000000</f>
        <v>#VALUE!</v>
      </c>
      <c r="AH50" s="290" t="e">
        <f>'Alternative 3-Tilt Up'!$BD50/1000000</f>
        <v>#VALUE!</v>
      </c>
      <c r="AI50" s="290" t="e">
        <f>'Alternative 3-Tilt Up'!$BJ50/1000000</f>
        <v>#VALUE!</v>
      </c>
      <c r="AJ50" s="290" t="e">
        <f>'Alternative 3-Tilt Up'!$BP50/1000000</f>
        <v>#VALUE!</v>
      </c>
      <c r="AK50" s="290" t="e">
        <f>'Alternative 3-Tilt Up'!$BV50/1000000</f>
        <v>#VALUE!</v>
      </c>
      <c r="AL50" s="290">
        <f>'[3]Alternative 3'!$B$20/1.67</f>
        <v>149.70059880239521</v>
      </c>
    </row>
    <row r="51" spans="1:38" x14ac:dyDescent="0.25">
      <c r="A51" s="290" t="str">
        <f>'Alternative 1'!F52</f>
        <v>x</v>
      </c>
      <c r="B51" s="290" t="e">
        <f>'Alternative 1-Tilt Up'!T51/1000000</f>
        <v>#VALUE!</v>
      </c>
      <c r="C51" s="290" t="e">
        <f>'Alternative 1-Tilt Up'!$Z51/1000000</f>
        <v>#VALUE!</v>
      </c>
      <c r="D51" s="290" t="e">
        <f>'Alternative 1-Tilt Up'!$AF51/1000000</f>
        <v>#VALUE!</v>
      </c>
      <c r="E51" s="290" t="e">
        <f>'Alternative 1-Tilt Up'!$AL51/1000000</f>
        <v>#VALUE!</v>
      </c>
      <c r="F51" s="290" t="e">
        <f>'Alternative 1-Tilt Up'!$AR51/1000000</f>
        <v>#VALUE!</v>
      </c>
      <c r="G51" s="290" t="e">
        <f>'Alternative 1-Tilt Up'!$AX51/1000000</f>
        <v>#VALUE!</v>
      </c>
      <c r="H51" s="290" t="e">
        <f>'Alternative 1-Tilt Up'!$BD51/1000000</f>
        <v>#VALUE!</v>
      </c>
      <c r="I51" s="290" t="e">
        <f>'Alternative 1-Tilt Up'!$BJ51/1000000</f>
        <v>#VALUE!</v>
      </c>
      <c r="J51" s="290" t="e">
        <f>'Alternative 1-Tilt Up'!$BP51/1000000</f>
        <v>#VALUE!</v>
      </c>
      <c r="K51" s="290" t="e">
        <f>'Alternative 1-Tilt Up'!$BV51/1000000</f>
        <v>#VALUE!</v>
      </c>
      <c r="L51" s="290">
        <f>'[3]Alternative 1'!$B$20/1.67</f>
        <v>149.70059880239521</v>
      </c>
      <c r="N51" s="290" t="str">
        <f>'Alternative 2'!F52</f>
        <v>x</v>
      </c>
      <c r="O51" s="290" t="e">
        <f>'Alternative 2-Tilt Up'!$T51/1000000</f>
        <v>#VALUE!</v>
      </c>
      <c r="P51" s="290" t="e">
        <f>'Alternative 2-Tilt Up'!$Z51/1000000</f>
        <v>#VALUE!</v>
      </c>
      <c r="Q51" s="290" t="e">
        <f>'Alternative 2-Tilt Up'!$AF51/1000000</f>
        <v>#VALUE!</v>
      </c>
      <c r="R51" s="290" t="e">
        <f>'Alternative 2-Tilt Up'!$AL51/1000000</f>
        <v>#VALUE!</v>
      </c>
      <c r="S51" s="290" t="e">
        <f>'Alternative 2-Tilt Up'!$AR51/1000000</f>
        <v>#VALUE!</v>
      </c>
      <c r="T51" s="290" t="e">
        <f>'Alternative 2-Tilt Up'!$AX51/1000000</f>
        <v>#VALUE!</v>
      </c>
      <c r="U51" s="290" t="e">
        <f>'Alternative 2-Tilt Up'!$BD51/1000000</f>
        <v>#VALUE!</v>
      </c>
      <c r="V51" s="290" t="e">
        <f>'Alternative 2-Tilt Up'!$BJ51/1000000</f>
        <v>#VALUE!</v>
      </c>
      <c r="W51" s="290" t="e">
        <f>'Alternative 2-Tilt Up'!$BP51/1000000</f>
        <v>#VALUE!</v>
      </c>
      <c r="X51" s="290" t="e">
        <f>'Alternative 2-Tilt Up'!$BV51/1000000</f>
        <v>#VALUE!</v>
      </c>
      <c r="Y51" s="290">
        <f>'[3]Alternative 2'!$B$20/1.67</f>
        <v>149.70059880239521</v>
      </c>
      <c r="AA51" s="290" t="str">
        <f>'Alternative 3'!F52</f>
        <v>x</v>
      </c>
      <c r="AB51" s="290" t="e">
        <f>'Alternative 3-Tilt Up'!$T51/1000000</f>
        <v>#VALUE!</v>
      </c>
      <c r="AC51" s="290" t="e">
        <f>'Alternative 3-Tilt Up'!$Z51/1000000</f>
        <v>#VALUE!</v>
      </c>
      <c r="AD51" s="290" t="e">
        <f>'Alternative 3-Tilt Up'!$AF51/1000000</f>
        <v>#VALUE!</v>
      </c>
      <c r="AE51" s="290" t="e">
        <f>'Alternative 3-Tilt Up'!$AL51/1000000</f>
        <v>#VALUE!</v>
      </c>
      <c r="AF51" s="290" t="e">
        <f>'Alternative 3-Tilt Up'!$AR51/1000000</f>
        <v>#VALUE!</v>
      </c>
      <c r="AG51" s="290" t="e">
        <f>'Alternative 3-Tilt Up'!$AX51/1000000</f>
        <v>#VALUE!</v>
      </c>
      <c r="AH51" s="290" t="e">
        <f>'Alternative 3-Tilt Up'!$BD51/1000000</f>
        <v>#VALUE!</v>
      </c>
      <c r="AI51" s="290" t="e">
        <f>'Alternative 3-Tilt Up'!$BJ51/1000000</f>
        <v>#VALUE!</v>
      </c>
      <c r="AJ51" s="290" t="e">
        <f>'Alternative 3-Tilt Up'!$BP51/1000000</f>
        <v>#VALUE!</v>
      </c>
      <c r="AK51" s="290" t="e">
        <f>'Alternative 3-Tilt Up'!$BV51/1000000</f>
        <v>#VALUE!</v>
      </c>
      <c r="AL51" s="290">
        <f>'[3]Alternative 3'!$B$20/1.67</f>
        <v>149.70059880239521</v>
      </c>
    </row>
    <row r="52" spans="1:38" x14ac:dyDescent="0.25">
      <c r="A52" s="290" t="str">
        <f>'Alternative 1'!F53</f>
        <v>x</v>
      </c>
      <c r="B52" s="290" t="e">
        <f>'Alternative 1-Tilt Up'!T52/1000000</f>
        <v>#VALUE!</v>
      </c>
      <c r="C52" s="290" t="e">
        <f>'Alternative 1-Tilt Up'!$Z52/1000000</f>
        <v>#VALUE!</v>
      </c>
      <c r="D52" s="290" t="e">
        <f>'Alternative 1-Tilt Up'!$AF52/1000000</f>
        <v>#VALUE!</v>
      </c>
      <c r="E52" s="290" t="e">
        <f>'Alternative 1-Tilt Up'!$AL52/1000000</f>
        <v>#VALUE!</v>
      </c>
      <c r="F52" s="290" t="e">
        <f>'Alternative 1-Tilt Up'!$AR52/1000000</f>
        <v>#VALUE!</v>
      </c>
      <c r="G52" s="290" t="e">
        <f>'Alternative 1-Tilt Up'!$AX52/1000000</f>
        <v>#VALUE!</v>
      </c>
      <c r="H52" s="290" t="e">
        <f>'Alternative 1-Tilt Up'!$BD52/1000000</f>
        <v>#VALUE!</v>
      </c>
      <c r="I52" s="290" t="e">
        <f>'Alternative 1-Tilt Up'!$BJ52/1000000</f>
        <v>#VALUE!</v>
      </c>
      <c r="J52" s="290" t="e">
        <f>'Alternative 1-Tilt Up'!$BP52/1000000</f>
        <v>#VALUE!</v>
      </c>
      <c r="K52" s="290" t="e">
        <f>'Alternative 1-Tilt Up'!$BV52/1000000</f>
        <v>#VALUE!</v>
      </c>
      <c r="L52" s="290">
        <f>'[3]Alternative 1'!$B$20/1.67</f>
        <v>149.70059880239521</v>
      </c>
      <c r="N52" s="290" t="str">
        <f>'Alternative 2'!F53</f>
        <v>x</v>
      </c>
      <c r="O52" s="290" t="e">
        <f>'Alternative 2-Tilt Up'!$T52/1000000</f>
        <v>#VALUE!</v>
      </c>
      <c r="P52" s="290" t="e">
        <f>'Alternative 2-Tilt Up'!$Z52/1000000</f>
        <v>#VALUE!</v>
      </c>
      <c r="Q52" s="290" t="e">
        <f>'Alternative 2-Tilt Up'!$AF52/1000000</f>
        <v>#VALUE!</v>
      </c>
      <c r="R52" s="290" t="e">
        <f>'Alternative 2-Tilt Up'!$AL52/1000000</f>
        <v>#VALUE!</v>
      </c>
      <c r="S52" s="290" t="e">
        <f>'Alternative 2-Tilt Up'!$AR52/1000000</f>
        <v>#VALUE!</v>
      </c>
      <c r="T52" s="290" t="e">
        <f>'Alternative 2-Tilt Up'!$AX52/1000000</f>
        <v>#VALUE!</v>
      </c>
      <c r="U52" s="290" t="e">
        <f>'Alternative 2-Tilt Up'!$BD52/1000000</f>
        <v>#VALUE!</v>
      </c>
      <c r="V52" s="290" t="e">
        <f>'Alternative 2-Tilt Up'!$BJ52/1000000</f>
        <v>#VALUE!</v>
      </c>
      <c r="W52" s="290" t="e">
        <f>'Alternative 2-Tilt Up'!$BP52/1000000</f>
        <v>#VALUE!</v>
      </c>
      <c r="X52" s="290" t="e">
        <f>'Alternative 2-Tilt Up'!$BV52/1000000</f>
        <v>#VALUE!</v>
      </c>
      <c r="Y52" s="290">
        <f>'[3]Alternative 2'!$B$20/1.67</f>
        <v>149.70059880239521</v>
      </c>
      <c r="AA52" s="290" t="str">
        <f>'Alternative 3'!F53</f>
        <v>x</v>
      </c>
      <c r="AB52" s="290" t="e">
        <f>'Alternative 3-Tilt Up'!$T52/1000000</f>
        <v>#VALUE!</v>
      </c>
      <c r="AC52" s="290" t="e">
        <f>'Alternative 3-Tilt Up'!$Z52/1000000</f>
        <v>#VALUE!</v>
      </c>
      <c r="AD52" s="290" t="e">
        <f>'Alternative 3-Tilt Up'!$AF52/1000000</f>
        <v>#VALUE!</v>
      </c>
      <c r="AE52" s="290" t="e">
        <f>'Alternative 3-Tilt Up'!$AL52/1000000</f>
        <v>#VALUE!</v>
      </c>
      <c r="AF52" s="290" t="e">
        <f>'Alternative 3-Tilt Up'!$AR52/1000000</f>
        <v>#VALUE!</v>
      </c>
      <c r="AG52" s="290" t="e">
        <f>'Alternative 3-Tilt Up'!$AX52/1000000</f>
        <v>#VALUE!</v>
      </c>
      <c r="AH52" s="290" t="e">
        <f>'Alternative 3-Tilt Up'!$BD52/1000000</f>
        <v>#VALUE!</v>
      </c>
      <c r="AI52" s="290" t="e">
        <f>'Alternative 3-Tilt Up'!$BJ52/1000000</f>
        <v>#VALUE!</v>
      </c>
      <c r="AJ52" s="290" t="e">
        <f>'Alternative 3-Tilt Up'!$BP52/1000000</f>
        <v>#VALUE!</v>
      </c>
      <c r="AK52" s="290" t="e">
        <f>'Alternative 3-Tilt Up'!$BV52/1000000</f>
        <v>#VALUE!</v>
      </c>
      <c r="AL52" s="290">
        <f>'[3]Alternative 3'!$B$20/1.67</f>
        <v>149.70059880239521</v>
      </c>
    </row>
    <row r="53" spans="1:38" x14ac:dyDescent="0.25">
      <c r="A53" s="290" t="str">
        <f>'Alternative 1'!F54</f>
        <v>x</v>
      </c>
      <c r="B53" s="290" t="e">
        <f>'Alternative 1-Tilt Up'!T53/1000000</f>
        <v>#VALUE!</v>
      </c>
      <c r="C53" s="290" t="e">
        <f>'Alternative 1-Tilt Up'!$Z53/1000000</f>
        <v>#VALUE!</v>
      </c>
      <c r="D53" s="290" t="e">
        <f>'Alternative 1-Tilt Up'!$AF53/1000000</f>
        <v>#VALUE!</v>
      </c>
      <c r="E53" s="290" t="e">
        <f>'Alternative 1-Tilt Up'!$AL53/1000000</f>
        <v>#VALUE!</v>
      </c>
      <c r="F53" s="290" t="e">
        <f>'Alternative 1-Tilt Up'!$AR53/1000000</f>
        <v>#VALUE!</v>
      </c>
      <c r="G53" s="290" t="e">
        <f>'Alternative 1-Tilt Up'!$AX53/1000000</f>
        <v>#VALUE!</v>
      </c>
      <c r="H53" s="290" t="e">
        <f>'Alternative 1-Tilt Up'!$BD53/1000000</f>
        <v>#VALUE!</v>
      </c>
      <c r="I53" s="290" t="e">
        <f>'Alternative 1-Tilt Up'!$BJ53/1000000</f>
        <v>#VALUE!</v>
      </c>
      <c r="J53" s="290" t="e">
        <f>'Alternative 1-Tilt Up'!$BP53/1000000</f>
        <v>#VALUE!</v>
      </c>
      <c r="K53" s="290" t="e">
        <f>'Alternative 1-Tilt Up'!$BV53/1000000</f>
        <v>#VALUE!</v>
      </c>
      <c r="L53" s="290">
        <f>'[3]Alternative 1'!$B$20/1.67</f>
        <v>149.70059880239521</v>
      </c>
      <c r="N53" s="290" t="str">
        <f>'Alternative 2'!F54</f>
        <v>x</v>
      </c>
      <c r="O53" s="290" t="e">
        <f>'Alternative 2-Tilt Up'!$T53/1000000</f>
        <v>#VALUE!</v>
      </c>
      <c r="P53" s="290" t="e">
        <f>'Alternative 2-Tilt Up'!$Z53/1000000</f>
        <v>#VALUE!</v>
      </c>
      <c r="Q53" s="290" t="e">
        <f>'Alternative 2-Tilt Up'!$AF53/1000000</f>
        <v>#VALUE!</v>
      </c>
      <c r="R53" s="290" t="e">
        <f>'Alternative 2-Tilt Up'!$AL53/1000000</f>
        <v>#VALUE!</v>
      </c>
      <c r="S53" s="290" t="e">
        <f>'Alternative 2-Tilt Up'!$AR53/1000000</f>
        <v>#VALUE!</v>
      </c>
      <c r="T53" s="290" t="e">
        <f>'Alternative 2-Tilt Up'!$AX53/1000000</f>
        <v>#VALUE!</v>
      </c>
      <c r="U53" s="290" t="e">
        <f>'Alternative 2-Tilt Up'!$BD53/1000000</f>
        <v>#VALUE!</v>
      </c>
      <c r="V53" s="290" t="e">
        <f>'Alternative 2-Tilt Up'!$BJ53/1000000</f>
        <v>#VALUE!</v>
      </c>
      <c r="W53" s="290" t="e">
        <f>'Alternative 2-Tilt Up'!$BP53/1000000</f>
        <v>#VALUE!</v>
      </c>
      <c r="X53" s="290" t="e">
        <f>'Alternative 2-Tilt Up'!$BV53/1000000</f>
        <v>#VALUE!</v>
      </c>
      <c r="Y53" s="290">
        <f>'[3]Alternative 2'!$B$20/1.67</f>
        <v>149.70059880239521</v>
      </c>
      <c r="AA53" s="290" t="str">
        <f>'Alternative 3'!F54</f>
        <v>x</v>
      </c>
      <c r="AB53" s="290" t="e">
        <f>'Alternative 3-Tilt Up'!$T53/1000000</f>
        <v>#VALUE!</v>
      </c>
      <c r="AC53" s="290" t="e">
        <f>'Alternative 3-Tilt Up'!$Z53/1000000</f>
        <v>#VALUE!</v>
      </c>
      <c r="AD53" s="290" t="e">
        <f>'Alternative 3-Tilt Up'!$AF53/1000000</f>
        <v>#VALUE!</v>
      </c>
      <c r="AE53" s="290" t="e">
        <f>'Alternative 3-Tilt Up'!$AL53/1000000</f>
        <v>#VALUE!</v>
      </c>
      <c r="AF53" s="290" t="e">
        <f>'Alternative 3-Tilt Up'!$AR53/1000000</f>
        <v>#VALUE!</v>
      </c>
      <c r="AG53" s="290" t="e">
        <f>'Alternative 3-Tilt Up'!$AX53/1000000</f>
        <v>#VALUE!</v>
      </c>
      <c r="AH53" s="290" t="e">
        <f>'Alternative 3-Tilt Up'!$BD53/1000000</f>
        <v>#VALUE!</v>
      </c>
      <c r="AI53" s="290" t="e">
        <f>'Alternative 3-Tilt Up'!$BJ53/1000000</f>
        <v>#VALUE!</v>
      </c>
      <c r="AJ53" s="290" t="e">
        <f>'Alternative 3-Tilt Up'!$BP53/1000000</f>
        <v>#VALUE!</v>
      </c>
      <c r="AK53" s="290" t="e">
        <f>'Alternative 3-Tilt Up'!$BV53/1000000</f>
        <v>#VALUE!</v>
      </c>
      <c r="AL53" s="290">
        <f>'[3]Alternative 3'!$B$20/1.67</f>
        <v>149.70059880239521</v>
      </c>
    </row>
    <row r="54" spans="1:38" x14ac:dyDescent="0.25">
      <c r="A54" s="290" t="str">
        <f>'Alternative 1'!F55</f>
        <v>x</v>
      </c>
      <c r="B54" s="290" t="e">
        <f>'Alternative 1-Tilt Up'!T54/1000000</f>
        <v>#VALUE!</v>
      </c>
      <c r="C54" s="290" t="e">
        <f>'Alternative 1-Tilt Up'!$Z54/1000000</f>
        <v>#VALUE!</v>
      </c>
      <c r="D54" s="290" t="e">
        <f>'Alternative 1-Tilt Up'!$AF54/1000000</f>
        <v>#VALUE!</v>
      </c>
      <c r="E54" s="290" t="e">
        <f>'Alternative 1-Tilt Up'!$AL54/1000000</f>
        <v>#VALUE!</v>
      </c>
      <c r="F54" s="290" t="e">
        <f>'Alternative 1-Tilt Up'!$AR54/1000000</f>
        <v>#VALUE!</v>
      </c>
      <c r="G54" s="290" t="e">
        <f>'Alternative 1-Tilt Up'!$AX54/1000000</f>
        <v>#VALUE!</v>
      </c>
      <c r="H54" s="290" t="e">
        <f>'Alternative 1-Tilt Up'!$BD54/1000000</f>
        <v>#VALUE!</v>
      </c>
      <c r="I54" s="290" t="e">
        <f>'Alternative 1-Tilt Up'!$BJ54/1000000</f>
        <v>#VALUE!</v>
      </c>
      <c r="J54" s="290" t="e">
        <f>'Alternative 1-Tilt Up'!$BP54/1000000</f>
        <v>#VALUE!</v>
      </c>
      <c r="K54" s="290" t="e">
        <f>'Alternative 1-Tilt Up'!$BV54/1000000</f>
        <v>#VALUE!</v>
      </c>
      <c r="L54" s="290">
        <f>'[3]Alternative 1'!$B$20/1.67</f>
        <v>149.70059880239521</v>
      </c>
      <c r="N54" s="290" t="str">
        <f>'Alternative 2'!F55</f>
        <v>x</v>
      </c>
      <c r="O54" s="290" t="e">
        <f>'Alternative 2-Tilt Up'!$T54/1000000</f>
        <v>#VALUE!</v>
      </c>
      <c r="P54" s="290" t="e">
        <f>'Alternative 2-Tilt Up'!$Z54/1000000</f>
        <v>#VALUE!</v>
      </c>
      <c r="Q54" s="290" t="e">
        <f>'Alternative 2-Tilt Up'!$AF54/1000000</f>
        <v>#VALUE!</v>
      </c>
      <c r="R54" s="290" t="e">
        <f>'Alternative 2-Tilt Up'!$AL54/1000000</f>
        <v>#VALUE!</v>
      </c>
      <c r="S54" s="290" t="e">
        <f>'Alternative 2-Tilt Up'!$AR54/1000000</f>
        <v>#VALUE!</v>
      </c>
      <c r="T54" s="290" t="e">
        <f>'Alternative 2-Tilt Up'!$AX54/1000000</f>
        <v>#VALUE!</v>
      </c>
      <c r="U54" s="290" t="e">
        <f>'Alternative 2-Tilt Up'!$BD54/1000000</f>
        <v>#VALUE!</v>
      </c>
      <c r="V54" s="290" t="e">
        <f>'Alternative 2-Tilt Up'!$BJ54/1000000</f>
        <v>#VALUE!</v>
      </c>
      <c r="W54" s="290" t="e">
        <f>'Alternative 2-Tilt Up'!$BP54/1000000</f>
        <v>#VALUE!</v>
      </c>
      <c r="X54" s="290" t="e">
        <f>'Alternative 2-Tilt Up'!$BV54/1000000</f>
        <v>#VALUE!</v>
      </c>
      <c r="Y54" s="290">
        <f>'[3]Alternative 2'!$B$20/1.67</f>
        <v>149.70059880239521</v>
      </c>
      <c r="AA54" s="290" t="str">
        <f>'Alternative 3'!F55</f>
        <v>x</v>
      </c>
      <c r="AB54" s="290" t="e">
        <f>'Alternative 3-Tilt Up'!$T54/1000000</f>
        <v>#VALUE!</v>
      </c>
      <c r="AC54" s="290" t="e">
        <f>'Alternative 3-Tilt Up'!$Z54/1000000</f>
        <v>#VALUE!</v>
      </c>
      <c r="AD54" s="290" t="e">
        <f>'Alternative 3-Tilt Up'!$AF54/1000000</f>
        <v>#VALUE!</v>
      </c>
      <c r="AE54" s="290" t="e">
        <f>'Alternative 3-Tilt Up'!$AL54/1000000</f>
        <v>#VALUE!</v>
      </c>
      <c r="AF54" s="290" t="e">
        <f>'Alternative 3-Tilt Up'!$AR54/1000000</f>
        <v>#VALUE!</v>
      </c>
      <c r="AG54" s="290" t="e">
        <f>'Alternative 3-Tilt Up'!$AX54/1000000</f>
        <v>#VALUE!</v>
      </c>
      <c r="AH54" s="290" t="e">
        <f>'Alternative 3-Tilt Up'!$BD54/1000000</f>
        <v>#VALUE!</v>
      </c>
      <c r="AI54" s="290" t="e">
        <f>'Alternative 3-Tilt Up'!$BJ54/1000000</f>
        <v>#VALUE!</v>
      </c>
      <c r="AJ54" s="290" t="e">
        <f>'Alternative 3-Tilt Up'!$BP54/1000000</f>
        <v>#VALUE!</v>
      </c>
      <c r="AK54" s="290" t="e">
        <f>'Alternative 3-Tilt Up'!$BV54/1000000</f>
        <v>#VALUE!</v>
      </c>
      <c r="AL54" s="290">
        <f>'[3]Alternative 3'!$B$20/1.67</f>
        <v>149.70059880239521</v>
      </c>
    </row>
    <row r="55" spans="1:38" x14ac:dyDescent="0.25">
      <c r="A55" s="290" t="str">
        <f>'Alternative 1'!F56</f>
        <v>x</v>
      </c>
      <c r="B55" s="290" t="e">
        <f>'Alternative 1-Tilt Up'!T55/1000000</f>
        <v>#VALUE!</v>
      </c>
      <c r="C55" s="290" t="e">
        <f>'Alternative 1-Tilt Up'!$Z55/1000000</f>
        <v>#VALUE!</v>
      </c>
      <c r="D55" s="290" t="e">
        <f>'Alternative 1-Tilt Up'!$AF55/1000000</f>
        <v>#VALUE!</v>
      </c>
      <c r="E55" s="290" t="e">
        <f>'Alternative 1-Tilt Up'!$AL55/1000000</f>
        <v>#VALUE!</v>
      </c>
      <c r="F55" s="290" t="e">
        <f>'Alternative 1-Tilt Up'!$AR55/1000000</f>
        <v>#VALUE!</v>
      </c>
      <c r="G55" s="290" t="e">
        <f>'Alternative 1-Tilt Up'!$AX55/1000000</f>
        <v>#VALUE!</v>
      </c>
      <c r="H55" s="290" t="e">
        <f>'Alternative 1-Tilt Up'!$BD55/1000000</f>
        <v>#VALUE!</v>
      </c>
      <c r="I55" s="290" t="e">
        <f>'Alternative 1-Tilt Up'!$BJ55/1000000</f>
        <v>#VALUE!</v>
      </c>
      <c r="J55" s="290" t="e">
        <f>'Alternative 1-Tilt Up'!$BP55/1000000</f>
        <v>#VALUE!</v>
      </c>
      <c r="K55" s="290" t="e">
        <f>'Alternative 1-Tilt Up'!$BV55/1000000</f>
        <v>#VALUE!</v>
      </c>
      <c r="L55" s="290">
        <f>'[3]Alternative 1'!$B$20/1.67</f>
        <v>149.70059880239521</v>
      </c>
      <c r="N55" s="290" t="str">
        <f>'Alternative 2'!F56</f>
        <v>x</v>
      </c>
      <c r="O55" s="290" t="e">
        <f>'Alternative 2-Tilt Up'!$T55/1000000</f>
        <v>#VALUE!</v>
      </c>
      <c r="P55" s="290" t="e">
        <f>'Alternative 2-Tilt Up'!$Z55/1000000</f>
        <v>#VALUE!</v>
      </c>
      <c r="Q55" s="290" t="e">
        <f>'Alternative 2-Tilt Up'!$AF55/1000000</f>
        <v>#VALUE!</v>
      </c>
      <c r="R55" s="290" t="e">
        <f>'Alternative 2-Tilt Up'!$AL55/1000000</f>
        <v>#VALUE!</v>
      </c>
      <c r="S55" s="290" t="e">
        <f>'Alternative 2-Tilt Up'!$AR55/1000000</f>
        <v>#VALUE!</v>
      </c>
      <c r="T55" s="290" t="e">
        <f>'Alternative 2-Tilt Up'!$AX55/1000000</f>
        <v>#VALUE!</v>
      </c>
      <c r="U55" s="290" t="e">
        <f>'Alternative 2-Tilt Up'!$BD55/1000000</f>
        <v>#VALUE!</v>
      </c>
      <c r="V55" s="290" t="e">
        <f>'Alternative 2-Tilt Up'!$BJ55/1000000</f>
        <v>#VALUE!</v>
      </c>
      <c r="W55" s="290" t="e">
        <f>'Alternative 2-Tilt Up'!$BP55/1000000</f>
        <v>#VALUE!</v>
      </c>
      <c r="X55" s="290" t="e">
        <f>'Alternative 2-Tilt Up'!$BV55/1000000</f>
        <v>#VALUE!</v>
      </c>
      <c r="Y55" s="290">
        <f>'[3]Alternative 2'!$B$20/1.67</f>
        <v>149.70059880239521</v>
      </c>
      <c r="AA55" s="290" t="str">
        <f>'Alternative 3'!F56</f>
        <v>x</v>
      </c>
      <c r="AB55" s="290" t="e">
        <f>'Alternative 3-Tilt Up'!$T55/1000000</f>
        <v>#VALUE!</v>
      </c>
      <c r="AC55" s="290" t="e">
        <f>'Alternative 3-Tilt Up'!$Z55/1000000</f>
        <v>#VALUE!</v>
      </c>
      <c r="AD55" s="290" t="e">
        <f>'Alternative 3-Tilt Up'!$AF55/1000000</f>
        <v>#VALUE!</v>
      </c>
      <c r="AE55" s="290" t="e">
        <f>'Alternative 3-Tilt Up'!$AL55/1000000</f>
        <v>#VALUE!</v>
      </c>
      <c r="AF55" s="290" t="e">
        <f>'Alternative 3-Tilt Up'!$AR55/1000000</f>
        <v>#VALUE!</v>
      </c>
      <c r="AG55" s="290" t="e">
        <f>'Alternative 3-Tilt Up'!$AX55/1000000</f>
        <v>#VALUE!</v>
      </c>
      <c r="AH55" s="290" t="e">
        <f>'Alternative 3-Tilt Up'!$BD55/1000000</f>
        <v>#VALUE!</v>
      </c>
      <c r="AI55" s="290" t="e">
        <f>'Alternative 3-Tilt Up'!$BJ55/1000000</f>
        <v>#VALUE!</v>
      </c>
      <c r="AJ55" s="290" t="e">
        <f>'Alternative 3-Tilt Up'!$BP55/1000000</f>
        <v>#VALUE!</v>
      </c>
      <c r="AK55" s="290" t="e">
        <f>'Alternative 3-Tilt Up'!$BV55/1000000</f>
        <v>#VALUE!</v>
      </c>
      <c r="AL55" s="290">
        <f>'[3]Alternative 3'!$B$20/1.67</f>
        <v>149.70059880239521</v>
      </c>
    </row>
    <row r="56" spans="1:38" x14ac:dyDescent="0.25">
      <c r="A56" s="290" t="str">
        <f>'Alternative 1'!F57</f>
        <v>x</v>
      </c>
      <c r="B56" s="290" t="e">
        <f>'Alternative 1-Tilt Up'!T56/1000000</f>
        <v>#VALUE!</v>
      </c>
      <c r="C56" s="290" t="e">
        <f>'Alternative 1-Tilt Up'!$Z56/1000000</f>
        <v>#VALUE!</v>
      </c>
      <c r="D56" s="290" t="e">
        <f>'Alternative 1-Tilt Up'!$AF56/1000000</f>
        <v>#VALUE!</v>
      </c>
      <c r="E56" s="290" t="e">
        <f>'Alternative 1-Tilt Up'!$AL56/1000000</f>
        <v>#VALUE!</v>
      </c>
      <c r="F56" s="290" t="e">
        <f>'Alternative 1-Tilt Up'!$AR56/1000000</f>
        <v>#VALUE!</v>
      </c>
      <c r="G56" s="290" t="e">
        <f>'Alternative 1-Tilt Up'!$AX56/1000000</f>
        <v>#VALUE!</v>
      </c>
      <c r="H56" s="290" t="e">
        <f>'Alternative 1-Tilt Up'!$BD56/1000000</f>
        <v>#VALUE!</v>
      </c>
      <c r="I56" s="290" t="e">
        <f>'Alternative 1-Tilt Up'!$BJ56/1000000</f>
        <v>#VALUE!</v>
      </c>
      <c r="J56" s="290" t="e">
        <f>'Alternative 1-Tilt Up'!$BP56/1000000</f>
        <v>#VALUE!</v>
      </c>
      <c r="K56" s="290" t="e">
        <f>'Alternative 1-Tilt Up'!$BV56/1000000</f>
        <v>#VALUE!</v>
      </c>
      <c r="L56" s="290">
        <f>'[3]Alternative 1'!$B$20/1.67</f>
        <v>149.70059880239521</v>
      </c>
      <c r="N56" s="290" t="str">
        <f>'Alternative 2'!F57</f>
        <v>x</v>
      </c>
      <c r="O56" s="290" t="e">
        <f>'Alternative 2-Tilt Up'!$T56/1000000</f>
        <v>#VALUE!</v>
      </c>
      <c r="P56" s="290" t="e">
        <f>'Alternative 2-Tilt Up'!$Z56/1000000</f>
        <v>#VALUE!</v>
      </c>
      <c r="Q56" s="290" t="e">
        <f>'Alternative 2-Tilt Up'!$AF56/1000000</f>
        <v>#VALUE!</v>
      </c>
      <c r="R56" s="290" t="e">
        <f>'Alternative 2-Tilt Up'!$AL56/1000000</f>
        <v>#VALUE!</v>
      </c>
      <c r="S56" s="290" t="e">
        <f>'Alternative 2-Tilt Up'!$AR56/1000000</f>
        <v>#VALUE!</v>
      </c>
      <c r="T56" s="290" t="e">
        <f>'Alternative 2-Tilt Up'!$AX56/1000000</f>
        <v>#VALUE!</v>
      </c>
      <c r="U56" s="290" t="e">
        <f>'Alternative 2-Tilt Up'!$BD56/1000000</f>
        <v>#VALUE!</v>
      </c>
      <c r="V56" s="290" t="e">
        <f>'Alternative 2-Tilt Up'!$BJ56/1000000</f>
        <v>#VALUE!</v>
      </c>
      <c r="W56" s="290" t="e">
        <f>'Alternative 2-Tilt Up'!$BP56/1000000</f>
        <v>#VALUE!</v>
      </c>
      <c r="X56" s="290" t="e">
        <f>'Alternative 2-Tilt Up'!$BV56/1000000</f>
        <v>#VALUE!</v>
      </c>
      <c r="Y56" s="290">
        <f>'[3]Alternative 2'!$B$20/1.67</f>
        <v>149.70059880239521</v>
      </c>
      <c r="AA56" s="290" t="str">
        <f>'Alternative 3'!F57</f>
        <v>x</v>
      </c>
      <c r="AB56" s="290" t="e">
        <f>'Alternative 3-Tilt Up'!$T56/1000000</f>
        <v>#VALUE!</v>
      </c>
      <c r="AC56" s="290" t="e">
        <f>'Alternative 3-Tilt Up'!$Z56/1000000</f>
        <v>#VALUE!</v>
      </c>
      <c r="AD56" s="290" t="e">
        <f>'Alternative 3-Tilt Up'!$AF56/1000000</f>
        <v>#VALUE!</v>
      </c>
      <c r="AE56" s="290" t="e">
        <f>'Alternative 3-Tilt Up'!$AL56/1000000</f>
        <v>#VALUE!</v>
      </c>
      <c r="AF56" s="290" t="e">
        <f>'Alternative 3-Tilt Up'!$AR56/1000000</f>
        <v>#VALUE!</v>
      </c>
      <c r="AG56" s="290" t="e">
        <f>'Alternative 3-Tilt Up'!$AX56/1000000</f>
        <v>#VALUE!</v>
      </c>
      <c r="AH56" s="290" t="e">
        <f>'Alternative 3-Tilt Up'!$BD56/1000000</f>
        <v>#VALUE!</v>
      </c>
      <c r="AI56" s="290" t="e">
        <f>'Alternative 3-Tilt Up'!$BJ56/1000000</f>
        <v>#VALUE!</v>
      </c>
      <c r="AJ56" s="290" t="e">
        <f>'Alternative 3-Tilt Up'!$BP56/1000000</f>
        <v>#VALUE!</v>
      </c>
      <c r="AK56" s="290" t="e">
        <f>'Alternative 3-Tilt Up'!$BV56/1000000</f>
        <v>#VALUE!</v>
      </c>
      <c r="AL56" s="290">
        <f>'[3]Alternative 3'!$B$20/1.67</f>
        <v>149.70059880239521</v>
      </c>
    </row>
    <row r="57" spans="1:38" x14ac:dyDescent="0.25">
      <c r="A57" s="290" t="str">
        <f>'Alternative 1'!F58</f>
        <v>x</v>
      </c>
      <c r="B57" s="290" t="e">
        <f>'Alternative 1-Tilt Up'!T57/1000000</f>
        <v>#VALUE!</v>
      </c>
      <c r="C57" s="290" t="e">
        <f>'Alternative 1-Tilt Up'!$Z57/1000000</f>
        <v>#VALUE!</v>
      </c>
      <c r="D57" s="290" t="e">
        <f>'Alternative 1-Tilt Up'!$AF57/1000000</f>
        <v>#VALUE!</v>
      </c>
      <c r="E57" s="290" t="e">
        <f>'Alternative 1-Tilt Up'!$AL57/1000000</f>
        <v>#VALUE!</v>
      </c>
      <c r="F57" s="290" t="e">
        <f>'Alternative 1-Tilt Up'!$AR57/1000000</f>
        <v>#VALUE!</v>
      </c>
      <c r="G57" s="290" t="e">
        <f>'Alternative 1-Tilt Up'!$AX57/1000000</f>
        <v>#VALUE!</v>
      </c>
      <c r="H57" s="290" t="e">
        <f>'Alternative 1-Tilt Up'!$BD57/1000000</f>
        <v>#VALUE!</v>
      </c>
      <c r="I57" s="290" t="e">
        <f>'Alternative 1-Tilt Up'!$BJ57/1000000</f>
        <v>#VALUE!</v>
      </c>
      <c r="J57" s="290" t="e">
        <f>'Alternative 1-Tilt Up'!$BP57/1000000</f>
        <v>#VALUE!</v>
      </c>
      <c r="K57" s="290" t="e">
        <f>'Alternative 1-Tilt Up'!$BV57/1000000</f>
        <v>#VALUE!</v>
      </c>
      <c r="L57" s="290">
        <f>'[3]Alternative 1'!$B$20/1.67</f>
        <v>149.70059880239521</v>
      </c>
      <c r="N57" s="290" t="str">
        <f>'Alternative 2'!F58</f>
        <v>x</v>
      </c>
      <c r="O57" s="290" t="e">
        <f>'Alternative 2-Tilt Up'!$T57/1000000</f>
        <v>#VALUE!</v>
      </c>
      <c r="P57" s="290" t="e">
        <f>'Alternative 2-Tilt Up'!$Z57/1000000</f>
        <v>#VALUE!</v>
      </c>
      <c r="Q57" s="290" t="e">
        <f>'Alternative 2-Tilt Up'!$AF57/1000000</f>
        <v>#VALUE!</v>
      </c>
      <c r="R57" s="290" t="e">
        <f>'Alternative 2-Tilt Up'!$AL57/1000000</f>
        <v>#VALUE!</v>
      </c>
      <c r="S57" s="290" t="e">
        <f>'Alternative 2-Tilt Up'!$AR57/1000000</f>
        <v>#VALUE!</v>
      </c>
      <c r="T57" s="290" t="e">
        <f>'Alternative 2-Tilt Up'!$AX57/1000000</f>
        <v>#VALUE!</v>
      </c>
      <c r="U57" s="290" t="e">
        <f>'Alternative 2-Tilt Up'!$BD57/1000000</f>
        <v>#VALUE!</v>
      </c>
      <c r="V57" s="290" t="e">
        <f>'Alternative 2-Tilt Up'!$BJ57/1000000</f>
        <v>#VALUE!</v>
      </c>
      <c r="W57" s="290" t="e">
        <f>'Alternative 2-Tilt Up'!$BP57/1000000</f>
        <v>#VALUE!</v>
      </c>
      <c r="X57" s="290" t="e">
        <f>'Alternative 2-Tilt Up'!$BV57/1000000</f>
        <v>#VALUE!</v>
      </c>
      <c r="Y57" s="290">
        <f>'[3]Alternative 2'!$B$20/1.67</f>
        <v>149.70059880239521</v>
      </c>
      <c r="AA57" s="290" t="str">
        <f>'Alternative 3'!F58</f>
        <v>x</v>
      </c>
      <c r="AB57" s="290" t="e">
        <f>'Alternative 3-Tilt Up'!$T57/1000000</f>
        <v>#VALUE!</v>
      </c>
      <c r="AC57" s="290" t="e">
        <f>'Alternative 3-Tilt Up'!$Z57/1000000</f>
        <v>#VALUE!</v>
      </c>
      <c r="AD57" s="290" t="e">
        <f>'Alternative 3-Tilt Up'!$AF57/1000000</f>
        <v>#VALUE!</v>
      </c>
      <c r="AE57" s="290" t="e">
        <f>'Alternative 3-Tilt Up'!$AL57/1000000</f>
        <v>#VALUE!</v>
      </c>
      <c r="AF57" s="290" t="e">
        <f>'Alternative 3-Tilt Up'!$AR57/1000000</f>
        <v>#VALUE!</v>
      </c>
      <c r="AG57" s="290" t="e">
        <f>'Alternative 3-Tilt Up'!$AX57/1000000</f>
        <v>#VALUE!</v>
      </c>
      <c r="AH57" s="290" t="e">
        <f>'Alternative 3-Tilt Up'!$BD57/1000000</f>
        <v>#VALUE!</v>
      </c>
      <c r="AI57" s="290" t="e">
        <f>'Alternative 3-Tilt Up'!$BJ57/1000000</f>
        <v>#VALUE!</v>
      </c>
      <c r="AJ57" s="290" t="e">
        <f>'Alternative 3-Tilt Up'!$BP57/1000000</f>
        <v>#VALUE!</v>
      </c>
      <c r="AK57" s="290" t="e">
        <f>'Alternative 3-Tilt Up'!$BV57/1000000</f>
        <v>#VALUE!</v>
      </c>
      <c r="AL57" s="290">
        <f>'[3]Alternative 3'!$B$20/1.67</f>
        <v>149.70059880239521</v>
      </c>
    </row>
    <row r="58" spans="1:38" x14ac:dyDescent="0.25">
      <c r="A58" s="290" t="str">
        <f>'Alternative 1'!F59</f>
        <v>x</v>
      </c>
      <c r="B58" s="290" t="e">
        <f>'Alternative 1-Tilt Up'!T58/1000000</f>
        <v>#VALUE!</v>
      </c>
      <c r="C58" s="290" t="e">
        <f>'Alternative 1-Tilt Up'!$Z58/1000000</f>
        <v>#VALUE!</v>
      </c>
      <c r="D58" s="290" t="e">
        <f>'Alternative 1-Tilt Up'!$AF58/1000000</f>
        <v>#VALUE!</v>
      </c>
      <c r="E58" s="290" t="e">
        <f>'Alternative 1-Tilt Up'!$AL58/1000000</f>
        <v>#VALUE!</v>
      </c>
      <c r="F58" s="290" t="e">
        <f>'Alternative 1-Tilt Up'!$AR58/1000000</f>
        <v>#VALUE!</v>
      </c>
      <c r="G58" s="290" t="e">
        <f>'Alternative 1-Tilt Up'!$AX58/1000000</f>
        <v>#VALUE!</v>
      </c>
      <c r="H58" s="290" t="e">
        <f>'Alternative 1-Tilt Up'!$BD58/1000000</f>
        <v>#VALUE!</v>
      </c>
      <c r="I58" s="290" t="e">
        <f>'Alternative 1-Tilt Up'!$BJ58/1000000</f>
        <v>#VALUE!</v>
      </c>
      <c r="J58" s="290" t="e">
        <f>'Alternative 1-Tilt Up'!$BP58/1000000</f>
        <v>#VALUE!</v>
      </c>
      <c r="K58" s="290" t="e">
        <f>'Alternative 1-Tilt Up'!$BV58/1000000</f>
        <v>#VALUE!</v>
      </c>
      <c r="L58" s="290">
        <f>'[3]Alternative 1'!$B$20/1.67</f>
        <v>149.70059880239521</v>
      </c>
      <c r="N58" s="290" t="str">
        <f>'Alternative 2'!F59</f>
        <v>x</v>
      </c>
      <c r="O58" s="290" t="e">
        <f>'Alternative 2-Tilt Up'!$T58/1000000</f>
        <v>#VALUE!</v>
      </c>
      <c r="P58" s="290" t="e">
        <f>'Alternative 2-Tilt Up'!$Z58/1000000</f>
        <v>#VALUE!</v>
      </c>
      <c r="Q58" s="290" t="e">
        <f>'Alternative 2-Tilt Up'!$AF58/1000000</f>
        <v>#VALUE!</v>
      </c>
      <c r="R58" s="290" t="e">
        <f>'Alternative 2-Tilt Up'!$AL58/1000000</f>
        <v>#VALUE!</v>
      </c>
      <c r="S58" s="290" t="e">
        <f>'Alternative 2-Tilt Up'!$AR58/1000000</f>
        <v>#VALUE!</v>
      </c>
      <c r="T58" s="290" t="e">
        <f>'Alternative 2-Tilt Up'!$AX58/1000000</f>
        <v>#VALUE!</v>
      </c>
      <c r="U58" s="290" t="e">
        <f>'Alternative 2-Tilt Up'!$BD58/1000000</f>
        <v>#VALUE!</v>
      </c>
      <c r="V58" s="290" t="e">
        <f>'Alternative 2-Tilt Up'!$BJ58/1000000</f>
        <v>#VALUE!</v>
      </c>
      <c r="W58" s="290" t="e">
        <f>'Alternative 2-Tilt Up'!$BP58/1000000</f>
        <v>#VALUE!</v>
      </c>
      <c r="X58" s="290" t="e">
        <f>'Alternative 2-Tilt Up'!$BV58/1000000</f>
        <v>#VALUE!</v>
      </c>
      <c r="Y58" s="290">
        <f>'[3]Alternative 2'!$B$20/1.67</f>
        <v>149.70059880239521</v>
      </c>
      <c r="AA58" s="290" t="str">
        <f>'Alternative 3'!F59</f>
        <v>x</v>
      </c>
      <c r="AB58" s="290" t="e">
        <f>'Alternative 3-Tilt Up'!$T58/1000000</f>
        <v>#VALUE!</v>
      </c>
      <c r="AC58" s="290" t="e">
        <f>'Alternative 3-Tilt Up'!$Z58/1000000</f>
        <v>#VALUE!</v>
      </c>
      <c r="AD58" s="290" t="e">
        <f>'Alternative 3-Tilt Up'!$AF58/1000000</f>
        <v>#VALUE!</v>
      </c>
      <c r="AE58" s="290" t="e">
        <f>'Alternative 3-Tilt Up'!$AL58/1000000</f>
        <v>#VALUE!</v>
      </c>
      <c r="AF58" s="290" t="e">
        <f>'Alternative 3-Tilt Up'!$AR58/1000000</f>
        <v>#VALUE!</v>
      </c>
      <c r="AG58" s="290" t="e">
        <f>'Alternative 3-Tilt Up'!$AX58/1000000</f>
        <v>#VALUE!</v>
      </c>
      <c r="AH58" s="290" t="e">
        <f>'Alternative 3-Tilt Up'!$BD58/1000000</f>
        <v>#VALUE!</v>
      </c>
      <c r="AI58" s="290" t="e">
        <f>'Alternative 3-Tilt Up'!$BJ58/1000000</f>
        <v>#VALUE!</v>
      </c>
      <c r="AJ58" s="290" t="e">
        <f>'Alternative 3-Tilt Up'!$BP58/1000000</f>
        <v>#VALUE!</v>
      </c>
      <c r="AK58" s="290" t="e">
        <f>'Alternative 3-Tilt Up'!$BV58/1000000</f>
        <v>#VALUE!</v>
      </c>
      <c r="AL58" s="290">
        <f>'[3]Alternative 3'!$B$20/1.67</f>
        <v>149.70059880239521</v>
      </c>
    </row>
    <row r="59" spans="1:38" x14ac:dyDescent="0.25">
      <c r="A59" s="290" t="str">
        <f>'Alternative 1'!F60</f>
        <v>x</v>
      </c>
      <c r="B59" s="290" t="e">
        <f>'Alternative 1-Tilt Up'!T59/1000000</f>
        <v>#VALUE!</v>
      </c>
      <c r="C59" s="290" t="e">
        <f>'Alternative 1-Tilt Up'!$Z59/1000000</f>
        <v>#VALUE!</v>
      </c>
      <c r="D59" s="290" t="e">
        <f>'Alternative 1-Tilt Up'!$AF59/1000000</f>
        <v>#VALUE!</v>
      </c>
      <c r="E59" s="290" t="e">
        <f>'Alternative 1-Tilt Up'!$AL59/1000000</f>
        <v>#VALUE!</v>
      </c>
      <c r="F59" s="290" t="e">
        <f>'Alternative 1-Tilt Up'!$AR59/1000000</f>
        <v>#VALUE!</v>
      </c>
      <c r="G59" s="290" t="e">
        <f>'Alternative 1-Tilt Up'!$AX59/1000000</f>
        <v>#VALUE!</v>
      </c>
      <c r="H59" s="290" t="e">
        <f>'Alternative 1-Tilt Up'!$BD59/1000000</f>
        <v>#VALUE!</v>
      </c>
      <c r="I59" s="290" t="e">
        <f>'Alternative 1-Tilt Up'!$BJ59/1000000</f>
        <v>#VALUE!</v>
      </c>
      <c r="J59" s="290" t="e">
        <f>'Alternative 1-Tilt Up'!$BP59/1000000</f>
        <v>#VALUE!</v>
      </c>
      <c r="K59" s="290" t="e">
        <f>'Alternative 1-Tilt Up'!$BV59/1000000</f>
        <v>#VALUE!</v>
      </c>
      <c r="L59" s="290">
        <f>'[3]Alternative 1'!$B$20/1.67</f>
        <v>149.70059880239521</v>
      </c>
      <c r="N59" s="290" t="str">
        <f>'Alternative 2'!F60</f>
        <v>x</v>
      </c>
      <c r="O59" s="290" t="e">
        <f>'Alternative 2-Tilt Up'!$T59/1000000</f>
        <v>#VALUE!</v>
      </c>
      <c r="P59" s="290" t="e">
        <f>'Alternative 2-Tilt Up'!$Z59/1000000</f>
        <v>#VALUE!</v>
      </c>
      <c r="Q59" s="290" t="e">
        <f>'Alternative 2-Tilt Up'!$AF59/1000000</f>
        <v>#VALUE!</v>
      </c>
      <c r="R59" s="290" t="e">
        <f>'Alternative 2-Tilt Up'!$AL59/1000000</f>
        <v>#VALUE!</v>
      </c>
      <c r="S59" s="290" t="e">
        <f>'Alternative 2-Tilt Up'!$AR59/1000000</f>
        <v>#VALUE!</v>
      </c>
      <c r="T59" s="290" t="e">
        <f>'Alternative 2-Tilt Up'!$AX59/1000000</f>
        <v>#VALUE!</v>
      </c>
      <c r="U59" s="290" t="e">
        <f>'Alternative 2-Tilt Up'!$BD59/1000000</f>
        <v>#VALUE!</v>
      </c>
      <c r="V59" s="290" t="e">
        <f>'Alternative 2-Tilt Up'!$BJ59/1000000</f>
        <v>#VALUE!</v>
      </c>
      <c r="W59" s="290" t="e">
        <f>'Alternative 2-Tilt Up'!$BP59/1000000</f>
        <v>#VALUE!</v>
      </c>
      <c r="X59" s="290" t="e">
        <f>'Alternative 2-Tilt Up'!$BV59/1000000</f>
        <v>#VALUE!</v>
      </c>
      <c r="Y59" s="290">
        <f>'[3]Alternative 2'!$B$20/1.67</f>
        <v>149.70059880239521</v>
      </c>
      <c r="AA59" s="290" t="str">
        <f>'Alternative 3'!F60</f>
        <v>x</v>
      </c>
      <c r="AB59" s="290" t="e">
        <f>'Alternative 3-Tilt Up'!$T59/1000000</f>
        <v>#VALUE!</v>
      </c>
      <c r="AC59" s="290" t="e">
        <f>'Alternative 3-Tilt Up'!$Z59/1000000</f>
        <v>#VALUE!</v>
      </c>
      <c r="AD59" s="290" t="e">
        <f>'Alternative 3-Tilt Up'!$AF59/1000000</f>
        <v>#VALUE!</v>
      </c>
      <c r="AE59" s="290" t="e">
        <f>'Alternative 3-Tilt Up'!$AL59/1000000</f>
        <v>#VALUE!</v>
      </c>
      <c r="AF59" s="290" t="e">
        <f>'Alternative 3-Tilt Up'!$AR59/1000000</f>
        <v>#VALUE!</v>
      </c>
      <c r="AG59" s="290" t="e">
        <f>'Alternative 3-Tilt Up'!$AX59/1000000</f>
        <v>#VALUE!</v>
      </c>
      <c r="AH59" s="290" t="e">
        <f>'Alternative 3-Tilt Up'!$BD59/1000000</f>
        <v>#VALUE!</v>
      </c>
      <c r="AI59" s="290" t="e">
        <f>'Alternative 3-Tilt Up'!$BJ59/1000000</f>
        <v>#VALUE!</v>
      </c>
      <c r="AJ59" s="290" t="e">
        <f>'Alternative 3-Tilt Up'!$BP59/1000000</f>
        <v>#VALUE!</v>
      </c>
      <c r="AK59" s="290" t="e">
        <f>'Alternative 3-Tilt Up'!$BV59/1000000</f>
        <v>#VALUE!</v>
      </c>
      <c r="AL59" s="290">
        <f>'[3]Alternative 3'!$B$20/1.67</f>
        <v>149.70059880239521</v>
      </c>
    </row>
    <row r="60" spans="1:38" x14ac:dyDescent="0.25">
      <c r="A60" s="290" t="str">
        <f>'Alternative 1'!F61</f>
        <v>x</v>
      </c>
      <c r="B60" s="290" t="e">
        <f>'Alternative 1-Tilt Up'!T60/1000000</f>
        <v>#VALUE!</v>
      </c>
      <c r="C60" s="290" t="e">
        <f>'Alternative 1-Tilt Up'!$Z60/1000000</f>
        <v>#VALUE!</v>
      </c>
      <c r="D60" s="290" t="e">
        <f>'Alternative 1-Tilt Up'!$AF60/1000000</f>
        <v>#VALUE!</v>
      </c>
      <c r="E60" s="290" t="e">
        <f>'Alternative 1-Tilt Up'!$AL60/1000000</f>
        <v>#VALUE!</v>
      </c>
      <c r="F60" s="290" t="e">
        <f>'Alternative 1-Tilt Up'!$AR60/1000000</f>
        <v>#VALUE!</v>
      </c>
      <c r="G60" s="290" t="e">
        <f>'Alternative 1-Tilt Up'!$AX60/1000000</f>
        <v>#VALUE!</v>
      </c>
      <c r="H60" s="290" t="e">
        <f>'Alternative 1-Tilt Up'!$BD60/1000000</f>
        <v>#VALUE!</v>
      </c>
      <c r="I60" s="290" t="e">
        <f>'Alternative 1-Tilt Up'!$BJ60/1000000</f>
        <v>#VALUE!</v>
      </c>
      <c r="J60" s="290" t="e">
        <f>'Alternative 1-Tilt Up'!$BP60/1000000</f>
        <v>#VALUE!</v>
      </c>
      <c r="K60" s="290" t="e">
        <f>'Alternative 1-Tilt Up'!$BV60/1000000</f>
        <v>#VALUE!</v>
      </c>
      <c r="L60" s="290">
        <f>'[3]Alternative 1'!$B$20/1.67</f>
        <v>149.70059880239521</v>
      </c>
      <c r="N60" s="290" t="str">
        <f>'Alternative 2'!F61</f>
        <v>x</v>
      </c>
      <c r="O60" s="290" t="e">
        <f>'Alternative 2-Tilt Up'!$T60/1000000</f>
        <v>#VALUE!</v>
      </c>
      <c r="P60" s="290" t="e">
        <f>'Alternative 2-Tilt Up'!$Z60/1000000</f>
        <v>#VALUE!</v>
      </c>
      <c r="Q60" s="290" t="e">
        <f>'Alternative 2-Tilt Up'!$AF60/1000000</f>
        <v>#VALUE!</v>
      </c>
      <c r="R60" s="290" t="e">
        <f>'Alternative 2-Tilt Up'!$AL60/1000000</f>
        <v>#VALUE!</v>
      </c>
      <c r="S60" s="290" t="e">
        <f>'Alternative 2-Tilt Up'!$AR60/1000000</f>
        <v>#VALUE!</v>
      </c>
      <c r="T60" s="290" t="e">
        <f>'Alternative 2-Tilt Up'!$AX60/1000000</f>
        <v>#VALUE!</v>
      </c>
      <c r="U60" s="290" t="e">
        <f>'Alternative 2-Tilt Up'!$BD60/1000000</f>
        <v>#VALUE!</v>
      </c>
      <c r="V60" s="290" t="e">
        <f>'Alternative 2-Tilt Up'!$BJ60/1000000</f>
        <v>#VALUE!</v>
      </c>
      <c r="W60" s="290" t="e">
        <f>'Alternative 2-Tilt Up'!$BP60/1000000</f>
        <v>#VALUE!</v>
      </c>
      <c r="X60" s="290" t="e">
        <f>'Alternative 2-Tilt Up'!$BV60/1000000</f>
        <v>#VALUE!</v>
      </c>
      <c r="Y60" s="290">
        <f>'[3]Alternative 2'!$B$20/1.67</f>
        <v>149.70059880239521</v>
      </c>
      <c r="AA60" s="290" t="str">
        <f>'Alternative 3'!F61</f>
        <v>x</v>
      </c>
      <c r="AB60" s="290" t="e">
        <f>'Alternative 3-Tilt Up'!$T60/1000000</f>
        <v>#VALUE!</v>
      </c>
      <c r="AC60" s="290" t="e">
        <f>'Alternative 3-Tilt Up'!$Z60/1000000</f>
        <v>#VALUE!</v>
      </c>
      <c r="AD60" s="290" t="e">
        <f>'Alternative 3-Tilt Up'!$AF60/1000000</f>
        <v>#VALUE!</v>
      </c>
      <c r="AE60" s="290" t="e">
        <f>'Alternative 3-Tilt Up'!$AL60/1000000</f>
        <v>#VALUE!</v>
      </c>
      <c r="AF60" s="290" t="e">
        <f>'Alternative 3-Tilt Up'!$AR60/1000000</f>
        <v>#VALUE!</v>
      </c>
      <c r="AG60" s="290" t="e">
        <f>'Alternative 3-Tilt Up'!$AX60/1000000</f>
        <v>#VALUE!</v>
      </c>
      <c r="AH60" s="290" t="e">
        <f>'Alternative 3-Tilt Up'!$BD60/1000000</f>
        <v>#VALUE!</v>
      </c>
      <c r="AI60" s="290" t="e">
        <f>'Alternative 3-Tilt Up'!$BJ60/1000000</f>
        <v>#VALUE!</v>
      </c>
      <c r="AJ60" s="290" t="e">
        <f>'Alternative 3-Tilt Up'!$BP60/1000000</f>
        <v>#VALUE!</v>
      </c>
      <c r="AK60" s="290" t="e">
        <f>'Alternative 3-Tilt Up'!$BV60/1000000</f>
        <v>#VALUE!</v>
      </c>
      <c r="AL60" s="290">
        <f>'[3]Alternative 3'!$B$20/1.67</f>
        <v>149.70059880239521</v>
      </c>
    </row>
    <row r="61" spans="1:38" x14ac:dyDescent="0.25">
      <c r="A61" s="290" t="str">
        <f>'Alternative 1'!F62</f>
        <v>x</v>
      </c>
      <c r="B61" s="290" t="e">
        <f>'Alternative 1-Tilt Up'!T61/1000000</f>
        <v>#VALUE!</v>
      </c>
      <c r="C61" s="290" t="e">
        <f>'Alternative 1-Tilt Up'!$Z61/1000000</f>
        <v>#VALUE!</v>
      </c>
      <c r="D61" s="290" t="e">
        <f>'Alternative 1-Tilt Up'!$AF61/1000000</f>
        <v>#VALUE!</v>
      </c>
      <c r="E61" s="290" t="e">
        <f>'Alternative 1-Tilt Up'!$AL61/1000000</f>
        <v>#VALUE!</v>
      </c>
      <c r="F61" s="290" t="e">
        <f>'Alternative 1-Tilt Up'!$AR61/1000000</f>
        <v>#VALUE!</v>
      </c>
      <c r="G61" s="290" t="e">
        <f>'Alternative 1-Tilt Up'!$AX61/1000000</f>
        <v>#VALUE!</v>
      </c>
      <c r="H61" s="290" t="e">
        <f>'Alternative 1-Tilt Up'!$BD61/1000000</f>
        <v>#VALUE!</v>
      </c>
      <c r="I61" s="290" t="e">
        <f>'Alternative 1-Tilt Up'!$BJ61/1000000</f>
        <v>#VALUE!</v>
      </c>
      <c r="J61" s="290" t="e">
        <f>'Alternative 1-Tilt Up'!$BP61/1000000</f>
        <v>#VALUE!</v>
      </c>
      <c r="K61" s="290" t="e">
        <f>'Alternative 1-Tilt Up'!$BV61/1000000</f>
        <v>#VALUE!</v>
      </c>
      <c r="L61" s="290">
        <f>'[3]Alternative 1'!$B$20/1.67</f>
        <v>149.70059880239521</v>
      </c>
      <c r="N61" s="290" t="str">
        <f>'Alternative 2'!F62</f>
        <v>x</v>
      </c>
      <c r="O61" s="290" t="e">
        <f>'Alternative 2-Tilt Up'!$T61/1000000</f>
        <v>#VALUE!</v>
      </c>
      <c r="P61" s="290" t="e">
        <f>'Alternative 2-Tilt Up'!$Z61/1000000</f>
        <v>#VALUE!</v>
      </c>
      <c r="Q61" s="290" t="e">
        <f>'Alternative 2-Tilt Up'!$AF61/1000000</f>
        <v>#VALUE!</v>
      </c>
      <c r="R61" s="290" t="e">
        <f>'Alternative 2-Tilt Up'!$AL61/1000000</f>
        <v>#VALUE!</v>
      </c>
      <c r="S61" s="290" t="e">
        <f>'Alternative 2-Tilt Up'!$AR61/1000000</f>
        <v>#VALUE!</v>
      </c>
      <c r="T61" s="290" t="e">
        <f>'Alternative 2-Tilt Up'!$AX61/1000000</f>
        <v>#VALUE!</v>
      </c>
      <c r="U61" s="290" t="e">
        <f>'Alternative 2-Tilt Up'!$BD61/1000000</f>
        <v>#VALUE!</v>
      </c>
      <c r="V61" s="290" t="e">
        <f>'Alternative 2-Tilt Up'!$BJ61/1000000</f>
        <v>#VALUE!</v>
      </c>
      <c r="W61" s="290" t="e">
        <f>'Alternative 2-Tilt Up'!$BP61/1000000</f>
        <v>#VALUE!</v>
      </c>
      <c r="X61" s="290" t="e">
        <f>'Alternative 2-Tilt Up'!$BV61/1000000</f>
        <v>#VALUE!</v>
      </c>
      <c r="Y61" s="290">
        <f>'[3]Alternative 2'!$B$20/1.67</f>
        <v>149.70059880239521</v>
      </c>
      <c r="AA61" s="290" t="str">
        <f>'Alternative 3'!F62</f>
        <v>x</v>
      </c>
      <c r="AB61" s="290" t="e">
        <f>'Alternative 3-Tilt Up'!$T61/1000000</f>
        <v>#VALUE!</v>
      </c>
      <c r="AC61" s="290" t="e">
        <f>'Alternative 3-Tilt Up'!$Z61/1000000</f>
        <v>#VALUE!</v>
      </c>
      <c r="AD61" s="290" t="e">
        <f>'Alternative 3-Tilt Up'!$AF61/1000000</f>
        <v>#VALUE!</v>
      </c>
      <c r="AE61" s="290" t="e">
        <f>'Alternative 3-Tilt Up'!$AL61/1000000</f>
        <v>#VALUE!</v>
      </c>
      <c r="AF61" s="290" t="e">
        <f>'Alternative 3-Tilt Up'!$AR61/1000000</f>
        <v>#VALUE!</v>
      </c>
      <c r="AG61" s="290" t="e">
        <f>'Alternative 3-Tilt Up'!$AX61/1000000</f>
        <v>#VALUE!</v>
      </c>
      <c r="AH61" s="290" t="e">
        <f>'Alternative 3-Tilt Up'!$BD61/1000000</f>
        <v>#VALUE!</v>
      </c>
      <c r="AI61" s="290" t="e">
        <f>'Alternative 3-Tilt Up'!$BJ61/1000000</f>
        <v>#VALUE!</v>
      </c>
      <c r="AJ61" s="290" t="e">
        <f>'Alternative 3-Tilt Up'!$BP61/1000000</f>
        <v>#VALUE!</v>
      </c>
      <c r="AK61" s="290" t="e">
        <f>'Alternative 3-Tilt Up'!$BV61/1000000</f>
        <v>#VALUE!</v>
      </c>
      <c r="AL61" s="290">
        <f>'[3]Alternative 3'!$B$20/1.67</f>
        <v>149.70059880239521</v>
      </c>
    </row>
    <row r="62" spans="1:38" x14ac:dyDescent="0.25">
      <c r="A62" s="290" t="str">
        <f>'Alternative 1'!F63</f>
        <v>x</v>
      </c>
      <c r="B62" s="290" t="e">
        <f>'Alternative 1-Tilt Up'!T62/1000000</f>
        <v>#VALUE!</v>
      </c>
      <c r="C62" s="290" t="e">
        <f>'Alternative 1-Tilt Up'!$Z62/1000000</f>
        <v>#VALUE!</v>
      </c>
      <c r="D62" s="290" t="e">
        <f>'Alternative 1-Tilt Up'!$AF62/1000000</f>
        <v>#VALUE!</v>
      </c>
      <c r="E62" s="290" t="e">
        <f>'Alternative 1-Tilt Up'!$AL62/1000000</f>
        <v>#VALUE!</v>
      </c>
      <c r="F62" s="290" t="e">
        <f>'Alternative 1-Tilt Up'!$AR62/1000000</f>
        <v>#VALUE!</v>
      </c>
      <c r="G62" s="290" t="e">
        <f>'Alternative 1-Tilt Up'!$AX62/1000000</f>
        <v>#VALUE!</v>
      </c>
      <c r="H62" s="290" t="e">
        <f>'Alternative 1-Tilt Up'!$BD62/1000000</f>
        <v>#VALUE!</v>
      </c>
      <c r="I62" s="290" t="e">
        <f>'Alternative 1-Tilt Up'!$BJ62/1000000</f>
        <v>#VALUE!</v>
      </c>
      <c r="J62" s="290" t="e">
        <f>'Alternative 1-Tilt Up'!$BP62/1000000</f>
        <v>#VALUE!</v>
      </c>
      <c r="K62" s="290" t="e">
        <f>'Alternative 1-Tilt Up'!$BV62/1000000</f>
        <v>#VALUE!</v>
      </c>
      <c r="L62" s="290">
        <f>'[3]Alternative 1'!$B$20/1.67</f>
        <v>149.70059880239521</v>
      </c>
      <c r="N62" s="290" t="str">
        <f>'Alternative 2'!F63</f>
        <v>x</v>
      </c>
      <c r="O62" s="290" t="e">
        <f>'Alternative 2-Tilt Up'!$T62/1000000</f>
        <v>#VALUE!</v>
      </c>
      <c r="P62" s="290" t="e">
        <f>'Alternative 2-Tilt Up'!$Z62/1000000</f>
        <v>#VALUE!</v>
      </c>
      <c r="Q62" s="290" t="e">
        <f>'Alternative 2-Tilt Up'!$AF62/1000000</f>
        <v>#VALUE!</v>
      </c>
      <c r="R62" s="290" t="e">
        <f>'Alternative 2-Tilt Up'!$AL62/1000000</f>
        <v>#VALUE!</v>
      </c>
      <c r="S62" s="290" t="e">
        <f>'Alternative 2-Tilt Up'!$AR62/1000000</f>
        <v>#VALUE!</v>
      </c>
      <c r="T62" s="290" t="e">
        <f>'Alternative 2-Tilt Up'!$AX62/1000000</f>
        <v>#VALUE!</v>
      </c>
      <c r="U62" s="290" t="e">
        <f>'Alternative 2-Tilt Up'!$BD62/1000000</f>
        <v>#VALUE!</v>
      </c>
      <c r="V62" s="290" t="e">
        <f>'Alternative 2-Tilt Up'!$BJ62/1000000</f>
        <v>#VALUE!</v>
      </c>
      <c r="W62" s="290" t="e">
        <f>'Alternative 2-Tilt Up'!$BP62/1000000</f>
        <v>#VALUE!</v>
      </c>
      <c r="X62" s="290" t="e">
        <f>'Alternative 2-Tilt Up'!$BV62/1000000</f>
        <v>#VALUE!</v>
      </c>
      <c r="Y62" s="290">
        <f>'[3]Alternative 2'!$B$20/1.67</f>
        <v>149.70059880239521</v>
      </c>
      <c r="AA62" s="290" t="str">
        <f>'Alternative 3'!F63</f>
        <v>x</v>
      </c>
      <c r="AB62" s="290" t="e">
        <f>'Alternative 3-Tilt Up'!$T62/1000000</f>
        <v>#VALUE!</v>
      </c>
      <c r="AC62" s="290" t="e">
        <f>'Alternative 3-Tilt Up'!$Z62/1000000</f>
        <v>#VALUE!</v>
      </c>
      <c r="AD62" s="290" t="e">
        <f>'Alternative 3-Tilt Up'!$AF62/1000000</f>
        <v>#VALUE!</v>
      </c>
      <c r="AE62" s="290" t="e">
        <f>'Alternative 3-Tilt Up'!$AL62/1000000</f>
        <v>#VALUE!</v>
      </c>
      <c r="AF62" s="290" t="e">
        <f>'Alternative 3-Tilt Up'!$AR62/1000000</f>
        <v>#VALUE!</v>
      </c>
      <c r="AG62" s="290" t="e">
        <f>'Alternative 3-Tilt Up'!$AX62/1000000</f>
        <v>#VALUE!</v>
      </c>
      <c r="AH62" s="290" t="e">
        <f>'Alternative 3-Tilt Up'!$BD62/1000000</f>
        <v>#VALUE!</v>
      </c>
      <c r="AI62" s="290" t="e">
        <f>'Alternative 3-Tilt Up'!$BJ62/1000000</f>
        <v>#VALUE!</v>
      </c>
      <c r="AJ62" s="290" t="e">
        <f>'Alternative 3-Tilt Up'!$BP62/1000000</f>
        <v>#VALUE!</v>
      </c>
      <c r="AK62" s="290" t="e">
        <f>'Alternative 3-Tilt Up'!$BV62/1000000</f>
        <v>#VALUE!</v>
      </c>
      <c r="AL62" s="290">
        <f>'[3]Alternative 3'!$B$20/1.67</f>
        <v>149.70059880239521</v>
      </c>
    </row>
    <row r="63" spans="1:38" x14ac:dyDescent="0.25">
      <c r="A63" s="290" t="str">
        <f>'Alternative 1'!F64</f>
        <v>x</v>
      </c>
      <c r="B63" s="290" t="e">
        <f>'Alternative 1-Tilt Up'!T63/1000000</f>
        <v>#VALUE!</v>
      </c>
      <c r="C63" s="290" t="e">
        <f>'Alternative 1-Tilt Up'!$Z63/1000000</f>
        <v>#VALUE!</v>
      </c>
      <c r="D63" s="290" t="e">
        <f>'Alternative 1-Tilt Up'!$AF63/1000000</f>
        <v>#VALUE!</v>
      </c>
      <c r="E63" s="290" t="e">
        <f>'Alternative 1-Tilt Up'!$AL63/1000000</f>
        <v>#VALUE!</v>
      </c>
      <c r="F63" s="290" t="e">
        <f>'Alternative 1-Tilt Up'!$AR63/1000000</f>
        <v>#VALUE!</v>
      </c>
      <c r="G63" s="290" t="e">
        <f>'Alternative 1-Tilt Up'!$AX63/1000000</f>
        <v>#VALUE!</v>
      </c>
      <c r="H63" s="290" t="e">
        <f>'Alternative 1-Tilt Up'!$BD63/1000000</f>
        <v>#VALUE!</v>
      </c>
      <c r="I63" s="290" t="e">
        <f>'Alternative 1-Tilt Up'!$BJ63/1000000</f>
        <v>#VALUE!</v>
      </c>
      <c r="J63" s="290" t="e">
        <f>'Alternative 1-Tilt Up'!$BP63/1000000</f>
        <v>#VALUE!</v>
      </c>
      <c r="K63" s="290" t="e">
        <f>'Alternative 1-Tilt Up'!$BV63/1000000</f>
        <v>#VALUE!</v>
      </c>
      <c r="L63" s="290">
        <f>'[3]Alternative 1'!$B$20/1.67</f>
        <v>149.70059880239521</v>
      </c>
      <c r="N63" s="290" t="str">
        <f>'Alternative 2'!F64</f>
        <v>x</v>
      </c>
      <c r="O63" s="290" t="e">
        <f>'Alternative 2-Tilt Up'!$T63/1000000</f>
        <v>#VALUE!</v>
      </c>
      <c r="P63" s="290" t="e">
        <f>'Alternative 2-Tilt Up'!$Z63/1000000</f>
        <v>#VALUE!</v>
      </c>
      <c r="Q63" s="290" t="e">
        <f>'Alternative 2-Tilt Up'!$AF63/1000000</f>
        <v>#VALUE!</v>
      </c>
      <c r="R63" s="290" t="e">
        <f>'Alternative 2-Tilt Up'!$AL63/1000000</f>
        <v>#VALUE!</v>
      </c>
      <c r="S63" s="290" t="e">
        <f>'Alternative 2-Tilt Up'!$AR63/1000000</f>
        <v>#VALUE!</v>
      </c>
      <c r="T63" s="290" t="e">
        <f>'Alternative 2-Tilt Up'!$AX63/1000000</f>
        <v>#VALUE!</v>
      </c>
      <c r="U63" s="290" t="e">
        <f>'Alternative 2-Tilt Up'!$BD63/1000000</f>
        <v>#VALUE!</v>
      </c>
      <c r="V63" s="290" t="e">
        <f>'Alternative 2-Tilt Up'!$BJ63/1000000</f>
        <v>#VALUE!</v>
      </c>
      <c r="W63" s="290" t="e">
        <f>'Alternative 2-Tilt Up'!$BP63/1000000</f>
        <v>#VALUE!</v>
      </c>
      <c r="X63" s="290" t="e">
        <f>'Alternative 2-Tilt Up'!$BV63/1000000</f>
        <v>#VALUE!</v>
      </c>
      <c r="Y63" s="290">
        <f>'[3]Alternative 2'!$B$20/1.67</f>
        <v>149.70059880239521</v>
      </c>
      <c r="AA63" s="290" t="str">
        <f>'Alternative 3'!F64</f>
        <v>x</v>
      </c>
      <c r="AB63" s="290" t="e">
        <f>'Alternative 3-Tilt Up'!$T63/1000000</f>
        <v>#VALUE!</v>
      </c>
      <c r="AC63" s="290" t="e">
        <f>'Alternative 3-Tilt Up'!$Z63/1000000</f>
        <v>#VALUE!</v>
      </c>
      <c r="AD63" s="290" t="e">
        <f>'Alternative 3-Tilt Up'!$AF63/1000000</f>
        <v>#VALUE!</v>
      </c>
      <c r="AE63" s="290" t="e">
        <f>'Alternative 3-Tilt Up'!$AL63/1000000</f>
        <v>#VALUE!</v>
      </c>
      <c r="AF63" s="290" t="e">
        <f>'Alternative 3-Tilt Up'!$AR63/1000000</f>
        <v>#VALUE!</v>
      </c>
      <c r="AG63" s="290" t="e">
        <f>'Alternative 3-Tilt Up'!$AX63/1000000</f>
        <v>#VALUE!</v>
      </c>
      <c r="AH63" s="290" t="e">
        <f>'Alternative 3-Tilt Up'!$BD63/1000000</f>
        <v>#VALUE!</v>
      </c>
      <c r="AI63" s="290" t="e">
        <f>'Alternative 3-Tilt Up'!$BJ63/1000000</f>
        <v>#VALUE!</v>
      </c>
      <c r="AJ63" s="290" t="e">
        <f>'Alternative 3-Tilt Up'!$BP63/1000000</f>
        <v>#VALUE!</v>
      </c>
      <c r="AK63" s="290" t="e">
        <f>'Alternative 3-Tilt Up'!$BV63/1000000</f>
        <v>#VALUE!</v>
      </c>
      <c r="AL63" s="290">
        <f>'[3]Alternative 3'!$B$20/1.67</f>
        <v>149.70059880239521</v>
      </c>
    </row>
    <row r="64" spans="1:38" x14ac:dyDescent="0.25">
      <c r="A64" s="290" t="str">
        <f>'Alternative 1'!F65</f>
        <v>x</v>
      </c>
      <c r="B64" s="290" t="e">
        <f>'Alternative 1-Tilt Up'!T64/1000000</f>
        <v>#VALUE!</v>
      </c>
      <c r="C64" s="290" t="e">
        <f>'Alternative 1-Tilt Up'!$Z64/1000000</f>
        <v>#VALUE!</v>
      </c>
      <c r="D64" s="290" t="e">
        <f>'Alternative 1-Tilt Up'!$AF64/1000000</f>
        <v>#VALUE!</v>
      </c>
      <c r="E64" s="290" t="e">
        <f>'Alternative 1-Tilt Up'!$AL64/1000000</f>
        <v>#VALUE!</v>
      </c>
      <c r="F64" s="290" t="e">
        <f>'Alternative 1-Tilt Up'!$AR64/1000000</f>
        <v>#VALUE!</v>
      </c>
      <c r="G64" s="290" t="e">
        <f>'Alternative 1-Tilt Up'!$AX64/1000000</f>
        <v>#VALUE!</v>
      </c>
      <c r="H64" s="290" t="e">
        <f>'Alternative 1-Tilt Up'!$BD64/1000000</f>
        <v>#VALUE!</v>
      </c>
      <c r="I64" s="290" t="e">
        <f>'Alternative 1-Tilt Up'!$BJ64/1000000</f>
        <v>#VALUE!</v>
      </c>
      <c r="J64" s="290" t="e">
        <f>'Alternative 1-Tilt Up'!$BP64/1000000</f>
        <v>#VALUE!</v>
      </c>
      <c r="K64" s="290" t="e">
        <f>'Alternative 1-Tilt Up'!$BV64/1000000</f>
        <v>#VALUE!</v>
      </c>
      <c r="L64" s="290">
        <f>'[3]Alternative 1'!$B$20/1.67</f>
        <v>149.70059880239521</v>
      </c>
      <c r="N64" s="290" t="str">
        <f>'Alternative 2'!F65</f>
        <v>x</v>
      </c>
      <c r="O64" s="290" t="e">
        <f>'Alternative 2-Tilt Up'!$T64/1000000</f>
        <v>#VALUE!</v>
      </c>
      <c r="P64" s="290" t="e">
        <f>'Alternative 2-Tilt Up'!$Z64/1000000</f>
        <v>#VALUE!</v>
      </c>
      <c r="Q64" s="290" t="e">
        <f>'Alternative 2-Tilt Up'!$AF64/1000000</f>
        <v>#VALUE!</v>
      </c>
      <c r="R64" s="290" t="e">
        <f>'Alternative 2-Tilt Up'!$AL64/1000000</f>
        <v>#VALUE!</v>
      </c>
      <c r="S64" s="290" t="e">
        <f>'Alternative 2-Tilt Up'!$AR64/1000000</f>
        <v>#VALUE!</v>
      </c>
      <c r="T64" s="290" t="e">
        <f>'Alternative 2-Tilt Up'!$AX64/1000000</f>
        <v>#VALUE!</v>
      </c>
      <c r="U64" s="290" t="e">
        <f>'Alternative 2-Tilt Up'!$BD64/1000000</f>
        <v>#VALUE!</v>
      </c>
      <c r="V64" s="290" t="e">
        <f>'Alternative 2-Tilt Up'!$BJ64/1000000</f>
        <v>#VALUE!</v>
      </c>
      <c r="W64" s="290" t="e">
        <f>'Alternative 2-Tilt Up'!$BP64/1000000</f>
        <v>#VALUE!</v>
      </c>
      <c r="X64" s="290" t="e">
        <f>'Alternative 2-Tilt Up'!$BV64/1000000</f>
        <v>#VALUE!</v>
      </c>
      <c r="Y64" s="290">
        <f>'[3]Alternative 2'!$B$20/1.67</f>
        <v>149.70059880239521</v>
      </c>
      <c r="AA64" s="290" t="str">
        <f>'Alternative 3'!F65</f>
        <v>x</v>
      </c>
      <c r="AB64" s="290" t="e">
        <f>'Alternative 3-Tilt Up'!$T64/1000000</f>
        <v>#VALUE!</v>
      </c>
      <c r="AC64" s="290" t="e">
        <f>'Alternative 3-Tilt Up'!$Z64/1000000</f>
        <v>#VALUE!</v>
      </c>
      <c r="AD64" s="290" t="e">
        <f>'Alternative 3-Tilt Up'!$AF64/1000000</f>
        <v>#VALUE!</v>
      </c>
      <c r="AE64" s="290" t="e">
        <f>'Alternative 3-Tilt Up'!$AL64/1000000</f>
        <v>#VALUE!</v>
      </c>
      <c r="AF64" s="290" t="e">
        <f>'Alternative 3-Tilt Up'!$AR64/1000000</f>
        <v>#VALUE!</v>
      </c>
      <c r="AG64" s="290" t="e">
        <f>'Alternative 3-Tilt Up'!$AX64/1000000</f>
        <v>#VALUE!</v>
      </c>
      <c r="AH64" s="290" t="e">
        <f>'Alternative 3-Tilt Up'!$BD64/1000000</f>
        <v>#VALUE!</v>
      </c>
      <c r="AI64" s="290" t="e">
        <f>'Alternative 3-Tilt Up'!$BJ64/1000000</f>
        <v>#VALUE!</v>
      </c>
      <c r="AJ64" s="290" t="e">
        <f>'Alternative 3-Tilt Up'!$BP64/1000000</f>
        <v>#VALUE!</v>
      </c>
      <c r="AK64" s="290" t="e">
        <f>'Alternative 3-Tilt Up'!$BV64/1000000</f>
        <v>#VALUE!</v>
      </c>
      <c r="AL64" s="290">
        <f>'[3]Alternative 3'!$B$20/1.67</f>
        <v>149.70059880239521</v>
      </c>
    </row>
    <row r="65" spans="1:38" x14ac:dyDescent="0.25">
      <c r="A65" s="290" t="str">
        <f>'Alternative 1'!F66</f>
        <v>x</v>
      </c>
      <c r="B65" s="290" t="e">
        <f>'Alternative 1-Tilt Up'!T65/1000000</f>
        <v>#VALUE!</v>
      </c>
      <c r="C65" s="290" t="e">
        <f>'Alternative 1-Tilt Up'!$Z65/1000000</f>
        <v>#VALUE!</v>
      </c>
      <c r="D65" s="290" t="e">
        <f>'Alternative 1-Tilt Up'!$AF65/1000000</f>
        <v>#VALUE!</v>
      </c>
      <c r="E65" s="290" t="e">
        <f>'Alternative 1-Tilt Up'!$AL65/1000000</f>
        <v>#VALUE!</v>
      </c>
      <c r="F65" s="290" t="e">
        <f>'Alternative 1-Tilt Up'!$AR65/1000000</f>
        <v>#VALUE!</v>
      </c>
      <c r="G65" s="290" t="e">
        <f>'Alternative 1-Tilt Up'!$AX65/1000000</f>
        <v>#VALUE!</v>
      </c>
      <c r="H65" s="290" t="e">
        <f>'Alternative 1-Tilt Up'!$BD65/1000000</f>
        <v>#VALUE!</v>
      </c>
      <c r="I65" s="290" t="e">
        <f>'Alternative 1-Tilt Up'!$BJ65/1000000</f>
        <v>#VALUE!</v>
      </c>
      <c r="J65" s="290" t="e">
        <f>'Alternative 1-Tilt Up'!$BP65/1000000</f>
        <v>#VALUE!</v>
      </c>
      <c r="K65" s="290" t="e">
        <f>'Alternative 1-Tilt Up'!$BV65/1000000</f>
        <v>#VALUE!</v>
      </c>
      <c r="L65" s="290">
        <f>'[3]Alternative 1'!$B$20/1.67</f>
        <v>149.70059880239521</v>
      </c>
      <c r="N65" s="290" t="str">
        <f>'Alternative 2'!F66</f>
        <v>x</v>
      </c>
      <c r="O65" s="290" t="e">
        <f>'Alternative 2-Tilt Up'!$T65/1000000</f>
        <v>#VALUE!</v>
      </c>
      <c r="P65" s="290" t="e">
        <f>'Alternative 2-Tilt Up'!$Z65/1000000</f>
        <v>#VALUE!</v>
      </c>
      <c r="Q65" s="290" t="e">
        <f>'Alternative 2-Tilt Up'!$AF65/1000000</f>
        <v>#VALUE!</v>
      </c>
      <c r="R65" s="290" t="e">
        <f>'Alternative 2-Tilt Up'!$AL65/1000000</f>
        <v>#VALUE!</v>
      </c>
      <c r="S65" s="290" t="e">
        <f>'Alternative 2-Tilt Up'!$AR65/1000000</f>
        <v>#VALUE!</v>
      </c>
      <c r="T65" s="290" t="e">
        <f>'Alternative 2-Tilt Up'!$AX65/1000000</f>
        <v>#VALUE!</v>
      </c>
      <c r="U65" s="290" t="e">
        <f>'Alternative 2-Tilt Up'!$BD65/1000000</f>
        <v>#VALUE!</v>
      </c>
      <c r="V65" s="290" t="e">
        <f>'Alternative 2-Tilt Up'!$BJ65/1000000</f>
        <v>#VALUE!</v>
      </c>
      <c r="W65" s="290" t="e">
        <f>'Alternative 2-Tilt Up'!$BP65/1000000</f>
        <v>#VALUE!</v>
      </c>
      <c r="X65" s="290" t="e">
        <f>'Alternative 2-Tilt Up'!$BV65/1000000</f>
        <v>#VALUE!</v>
      </c>
      <c r="Y65" s="290">
        <f>'[3]Alternative 2'!$B$20/1.67</f>
        <v>149.70059880239521</v>
      </c>
      <c r="AA65" s="290" t="str">
        <f>'Alternative 3'!F66</f>
        <v>x</v>
      </c>
      <c r="AB65" s="290" t="e">
        <f>'Alternative 3-Tilt Up'!$T65/1000000</f>
        <v>#VALUE!</v>
      </c>
      <c r="AC65" s="290" t="e">
        <f>'Alternative 3-Tilt Up'!$Z65/1000000</f>
        <v>#VALUE!</v>
      </c>
      <c r="AD65" s="290" t="e">
        <f>'Alternative 3-Tilt Up'!$AF65/1000000</f>
        <v>#VALUE!</v>
      </c>
      <c r="AE65" s="290" t="e">
        <f>'Alternative 3-Tilt Up'!$AL65/1000000</f>
        <v>#VALUE!</v>
      </c>
      <c r="AF65" s="290" t="e">
        <f>'Alternative 3-Tilt Up'!$AR65/1000000</f>
        <v>#VALUE!</v>
      </c>
      <c r="AG65" s="290" t="e">
        <f>'Alternative 3-Tilt Up'!$AX65/1000000</f>
        <v>#VALUE!</v>
      </c>
      <c r="AH65" s="290" t="e">
        <f>'Alternative 3-Tilt Up'!$BD65/1000000</f>
        <v>#VALUE!</v>
      </c>
      <c r="AI65" s="290" t="e">
        <f>'Alternative 3-Tilt Up'!$BJ65/1000000</f>
        <v>#VALUE!</v>
      </c>
      <c r="AJ65" s="290" t="e">
        <f>'Alternative 3-Tilt Up'!$BP65/1000000</f>
        <v>#VALUE!</v>
      </c>
      <c r="AK65" s="290" t="e">
        <f>'Alternative 3-Tilt Up'!$BV65/1000000</f>
        <v>#VALUE!</v>
      </c>
      <c r="AL65" s="290">
        <f>'[3]Alternative 3'!$B$20/1.67</f>
        <v>149.70059880239521</v>
      </c>
    </row>
    <row r="66" spans="1:38" x14ac:dyDescent="0.25">
      <c r="A66" s="290" t="str">
        <f>'Alternative 1'!F67</f>
        <v>x</v>
      </c>
      <c r="B66" s="290" t="e">
        <f>'Alternative 1-Tilt Up'!T66/1000000</f>
        <v>#VALUE!</v>
      </c>
      <c r="C66" s="290" t="e">
        <f>'Alternative 1-Tilt Up'!$Z66/1000000</f>
        <v>#VALUE!</v>
      </c>
      <c r="D66" s="290" t="e">
        <f>'Alternative 1-Tilt Up'!$AF66/1000000</f>
        <v>#VALUE!</v>
      </c>
      <c r="E66" s="290" t="e">
        <f>'Alternative 1-Tilt Up'!$AL66/1000000</f>
        <v>#VALUE!</v>
      </c>
      <c r="F66" s="290" t="e">
        <f>'Alternative 1-Tilt Up'!$AR66/1000000</f>
        <v>#VALUE!</v>
      </c>
      <c r="G66" s="290" t="e">
        <f>'Alternative 1-Tilt Up'!$AX66/1000000</f>
        <v>#VALUE!</v>
      </c>
      <c r="H66" s="290" t="e">
        <f>'Alternative 1-Tilt Up'!$BD66/1000000</f>
        <v>#VALUE!</v>
      </c>
      <c r="I66" s="290" t="e">
        <f>'Alternative 1-Tilt Up'!$BJ66/1000000</f>
        <v>#VALUE!</v>
      </c>
      <c r="J66" s="290" t="e">
        <f>'Alternative 1-Tilt Up'!$BP66/1000000</f>
        <v>#VALUE!</v>
      </c>
      <c r="K66" s="290" t="e">
        <f>'Alternative 1-Tilt Up'!$BV66/1000000</f>
        <v>#VALUE!</v>
      </c>
      <c r="L66" s="290">
        <f>'[3]Alternative 1'!$B$20/1.67</f>
        <v>149.70059880239521</v>
      </c>
      <c r="N66" s="290" t="str">
        <f>'Alternative 2'!F67</f>
        <v>x</v>
      </c>
      <c r="O66" s="290" t="e">
        <f>'Alternative 2-Tilt Up'!$T66/1000000</f>
        <v>#VALUE!</v>
      </c>
      <c r="P66" s="290" t="e">
        <f>'Alternative 2-Tilt Up'!$Z66/1000000</f>
        <v>#VALUE!</v>
      </c>
      <c r="Q66" s="290" t="e">
        <f>'Alternative 2-Tilt Up'!$AF66/1000000</f>
        <v>#VALUE!</v>
      </c>
      <c r="R66" s="290" t="e">
        <f>'Alternative 2-Tilt Up'!$AL66/1000000</f>
        <v>#VALUE!</v>
      </c>
      <c r="S66" s="290" t="e">
        <f>'Alternative 2-Tilt Up'!$AR66/1000000</f>
        <v>#VALUE!</v>
      </c>
      <c r="T66" s="290" t="e">
        <f>'Alternative 2-Tilt Up'!$AX66/1000000</f>
        <v>#VALUE!</v>
      </c>
      <c r="U66" s="290" t="e">
        <f>'Alternative 2-Tilt Up'!$BD66/1000000</f>
        <v>#VALUE!</v>
      </c>
      <c r="V66" s="290" t="e">
        <f>'Alternative 2-Tilt Up'!$BJ66/1000000</f>
        <v>#VALUE!</v>
      </c>
      <c r="W66" s="290" t="e">
        <f>'Alternative 2-Tilt Up'!$BP66/1000000</f>
        <v>#VALUE!</v>
      </c>
      <c r="X66" s="290" t="e">
        <f>'Alternative 2-Tilt Up'!$BV66/1000000</f>
        <v>#VALUE!</v>
      </c>
      <c r="Y66" s="290">
        <f>'[3]Alternative 2'!$B$20/1.67</f>
        <v>149.70059880239521</v>
      </c>
      <c r="AA66" s="290" t="str">
        <f>'Alternative 3'!F67</f>
        <v>x</v>
      </c>
      <c r="AB66" s="290" t="e">
        <f>'Alternative 3-Tilt Up'!$T66/1000000</f>
        <v>#VALUE!</v>
      </c>
      <c r="AC66" s="290" t="e">
        <f>'Alternative 3-Tilt Up'!$Z66/1000000</f>
        <v>#VALUE!</v>
      </c>
      <c r="AD66" s="290" t="e">
        <f>'Alternative 3-Tilt Up'!$AF66/1000000</f>
        <v>#VALUE!</v>
      </c>
      <c r="AE66" s="290" t="e">
        <f>'Alternative 3-Tilt Up'!$AL66/1000000</f>
        <v>#VALUE!</v>
      </c>
      <c r="AF66" s="290" t="e">
        <f>'Alternative 3-Tilt Up'!$AR66/1000000</f>
        <v>#VALUE!</v>
      </c>
      <c r="AG66" s="290" t="e">
        <f>'Alternative 3-Tilt Up'!$AX66/1000000</f>
        <v>#VALUE!</v>
      </c>
      <c r="AH66" s="290" t="e">
        <f>'Alternative 3-Tilt Up'!$BD66/1000000</f>
        <v>#VALUE!</v>
      </c>
      <c r="AI66" s="290" t="e">
        <f>'Alternative 3-Tilt Up'!$BJ66/1000000</f>
        <v>#VALUE!</v>
      </c>
      <c r="AJ66" s="290" t="e">
        <f>'Alternative 3-Tilt Up'!$BP66/1000000</f>
        <v>#VALUE!</v>
      </c>
      <c r="AK66" s="290" t="e">
        <f>'Alternative 3-Tilt Up'!$BV66/1000000</f>
        <v>#VALUE!</v>
      </c>
      <c r="AL66" s="290">
        <f>'[3]Alternative 3'!$B$20/1.67</f>
        <v>149.70059880239521</v>
      </c>
    </row>
    <row r="67" spans="1:38" x14ac:dyDescent="0.25">
      <c r="A67" s="290" t="str">
        <f>'Alternative 1'!F68</f>
        <v>x</v>
      </c>
      <c r="B67" s="290" t="e">
        <f>'Alternative 1-Tilt Up'!T67/1000000</f>
        <v>#VALUE!</v>
      </c>
      <c r="C67" s="290" t="e">
        <f>'Alternative 1-Tilt Up'!$Z67/1000000</f>
        <v>#VALUE!</v>
      </c>
      <c r="D67" s="290" t="e">
        <f>'Alternative 1-Tilt Up'!$AF67/1000000</f>
        <v>#VALUE!</v>
      </c>
      <c r="E67" s="290" t="e">
        <f>'Alternative 1-Tilt Up'!$AL67/1000000</f>
        <v>#VALUE!</v>
      </c>
      <c r="F67" s="290" t="e">
        <f>'Alternative 1-Tilt Up'!$AR67/1000000</f>
        <v>#VALUE!</v>
      </c>
      <c r="G67" s="290" t="e">
        <f>'Alternative 1-Tilt Up'!$AX67/1000000</f>
        <v>#VALUE!</v>
      </c>
      <c r="H67" s="290" t="e">
        <f>'Alternative 1-Tilt Up'!$BD67/1000000</f>
        <v>#VALUE!</v>
      </c>
      <c r="I67" s="290" t="e">
        <f>'Alternative 1-Tilt Up'!$BJ67/1000000</f>
        <v>#VALUE!</v>
      </c>
      <c r="J67" s="290" t="e">
        <f>'Alternative 1-Tilt Up'!$BP67/1000000</f>
        <v>#VALUE!</v>
      </c>
      <c r="K67" s="290" t="e">
        <f>'Alternative 1-Tilt Up'!$BV67/1000000</f>
        <v>#VALUE!</v>
      </c>
      <c r="L67" s="290">
        <f>'[3]Alternative 1'!$B$20/1.67</f>
        <v>149.70059880239521</v>
      </c>
      <c r="N67" s="290" t="str">
        <f>'Alternative 2'!F68</f>
        <v>x</v>
      </c>
      <c r="O67" s="290" t="e">
        <f>'Alternative 2-Tilt Up'!$T67/1000000</f>
        <v>#VALUE!</v>
      </c>
      <c r="P67" s="290" t="e">
        <f>'Alternative 2-Tilt Up'!$Z67/1000000</f>
        <v>#VALUE!</v>
      </c>
      <c r="Q67" s="290" t="e">
        <f>'Alternative 2-Tilt Up'!$AF67/1000000</f>
        <v>#VALUE!</v>
      </c>
      <c r="R67" s="290" t="e">
        <f>'Alternative 2-Tilt Up'!$AL67/1000000</f>
        <v>#VALUE!</v>
      </c>
      <c r="S67" s="290" t="e">
        <f>'Alternative 2-Tilt Up'!$AR67/1000000</f>
        <v>#VALUE!</v>
      </c>
      <c r="T67" s="290" t="e">
        <f>'Alternative 2-Tilt Up'!$AX67/1000000</f>
        <v>#VALUE!</v>
      </c>
      <c r="U67" s="290" t="e">
        <f>'Alternative 2-Tilt Up'!$BD67/1000000</f>
        <v>#VALUE!</v>
      </c>
      <c r="V67" s="290" t="e">
        <f>'Alternative 2-Tilt Up'!$BJ67/1000000</f>
        <v>#VALUE!</v>
      </c>
      <c r="W67" s="290" t="e">
        <f>'Alternative 2-Tilt Up'!$BP67/1000000</f>
        <v>#VALUE!</v>
      </c>
      <c r="X67" s="290" t="e">
        <f>'Alternative 2-Tilt Up'!$BV67/1000000</f>
        <v>#VALUE!</v>
      </c>
      <c r="Y67" s="290">
        <f>'[3]Alternative 2'!$B$20/1.67</f>
        <v>149.70059880239521</v>
      </c>
      <c r="AA67" s="290" t="str">
        <f>'Alternative 3'!F68</f>
        <v>x</v>
      </c>
      <c r="AB67" s="290" t="e">
        <f>'Alternative 3-Tilt Up'!$T67/1000000</f>
        <v>#VALUE!</v>
      </c>
      <c r="AC67" s="290" t="e">
        <f>'Alternative 3-Tilt Up'!$Z67/1000000</f>
        <v>#VALUE!</v>
      </c>
      <c r="AD67" s="290" t="e">
        <f>'Alternative 3-Tilt Up'!$AF67/1000000</f>
        <v>#VALUE!</v>
      </c>
      <c r="AE67" s="290" t="e">
        <f>'Alternative 3-Tilt Up'!$AL67/1000000</f>
        <v>#VALUE!</v>
      </c>
      <c r="AF67" s="290" t="e">
        <f>'Alternative 3-Tilt Up'!$AR67/1000000</f>
        <v>#VALUE!</v>
      </c>
      <c r="AG67" s="290" t="e">
        <f>'Alternative 3-Tilt Up'!$AX67/1000000</f>
        <v>#VALUE!</v>
      </c>
      <c r="AH67" s="290" t="e">
        <f>'Alternative 3-Tilt Up'!$BD67/1000000</f>
        <v>#VALUE!</v>
      </c>
      <c r="AI67" s="290" t="e">
        <f>'Alternative 3-Tilt Up'!$BJ67/1000000</f>
        <v>#VALUE!</v>
      </c>
      <c r="AJ67" s="290" t="e">
        <f>'Alternative 3-Tilt Up'!$BP67/1000000</f>
        <v>#VALUE!</v>
      </c>
      <c r="AK67" s="290" t="e">
        <f>'Alternative 3-Tilt Up'!$BV67/1000000</f>
        <v>#VALUE!</v>
      </c>
      <c r="AL67" s="290">
        <f>'[3]Alternative 3'!$B$20/1.67</f>
        <v>149.70059880239521</v>
      </c>
    </row>
    <row r="68" spans="1:38" x14ac:dyDescent="0.25">
      <c r="A68" s="290" t="str">
        <f>'Alternative 1'!F69</f>
        <v>x</v>
      </c>
      <c r="B68" s="290" t="e">
        <f>'Alternative 1-Tilt Up'!T68/1000000</f>
        <v>#VALUE!</v>
      </c>
      <c r="C68" s="290" t="e">
        <f>'Alternative 1-Tilt Up'!$Z68/1000000</f>
        <v>#VALUE!</v>
      </c>
      <c r="D68" s="290" t="e">
        <f>'Alternative 1-Tilt Up'!$AF68/1000000</f>
        <v>#VALUE!</v>
      </c>
      <c r="E68" s="290" t="e">
        <f>'Alternative 1-Tilt Up'!$AL68/1000000</f>
        <v>#VALUE!</v>
      </c>
      <c r="F68" s="290" t="e">
        <f>'Alternative 1-Tilt Up'!$AR68/1000000</f>
        <v>#VALUE!</v>
      </c>
      <c r="G68" s="290" t="e">
        <f>'Alternative 1-Tilt Up'!$AX68/1000000</f>
        <v>#VALUE!</v>
      </c>
      <c r="H68" s="290" t="e">
        <f>'Alternative 1-Tilt Up'!$BD68/1000000</f>
        <v>#VALUE!</v>
      </c>
      <c r="I68" s="290" t="e">
        <f>'Alternative 1-Tilt Up'!$BJ68/1000000</f>
        <v>#VALUE!</v>
      </c>
      <c r="J68" s="290" t="e">
        <f>'Alternative 1-Tilt Up'!$BP68/1000000</f>
        <v>#VALUE!</v>
      </c>
      <c r="K68" s="290" t="e">
        <f>'Alternative 1-Tilt Up'!$BV68/1000000</f>
        <v>#VALUE!</v>
      </c>
      <c r="L68" s="290">
        <f>'[3]Alternative 1'!$B$20/1.67</f>
        <v>149.70059880239521</v>
      </c>
      <c r="N68" s="290" t="str">
        <f>'Alternative 2'!F69</f>
        <v>x</v>
      </c>
      <c r="O68" s="290" t="e">
        <f>'Alternative 2-Tilt Up'!$T68/1000000</f>
        <v>#VALUE!</v>
      </c>
      <c r="P68" s="290" t="e">
        <f>'Alternative 2-Tilt Up'!$Z68/1000000</f>
        <v>#VALUE!</v>
      </c>
      <c r="Q68" s="290" t="e">
        <f>'Alternative 2-Tilt Up'!$AF68/1000000</f>
        <v>#VALUE!</v>
      </c>
      <c r="R68" s="290" t="e">
        <f>'Alternative 2-Tilt Up'!$AL68/1000000</f>
        <v>#VALUE!</v>
      </c>
      <c r="S68" s="290" t="e">
        <f>'Alternative 2-Tilt Up'!$AR68/1000000</f>
        <v>#VALUE!</v>
      </c>
      <c r="T68" s="290" t="e">
        <f>'Alternative 2-Tilt Up'!$AX68/1000000</f>
        <v>#VALUE!</v>
      </c>
      <c r="U68" s="290" t="e">
        <f>'Alternative 2-Tilt Up'!$BD68/1000000</f>
        <v>#VALUE!</v>
      </c>
      <c r="V68" s="290" t="e">
        <f>'Alternative 2-Tilt Up'!$BJ68/1000000</f>
        <v>#VALUE!</v>
      </c>
      <c r="W68" s="290" t="e">
        <f>'Alternative 2-Tilt Up'!$BP68/1000000</f>
        <v>#VALUE!</v>
      </c>
      <c r="X68" s="290" t="e">
        <f>'Alternative 2-Tilt Up'!$BV68/1000000</f>
        <v>#VALUE!</v>
      </c>
      <c r="Y68" s="290">
        <f>'[3]Alternative 2'!$B$20/1.67</f>
        <v>149.70059880239521</v>
      </c>
      <c r="AA68" s="290" t="str">
        <f>'Alternative 3'!F69</f>
        <v>x</v>
      </c>
      <c r="AB68" s="290" t="e">
        <f>'Alternative 3-Tilt Up'!$T68/1000000</f>
        <v>#VALUE!</v>
      </c>
      <c r="AC68" s="290" t="e">
        <f>'Alternative 3-Tilt Up'!$Z68/1000000</f>
        <v>#VALUE!</v>
      </c>
      <c r="AD68" s="290" t="e">
        <f>'Alternative 3-Tilt Up'!$AF68/1000000</f>
        <v>#VALUE!</v>
      </c>
      <c r="AE68" s="290" t="e">
        <f>'Alternative 3-Tilt Up'!$AL68/1000000</f>
        <v>#VALUE!</v>
      </c>
      <c r="AF68" s="290" t="e">
        <f>'Alternative 3-Tilt Up'!$AR68/1000000</f>
        <v>#VALUE!</v>
      </c>
      <c r="AG68" s="290" t="e">
        <f>'Alternative 3-Tilt Up'!$AX68/1000000</f>
        <v>#VALUE!</v>
      </c>
      <c r="AH68" s="290" t="e">
        <f>'Alternative 3-Tilt Up'!$BD68/1000000</f>
        <v>#VALUE!</v>
      </c>
      <c r="AI68" s="290" t="e">
        <f>'Alternative 3-Tilt Up'!$BJ68/1000000</f>
        <v>#VALUE!</v>
      </c>
      <c r="AJ68" s="290" t="e">
        <f>'Alternative 3-Tilt Up'!$BP68/1000000</f>
        <v>#VALUE!</v>
      </c>
      <c r="AK68" s="290" t="e">
        <f>'Alternative 3-Tilt Up'!$BV68/1000000</f>
        <v>#VALUE!</v>
      </c>
      <c r="AL68" s="290">
        <f>'[3]Alternative 3'!$B$20/1.67</f>
        <v>149.70059880239521</v>
      </c>
    </row>
    <row r="69" spans="1:38" x14ac:dyDescent="0.25">
      <c r="A69" s="290" t="str">
        <f>'Alternative 1'!F70</f>
        <v>x</v>
      </c>
      <c r="B69" s="290" t="e">
        <f>'Alternative 1-Tilt Up'!T69/1000000</f>
        <v>#VALUE!</v>
      </c>
      <c r="C69" s="290" t="e">
        <f>'Alternative 1-Tilt Up'!$Z69/1000000</f>
        <v>#VALUE!</v>
      </c>
      <c r="D69" s="290" t="e">
        <f>'Alternative 1-Tilt Up'!$AF69/1000000</f>
        <v>#VALUE!</v>
      </c>
      <c r="E69" s="290" t="e">
        <f>'Alternative 1-Tilt Up'!$AL69/1000000</f>
        <v>#VALUE!</v>
      </c>
      <c r="F69" s="290" t="e">
        <f>'Alternative 1-Tilt Up'!$AR69/1000000</f>
        <v>#VALUE!</v>
      </c>
      <c r="G69" s="290" t="e">
        <f>'Alternative 1-Tilt Up'!$AX69/1000000</f>
        <v>#VALUE!</v>
      </c>
      <c r="H69" s="290" t="e">
        <f>'Alternative 1-Tilt Up'!$BD69/1000000</f>
        <v>#VALUE!</v>
      </c>
      <c r="I69" s="290" t="e">
        <f>'Alternative 1-Tilt Up'!$BJ69/1000000</f>
        <v>#VALUE!</v>
      </c>
      <c r="J69" s="290" t="e">
        <f>'Alternative 1-Tilt Up'!$BP69/1000000</f>
        <v>#VALUE!</v>
      </c>
      <c r="K69" s="290" t="e">
        <f>'Alternative 1-Tilt Up'!$BV69/1000000</f>
        <v>#VALUE!</v>
      </c>
      <c r="L69" s="290">
        <f>'[3]Alternative 1'!$B$20/1.67</f>
        <v>149.70059880239521</v>
      </c>
      <c r="N69" s="290" t="str">
        <f>'Alternative 2'!F70</f>
        <v>x</v>
      </c>
      <c r="O69" s="290" t="e">
        <f>'Alternative 2-Tilt Up'!$T69/1000000</f>
        <v>#VALUE!</v>
      </c>
      <c r="P69" s="290" t="e">
        <f>'Alternative 2-Tilt Up'!$Z69/1000000</f>
        <v>#VALUE!</v>
      </c>
      <c r="Q69" s="290" t="e">
        <f>'Alternative 2-Tilt Up'!$AF69/1000000</f>
        <v>#VALUE!</v>
      </c>
      <c r="R69" s="290" t="e">
        <f>'Alternative 2-Tilt Up'!$AL69/1000000</f>
        <v>#VALUE!</v>
      </c>
      <c r="S69" s="290" t="e">
        <f>'Alternative 2-Tilt Up'!$AR69/1000000</f>
        <v>#VALUE!</v>
      </c>
      <c r="T69" s="290" t="e">
        <f>'Alternative 2-Tilt Up'!$AX69/1000000</f>
        <v>#VALUE!</v>
      </c>
      <c r="U69" s="290" t="e">
        <f>'Alternative 2-Tilt Up'!$BD69/1000000</f>
        <v>#VALUE!</v>
      </c>
      <c r="V69" s="290" t="e">
        <f>'Alternative 2-Tilt Up'!$BJ69/1000000</f>
        <v>#VALUE!</v>
      </c>
      <c r="W69" s="290" t="e">
        <f>'Alternative 2-Tilt Up'!$BP69/1000000</f>
        <v>#VALUE!</v>
      </c>
      <c r="X69" s="290" t="e">
        <f>'Alternative 2-Tilt Up'!$BV69/1000000</f>
        <v>#VALUE!</v>
      </c>
      <c r="Y69" s="290">
        <f>'[3]Alternative 2'!$B$20/1.67</f>
        <v>149.70059880239521</v>
      </c>
      <c r="AA69" s="290" t="str">
        <f>'Alternative 3'!F70</f>
        <v>x</v>
      </c>
      <c r="AB69" s="290" t="e">
        <f>'Alternative 3-Tilt Up'!$T69/1000000</f>
        <v>#VALUE!</v>
      </c>
      <c r="AC69" s="290" t="e">
        <f>'Alternative 3-Tilt Up'!$Z69/1000000</f>
        <v>#VALUE!</v>
      </c>
      <c r="AD69" s="290" t="e">
        <f>'Alternative 3-Tilt Up'!$AF69/1000000</f>
        <v>#VALUE!</v>
      </c>
      <c r="AE69" s="290" t="e">
        <f>'Alternative 3-Tilt Up'!$AL69/1000000</f>
        <v>#VALUE!</v>
      </c>
      <c r="AF69" s="290" t="e">
        <f>'Alternative 3-Tilt Up'!$AR69/1000000</f>
        <v>#VALUE!</v>
      </c>
      <c r="AG69" s="290" t="e">
        <f>'Alternative 3-Tilt Up'!$AX69/1000000</f>
        <v>#VALUE!</v>
      </c>
      <c r="AH69" s="290" t="e">
        <f>'Alternative 3-Tilt Up'!$BD69/1000000</f>
        <v>#VALUE!</v>
      </c>
      <c r="AI69" s="290" t="e">
        <f>'Alternative 3-Tilt Up'!$BJ69/1000000</f>
        <v>#VALUE!</v>
      </c>
      <c r="AJ69" s="290" t="e">
        <f>'Alternative 3-Tilt Up'!$BP69/1000000</f>
        <v>#VALUE!</v>
      </c>
      <c r="AK69" s="290" t="e">
        <f>'Alternative 3-Tilt Up'!$BV69/1000000</f>
        <v>#VALUE!</v>
      </c>
      <c r="AL69" s="290">
        <f>'[3]Alternative 3'!$B$20/1.67</f>
        <v>149.70059880239521</v>
      </c>
    </row>
    <row r="70" spans="1:38" x14ac:dyDescent="0.25">
      <c r="A70" s="290" t="str">
        <f>'Alternative 1'!F71</f>
        <v>x</v>
      </c>
      <c r="B70" s="290" t="e">
        <f>'Alternative 1-Tilt Up'!T70/1000000</f>
        <v>#VALUE!</v>
      </c>
      <c r="C70" s="290" t="e">
        <f>'Alternative 1-Tilt Up'!$Z70/1000000</f>
        <v>#VALUE!</v>
      </c>
      <c r="D70" s="290" t="e">
        <f>'Alternative 1-Tilt Up'!$AF70/1000000</f>
        <v>#VALUE!</v>
      </c>
      <c r="E70" s="290" t="e">
        <f>'Alternative 1-Tilt Up'!$AL70/1000000</f>
        <v>#VALUE!</v>
      </c>
      <c r="F70" s="290" t="e">
        <f>'Alternative 1-Tilt Up'!$AR70/1000000</f>
        <v>#VALUE!</v>
      </c>
      <c r="G70" s="290" t="e">
        <f>'Alternative 1-Tilt Up'!$AX70/1000000</f>
        <v>#VALUE!</v>
      </c>
      <c r="H70" s="290" t="e">
        <f>'Alternative 1-Tilt Up'!$BD70/1000000</f>
        <v>#VALUE!</v>
      </c>
      <c r="I70" s="290" t="e">
        <f>'Alternative 1-Tilt Up'!$BJ70/1000000</f>
        <v>#VALUE!</v>
      </c>
      <c r="J70" s="290" t="e">
        <f>'Alternative 1-Tilt Up'!$BP70/1000000</f>
        <v>#VALUE!</v>
      </c>
      <c r="K70" s="290" t="e">
        <f>'Alternative 1-Tilt Up'!$BV70/1000000</f>
        <v>#VALUE!</v>
      </c>
      <c r="L70" s="290">
        <f>'[3]Alternative 1'!$B$20/1.67</f>
        <v>149.70059880239521</v>
      </c>
      <c r="N70" s="290" t="str">
        <f>'Alternative 2'!F71</f>
        <v>x</v>
      </c>
      <c r="O70" s="290" t="e">
        <f>'Alternative 2-Tilt Up'!$T70/1000000</f>
        <v>#VALUE!</v>
      </c>
      <c r="P70" s="290" t="e">
        <f>'Alternative 2-Tilt Up'!$Z70/1000000</f>
        <v>#VALUE!</v>
      </c>
      <c r="Q70" s="290" t="e">
        <f>'Alternative 2-Tilt Up'!$AF70/1000000</f>
        <v>#VALUE!</v>
      </c>
      <c r="R70" s="290" t="e">
        <f>'Alternative 2-Tilt Up'!$AL70/1000000</f>
        <v>#VALUE!</v>
      </c>
      <c r="S70" s="290" t="e">
        <f>'Alternative 2-Tilt Up'!$AR70/1000000</f>
        <v>#VALUE!</v>
      </c>
      <c r="T70" s="290" t="e">
        <f>'Alternative 2-Tilt Up'!$AX70/1000000</f>
        <v>#VALUE!</v>
      </c>
      <c r="U70" s="290" t="e">
        <f>'Alternative 2-Tilt Up'!$BD70/1000000</f>
        <v>#VALUE!</v>
      </c>
      <c r="V70" s="290" t="e">
        <f>'Alternative 2-Tilt Up'!$BJ70/1000000</f>
        <v>#VALUE!</v>
      </c>
      <c r="W70" s="290" t="e">
        <f>'Alternative 2-Tilt Up'!$BP70/1000000</f>
        <v>#VALUE!</v>
      </c>
      <c r="X70" s="290" t="e">
        <f>'Alternative 2-Tilt Up'!$BV70/1000000</f>
        <v>#VALUE!</v>
      </c>
      <c r="Y70" s="290">
        <f>'[3]Alternative 2'!$B$20/1.67</f>
        <v>149.70059880239521</v>
      </c>
      <c r="AA70" s="290" t="str">
        <f>'Alternative 3'!F71</f>
        <v>x</v>
      </c>
      <c r="AB70" s="290" t="e">
        <f>'Alternative 3-Tilt Up'!$T70/1000000</f>
        <v>#VALUE!</v>
      </c>
      <c r="AC70" s="290" t="e">
        <f>'Alternative 3-Tilt Up'!$Z70/1000000</f>
        <v>#VALUE!</v>
      </c>
      <c r="AD70" s="290" t="e">
        <f>'Alternative 3-Tilt Up'!$AF70/1000000</f>
        <v>#VALUE!</v>
      </c>
      <c r="AE70" s="290" t="e">
        <f>'Alternative 3-Tilt Up'!$AL70/1000000</f>
        <v>#VALUE!</v>
      </c>
      <c r="AF70" s="290" t="e">
        <f>'Alternative 3-Tilt Up'!$AR70/1000000</f>
        <v>#VALUE!</v>
      </c>
      <c r="AG70" s="290" t="e">
        <f>'Alternative 3-Tilt Up'!$AX70/1000000</f>
        <v>#VALUE!</v>
      </c>
      <c r="AH70" s="290" t="e">
        <f>'Alternative 3-Tilt Up'!$BD70/1000000</f>
        <v>#VALUE!</v>
      </c>
      <c r="AI70" s="290" t="e">
        <f>'Alternative 3-Tilt Up'!$BJ70/1000000</f>
        <v>#VALUE!</v>
      </c>
      <c r="AJ70" s="290" t="e">
        <f>'Alternative 3-Tilt Up'!$BP70/1000000</f>
        <v>#VALUE!</v>
      </c>
      <c r="AK70" s="290" t="e">
        <f>'Alternative 3-Tilt Up'!$BV70/1000000</f>
        <v>#VALUE!</v>
      </c>
      <c r="AL70" s="290">
        <f>'[3]Alternative 3'!$B$20/1.67</f>
        <v>149.70059880239521</v>
      </c>
    </row>
    <row r="71" spans="1:38" x14ac:dyDescent="0.25">
      <c r="A71" s="290" t="str">
        <f>'Alternative 1'!F72</f>
        <v>x</v>
      </c>
      <c r="B71" s="290" t="e">
        <f>'Alternative 1-Tilt Up'!T71/1000000</f>
        <v>#VALUE!</v>
      </c>
      <c r="C71" s="290" t="e">
        <f>'Alternative 1-Tilt Up'!$Z71/1000000</f>
        <v>#VALUE!</v>
      </c>
      <c r="D71" s="290" t="e">
        <f>'Alternative 1-Tilt Up'!$AF71/1000000</f>
        <v>#VALUE!</v>
      </c>
      <c r="E71" s="290" t="e">
        <f>'Alternative 1-Tilt Up'!$AL71/1000000</f>
        <v>#VALUE!</v>
      </c>
      <c r="F71" s="290" t="e">
        <f>'Alternative 1-Tilt Up'!$AR71/1000000</f>
        <v>#VALUE!</v>
      </c>
      <c r="G71" s="290" t="e">
        <f>'Alternative 1-Tilt Up'!$AX71/1000000</f>
        <v>#VALUE!</v>
      </c>
      <c r="H71" s="290" t="e">
        <f>'Alternative 1-Tilt Up'!$BD71/1000000</f>
        <v>#VALUE!</v>
      </c>
      <c r="I71" s="290" t="e">
        <f>'Alternative 1-Tilt Up'!$BJ71/1000000</f>
        <v>#VALUE!</v>
      </c>
      <c r="J71" s="290" t="e">
        <f>'Alternative 1-Tilt Up'!$BP71/1000000</f>
        <v>#VALUE!</v>
      </c>
      <c r="K71" s="290" t="e">
        <f>'Alternative 1-Tilt Up'!$BV71/1000000</f>
        <v>#VALUE!</v>
      </c>
      <c r="L71" s="290">
        <f>'[3]Alternative 1'!$B$20/1.67</f>
        <v>149.70059880239521</v>
      </c>
      <c r="N71" s="290" t="str">
        <f>'Alternative 2'!F72</f>
        <v>x</v>
      </c>
      <c r="O71" s="290" t="e">
        <f>'Alternative 2-Tilt Up'!$T71/1000000</f>
        <v>#VALUE!</v>
      </c>
      <c r="P71" s="290" t="e">
        <f>'Alternative 2-Tilt Up'!$Z71/1000000</f>
        <v>#VALUE!</v>
      </c>
      <c r="Q71" s="290" t="e">
        <f>'Alternative 2-Tilt Up'!$AF71/1000000</f>
        <v>#VALUE!</v>
      </c>
      <c r="R71" s="290" t="e">
        <f>'Alternative 2-Tilt Up'!$AL71/1000000</f>
        <v>#VALUE!</v>
      </c>
      <c r="S71" s="290" t="e">
        <f>'Alternative 2-Tilt Up'!$AR71/1000000</f>
        <v>#VALUE!</v>
      </c>
      <c r="T71" s="290" t="e">
        <f>'Alternative 2-Tilt Up'!$AX71/1000000</f>
        <v>#VALUE!</v>
      </c>
      <c r="U71" s="290" t="e">
        <f>'Alternative 2-Tilt Up'!$BD71/1000000</f>
        <v>#VALUE!</v>
      </c>
      <c r="V71" s="290" t="e">
        <f>'Alternative 2-Tilt Up'!$BJ71/1000000</f>
        <v>#VALUE!</v>
      </c>
      <c r="W71" s="290" t="e">
        <f>'Alternative 2-Tilt Up'!$BP71/1000000</f>
        <v>#VALUE!</v>
      </c>
      <c r="X71" s="290" t="e">
        <f>'Alternative 2-Tilt Up'!$BV71/1000000</f>
        <v>#VALUE!</v>
      </c>
      <c r="Y71" s="290">
        <f>'[3]Alternative 2'!$B$20/1.67</f>
        <v>149.70059880239521</v>
      </c>
      <c r="AA71" s="290" t="str">
        <f>'Alternative 3'!F72</f>
        <v>x</v>
      </c>
      <c r="AB71" s="290" t="e">
        <f>'Alternative 3-Tilt Up'!$T71/1000000</f>
        <v>#VALUE!</v>
      </c>
      <c r="AC71" s="290" t="e">
        <f>'Alternative 3-Tilt Up'!$Z71/1000000</f>
        <v>#VALUE!</v>
      </c>
      <c r="AD71" s="290" t="e">
        <f>'Alternative 3-Tilt Up'!$AF71/1000000</f>
        <v>#VALUE!</v>
      </c>
      <c r="AE71" s="290" t="e">
        <f>'Alternative 3-Tilt Up'!$AL71/1000000</f>
        <v>#VALUE!</v>
      </c>
      <c r="AF71" s="290" t="e">
        <f>'Alternative 3-Tilt Up'!$AR71/1000000</f>
        <v>#VALUE!</v>
      </c>
      <c r="AG71" s="290" t="e">
        <f>'Alternative 3-Tilt Up'!$AX71/1000000</f>
        <v>#VALUE!</v>
      </c>
      <c r="AH71" s="290" t="e">
        <f>'Alternative 3-Tilt Up'!$BD71/1000000</f>
        <v>#VALUE!</v>
      </c>
      <c r="AI71" s="290" t="e">
        <f>'Alternative 3-Tilt Up'!$BJ71/1000000</f>
        <v>#VALUE!</v>
      </c>
      <c r="AJ71" s="290" t="e">
        <f>'Alternative 3-Tilt Up'!$BP71/1000000</f>
        <v>#VALUE!</v>
      </c>
      <c r="AK71" s="290" t="e">
        <f>'Alternative 3-Tilt Up'!$BV71/1000000</f>
        <v>#VALUE!</v>
      </c>
      <c r="AL71" s="290">
        <f>'[3]Alternative 3'!$B$20/1.67</f>
        <v>149.70059880239521</v>
      </c>
    </row>
    <row r="72" spans="1:38" x14ac:dyDescent="0.25">
      <c r="A72" s="290" t="str">
        <f>'Alternative 1'!F73</f>
        <v>x</v>
      </c>
      <c r="B72" s="290" t="e">
        <f>'Alternative 1-Tilt Up'!T72/1000000</f>
        <v>#VALUE!</v>
      </c>
      <c r="C72" s="290" t="e">
        <f>'Alternative 1-Tilt Up'!$Z72/1000000</f>
        <v>#VALUE!</v>
      </c>
      <c r="D72" s="290" t="e">
        <f>'Alternative 1-Tilt Up'!$AF72/1000000</f>
        <v>#VALUE!</v>
      </c>
      <c r="E72" s="290" t="e">
        <f>'Alternative 1-Tilt Up'!$AL72/1000000</f>
        <v>#VALUE!</v>
      </c>
      <c r="F72" s="290" t="e">
        <f>'Alternative 1-Tilt Up'!$AR72/1000000</f>
        <v>#VALUE!</v>
      </c>
      <c r="G72" s="290" t="e">
        <f>'Alternative 1-Tilt Up'!$AX72/1000000</f>
        <v>#VALUE!</v>
      </c>
      <c r="H72" s="290" t="e">
        <f>'Alternative 1-Tilt Up'!$BD72/1000000</f>
        <v>#VALUE!</v>
      </c>
      <c r="I72" s="290" t="e">
        <f>'Alternative 1-Tilt Up'!$BJ72/1000000</f>
        <v>#VALUE!</v>
      </c>
      <c r="J72" s="290" t="e">
        <f>'Alternative 1-Tilt Up'!$BP72/1000000</f>
        <v>#VALUE!</v>
      </c>
      <c r="K72" s="290" t="e">
        <f>'Alternative 1-Tilt Up'!$BV72/1000000</f>
        <v>#VALUE!</v>
      </c>
      <c r="L72" s="290">
        <f>'[3]Alternative 1'!$B$20/1.67</f>
        <v>149.70059880239521</v>
      </c>
      <c r="N72" s="290" t="str">
        <f>'Alternative 2'!F73</f>
        <v>x</v>
      </c>
      <c r="O72" s="290" t="e">
        <f>'Alternative 2-Tilt Up'!$T72/1000000</f>
        <v>#VALUE!</v>
      </c>
      <c r="P72" s="290" t="e">
        <f>'Alternative 2-Tilt Up'!$Z72/1000000</f>
        <v>#VALUE!</v>
      </c>
      <c r="Q72" s="290" t="e">
        <f>'Alternative 2-Tilt Up'!$AF72/1000000</f>
        <v>#VALUE!</v>
      </c>
      <c r="R72" s="290" t="e">
        <f>'Alternative 2-Tilt Up'!$AL72/1000000</f>
        <v>#VALUE!</v>
      </c>
      <c r="S72" s="290" t="e">
        <f>'Alternative 2-Tilt Up'!$AR72/1000000</f>
        <v>#VALUE!</v>
      </c>
      <c r="T72" s="290" t="e">
        <f>'Alternative 2-Tilt Up'!$AX72/1000000</f>
        <v>#VALUE!</v>
      </c>
      <c r="U72" s="290" t="e">
        <f>'Alternative 2-Tilt Up'!$BD72/1000000</f>
        <v>#VALUE!</v>
      </c>
      <c r="V72" s="290" t="e">
        <f>'Alternative 2-Tilt Up'!$BJ72/1000000</f>
        <v>#VALUE!</v>
      </c>
      <c r="W72" s="290" t="e">
        <f>'Alternative 2-Tilt Up'!$BP72/1000000</f>
        <v>#VALUE!</v>
      </c>
      <c r="X72" s="290" t="e">
        <f>'Alternative 2-Tilt Up'!$BV72/1000000</f>
        <v>#VALUE!</v>
      </c>
      <c r="Y72" s="290">
        <f>'[3]Alternative 2'!$B$20/1.67</f>
        <v>149.70059880239521</v>
      </c>
      <c r="AA72" s="290" t="str">
        <f>'Alternative 3'!F73</f>
        <v>x</v>
      </c>
      <c r="AB72" s="290" t="e">
        <f>'Alternative 3-Tilt Up'!$T72/1000000</f>
        <v>#VALUE!</v>
      </c>
      <c r="AC72" s="290" t="e">
        <f>'Alternative 3-Tilt Up'!$Z72/1000000</f>
        <v>#VALUE!</v>
      </c>
      <c r="AD72" s="290" t="e">
        <f>'Alternative 3-Tilt Up'!$AF72/1000000</f>
        <v>#VALUE!</v>
      </c>
      <c r="AE72" s="290" t="e">
        <f>'Alternative 3-Tilt Up'!$AL72/1000000</f>
        <v>#VALUE!</v>
      </c>
      <c r="AF72" s="290" t="e">
        <f>'Alternative 3-Tilt Up'!$AR72/1000000</f>
        <v>#VALUE!</v>
      </c>
      <c r="AG72" s="290" t="e">
        <f>'Alternative 3-Tilt Up'!$AX72/1000000</f>
        <v>#VALUE!</v>
      </c>
      <c r="AH72" s="290" t="e">
        <f>'Alternative 3-Tilt Up'!$BD72/1000000</f>
        <v>#VALUE!</v>
      </c>
      <c r="AI72" s="290" t="e">
        <f>'Alternative 3-Tilt Up'!$BJ72/1000000</f>
        <v>#VALUE!</v>
      </c>
      <c r="AJ72" s="290" t="e">
        <f>'Alternative 3-Tilt Up'!$BP72/1000000</f>
        <v>#VALUE!</v>
      </c>
      <c r="AK72" s="290" t="e">
        <f>'Alternative 3-Tilt Up'!$BV72/1000000</f>
        <v>#VALUE!</v>
      </c>
      <c r="AL72" s="290">
        <f>'[3]Alternative 3'!$B$20/1.67</f>
        <v>149.70059880239521</v>
      </c>
    </row>
    <row r="73" spans="1:38" x14ac:dyDescent="0.25">
      <c r="A73" s="290" t="str">
        <f>'Alternative 1'!F74</f>
        <v>x</v>
      </c>
      <c r="B73" s="290" t="e">
        <f>'Alternative 1-Tilt Up'!T73/1000000</f>
        <v>#VALUE!</v>
      </c>
      <c r="C73" s="290" t="e">
        <f>'Alternative 1-Tilt Up'!$Z73/1000000</f>
        <v>#VALUE!</v>
      </c>
      <c r="D73" s="290" t="e">
        <f>'Alternative 1-Tilt Up'!$AF73/1000000</f>
        <v>#VALUE!</v>
      </c>
      <c r="E73" s="290" t="e">
        <f>'Alternative 1-Tilt Up'!$AL73/1000000</f>
        <v>#VALUE!</v>
      </c>
      <c r="F73" s="290" t="e">
        <f>'Alternative 1-Tilt Up'!$AR73/1000000</f>
        <v>#VALUE!</v>
      </c>
      <c r="G73" s="290" t="e">
        <f>'Alternative 1-Tilt Up'!$AX73/1000000</f>
        <v>#VALUE!</v>
      </c>
      <c r="H73" s="290" t="e">
        <f>'Alternative 1-Tilt Up'!$BD73/1000000</f>
        <v>#VALUE!</v>
      </c>
      <c r="I73" s="290" t="e">
        <f>'Alternative 1-Tilt Up'!$BJ73/1000000</f>
        <v>#VALUE!</v>
      </c>
      <c r="J73" s="290" t="e">
        <f>'Alternative 1-Tilt Up'!$BP73/1000000</f>
        <v>#VALUE!</v>
      </c>
      <c r="K73" s="290" t="e">
        <f>'Alternative 1-Tilt Up'!$BV73/1000000</f>
        <v>#VALUE!</v>
      </c>
      <c r="L73" s="290">
        <f>'[3]Alternative 1'!$B$20/1.67</f>
        <v>149.70059880239521</v>
      </c>
      <c r="N73" s="290" t="str">
        <f>'Alternative 2'!F74</f>
        <v>x</v>
      </c>
      <c r="O73" s="290" t="e">
        <f>'Alternative 2-Tilt Up'!$T73/1000000</f>
        <v>#VALUE!</v>
      </c>
      <c r="P73" s="290" t="e">
        <f>'Alternative 2-Tilt Up'!$Z73/1000000</f>
        <v>#VALUE!</v>
      </c>
      <c r="Q73" s="290" t="e">
        <f>'Alternative 2-Tilt Up'!$AF73/1000000</f>
        <v>#VALUE!</v>
      </c>
      <c r="R73" s="290" t="e">
        <f>'Alternative 2-Tilt Up'!$AL73/1000000</f>
        <v>#VALUE!</v>
      </c>
      <c r="S73" s="290" t="e">
        <f>'Alternative 2-Tilt Up'!$AR73/1000000</f>
        <v>#VALUE!</v>
      </c>
      <c r="T73" s="290" t="e">
        <f>'Alternative 2-Tilt Up'!$AX73/1000000</f>
        <v>#VALUE!</v>
      </c>
      <c r="U73" s="290" t="e">
        <f>'Alternative 2-Tilt Up'!$BD73/1000000</f>
        <v>#VALUE!</v>
      </c>
      <c r="V73" s="290" t="e">
        <f>'Alternative 2-Tilt Up'!$BJ73/1000000</f>
        <v>#VALUE!</v>
      </c>
      <c r="W73" s="290" t="e">
        <f>'Alternative 2-Tilt Up'!$BP73/1000000</f>
        <v>#VALUE!</v>
      </c>
      <c r="X73" s="290" t="e">
        <f>'Alternative 2-Tilt Up'!$BV73/1000000</f>
        <v>#VALUE!</v>
      </c>
      <c r="Y73" s="290">
        <f>'[3]Alternative 2'!$B$20/1.67</f>
        <v>149.70059880239521</v>
      </c>
      <c r="AA73" s="290" t="str">
        <f>'Alternative 3'!F74</f>
        <v>x</v>
      </c>
      <c r="AB73" s="290" t="e">
        <f>'Alternative 3-Tilt Up'!$T73/1000000</f>
        <v>#VALUE!</v>
      </c>
      <c r="AC73" s="290" t="e">
        <f>'Alternative 3-Tilt Up'!$Z73/1000000</f>
        <v>#VALUE!</v>
      </c>
      <c r="AD73" s="290" t="e">
        <f>'Alternative 3-Tilt Up'!$AF73/1000000</f>
        <v>#VALUE!</v>
      </c>
      <c r="AE73" s="290" t="e">
        <f>'Alternative 3-Tilt Up'!$AL73/1000000</f>
        <v>#VALUE!</v>
      </c>
      <c r="AF73" s="290" t="e">
        <f>'Alternative 3-Tilt Up'!$AR73/1000000</f>
        <v>#VALUE!</v>
      </c>
      <c r="AG73" s="290" t="e">
        <f>'Alternative 3-Tilt Up'!$AX73/1000000</f>
        <v>#VALUE!</v>
      </c>
      <c r="AH73" s="290" t="e">
        <f>'Alternative 3-Tilt Up'!$BD73/1000000</f>
        <v>#VALUE!</v>
      </c>
      <c r="AI73" s="290" t="e">
        <f>'Alternative 3-Tilt Up'!$BJ73/1000000</f>
        <v>#VALUE!</v>
      </c>
      <c r="AJ73" s="290" t="e">
        <f>'Alternative 3-Tilt Up'!$BP73/1000000</f>
        <v>#VALUE!</v>
      </c>
      <c r="AK73" s="290" t="e">
        <f>'Alternative 3-Tilt Up'!$BV73/1000000</f>
        <v>#VALUE!</v>
      </c>
      <c r="AL73" s="290">
        <f>'[3]Alternative 3'!$B$20/1.67</f>
        <v>149.70059880239521</v>
      </c>
    </row>
    <row r="74" spans="1:38" x14ac:dyDescent="0.25">
      <c r="A74" s="290" t="str">
        <f>'Alternative 1'!F75</f>
        <v>x</v>
      </c>
      <c r="B74" s="290" t="e">
        <f>'Alternative 1-Tilt Up'!T74/1000000</f>
        <v>#VALUE!</v>
      </c>
      <c r="C74" s="290" t="e">
        <f>'Alternative 1-Tilt Up'!$Z74/1000000</f>
        <v>#VALUE!</v>
      </c>
      <c r="D74" s="290" t="e">
        <f>'Alternative 1-Tilt Up'!$AF74/1000000</f>
        <v>#VALUE!</v>
      </c>
      <c r="E74" s="290" t="e">
        <f>'Alternative 1-Tilt Up'!$AL74/1000000</f>
        <v>#VALUE!</v>
      </c>
      <c r="F74" s="290" t="e">
        <f>'Alternative 1-Tilt Up'!$AR74/1000000</f>
        <v>#VALUE!</v>
      </c>
      <c r="G74" s="290" t="e">
        <f>'Alternative 1-Tilt Up'!$AX74/1000000</f>
        <v>#VALUE!</v>
      </c>
      <c r="H74" s="290" t="e">
        <f>'Alternative 1-Tilt Up'!$BD74/1000000</f>
        <v>#VALUE!</v>
      </c>
      <c r="I74" s="290" t="e">
        <f>'Alternative 1-Tilt Up'!$BJ74/1000000</f>
        <v>#VALUE!</v>
      </c>
      <c r="J74" s="290" t="e">
        <f>'Alternative 1-Tilt Up'!$BP74/1000000</f>
        <v>#VALUE!</v>
      </c>
      <c r="K74" s="290" t="e">
        <f>'Alternative 1-Tilt Up'!$BV74/1000000</f>
        <v>#VALUE!</v>
      </c>
      <c r="L74" s="290">
        <f>'[3]Alternative 1'!$B$20/1.67</f>
        <v>149.70059880239521</v>
      </c>
      <c r="N74" s="290" t="str">
        <f>'Alternative 2'!F75</f>
        <v>x</v>
      </c>
      <c r="O74" s="290" t="e">
        <f>'Alternative 2-Tilt Up'!$T74/1000000</f>
        <v>#VALUE!</v>
      </c>
      <c r="P74" s="290" t="e">
        <f>'Alternative 2-Tilt Up'!$Z74/1000000</f>
        <v>#VALUE!</v>
      </c>
      <c r="Q74" s="290" t="e">
        <f>'Alternative 2-Tilt Up'!$AF74/1000000</f>
        <v>#VALUE!</v>
      </c>
      <c r="R74" s="290" t="e">
        <f>'Alternative 2-Tilt Up'!$AL74/1000000</f>
        <v>#VALUE!</v>
      </c>
      <c r="S74" s="290" t="e">
        <f>'Alternative 2-Tilt Up'!$AR74/1000000</f>
        <v>#VALUE!</v>
      </c>
      <c r="T74" s="290" t="e">
        <f>'Alternative 2-Tilt Up'!$AX74/1000000</f>
        <v>#VALUE!</v>
      </c>
      <c r="U74" s="290" t="e">
        <f>'Alternative 2-Tilt Up'!$BD74/1000000</f>
        <v>#VALUE!</v>
      </c>
      <c r="V74" s="290" t="e">
        <f>'Alternative 2-Tilt Up'!$BJ74/1000000</f>
        <v>#VALUE!</v>
      </c>
      <c r="W74" s="290" t="e">
        <f>'Alternative 2-Tilt Up'!$BP74/1000000</f>
        <v>#VALUE!</v>
      </c>
      <c r="X74" s="290" t="e">
        <f>'Alternative 2-Tilt Up'!$BV74/1000000</f>
        <v>#VALUE!</v>
      </c>
      <c r="Y74" s="290">
        <f>'[3]Alternative 2'!$B$20/1.67</f>
        <v>149.70059880239521</v>
      </c>
      <c r="AA74" s="290" t="str">
        <f>'Alternative 3'!F75</f>
        <v>x</v>
      </c>
      <c r="AB74" s="290" t="e">
        <f>'Alternative 3-Tilt Up'!$T74/1000000</f>
        <v>#VALUE!</v>
      </c>
      <c r="AC74" s="290" t="e">
        <f>'Alternative 3-Tilt Up'!$Z74/1000000</f>
        <v>#VALUE!</v>
      </c>
      <c r="AD74" s="290" t="e">
        <f>'Alternative 3-Tilt Up'!$AF74/1000000</f>
        <v>#VALUE!</v>
      </c>
      <c r="AE74" s="290" t="e">
        <f>'Alternative 3-Tilt Up'!$AL74/1000000</f>
        <v>#VALUE!</v>
      </c>
      <c r="AF74" s="290" t="e">
        <f>'Alternative 3-Tilt Up'!$AR74/1000000</f>
        <v>#VALUE!</v>
      </c>
      <c r="AG74" s="290" t="e">
        <f>'Alternative 3-Tilt Up'!$AX74/1000000</f>
        <v>#VALUE!</v>
      </c>
      <c r="AH74" s="290" t="e">
        <f>'Alternative 3-Tilt Up'!$BD74/1000000</f>
        <v>#VALUE!</v>
      </c>
      <c r="AI74" s="290" t="e">
        <f>'Alternative 3-Tilt Up'!$BJ74/1000000</f>
        <v>#VALUE!</v>
      </c>
      <c r="AJ74" s="290" t="e">
        <f>'Alternative 3-Tilt Up'!$BP74/1000000</f>
        <v>#VALUE!</v>
      </c>
      <c r="AK74" s="290" t="e">
        <f>'Alternative 3-Tilt Up'!$BV74/1000000</f>
        <v>#VALUE!</v>
      </c>
      <c r="AL74" s="290">
        <f>'[3]Alternative 3'!$B$20/1.67</f>
        <v>149.70059880239521</v>
      </c>
    </row>
    <row r="75" spans="1:38" x14ac:dyDescent="0.25">
      <c r="A75" s="290" t="str">
        <f>'Alternative 1'!F76</f>
        <v>x</v>
      </c>
      <c r="B75" s="290" t="e">
        <f>'Alternative 1-Tilt Up'!T75/1000000</f>
        <v>#VALUE!</v>
      </c>
      <c r="C75" s="290" t="e">
        <f>'Alternative 1-Tilt Up'!$Z75/1000000</f>
        <v>#VALUE!</v>
      </c>
      <c r="D75" s="290" t="e">
        <f>'Alternative 1-Tilt Up'!$AF75/1000000</f>
        <v>#VALUE!</v>
      </c>
      <c r="E75" s="290" t="e">
        <f>'Alternative 1-Tilt Up'!$AL75/1000000</f>
        <v>#VALUE!</v>
      </c>
      <c r="F75" s="290" t="e">
        <f>'Alternative 1-Tilt Up'!$AR75/1000000</f>
        <v>#VALUE!</v>
      </c>
      <c r="G75" s="290" t="e">
        <f>'Alternative 1-Tilt Up'!$AX75/1000000</f>
        <v>#VALUE!</v>
      </c>
      <c r="H75" s="290" t="e">
        <f>'Alternative 1-Tilt Up'!$BD75/1000000</f>
        <v>#VALUE!</v>
      </c>
      <c r="I75" s="290" t="e">
        <f>'Alternative 1-Tilt Up'!$BJ75/1000000</f>
        <v>#VALUE!</v>
      </c>
      <c r="J75" s="290" t="e">
        <f>'Alternative 1-Tilt Up'!$BP75/1000000</f>
        <v>#VALUE!</v>
      </c>
      <c r="K75" s="290" t="e">
        <f>'Alternative 1-Tilt Up'!$BV75/1000000</f>
        <v>#VALUE!</v>
      </c>
      <c r="L75" s="290">
        <f>'[3]Alternative 1'!$B$20/1.67</f>
        <v>149.70059880239521</v>
      </c>
      <c r="N75" s="290" t="str">
        <f>'Alternative 2'!F76</f>
        <v>x</v>
      </c>
      <c r="O75" s="290" t="e">
        <f>'Alternative 2-Tilt Up'!$T75/1000000</f>
        <v>#VALUE!</v>
      </c>
      <c r="P75" s="290" t="e">
        <f>'Alternative 2-Tilt Up'!$Z75/1000000</f>
        <v>#VALUE!</v>
      </c>
      <c r="Q75" s="290" t="e">
        <f>'Alternative 2-Tilt Up'!$AF75/1000000</f>
        <v>#VALUE!</v>
      </c>
      <c r="R75" s="290" t="e">
        <f>'Alternative 2-Tilt Up'!$AL75/1000000</f>
        <v>#VALUE!</v>
      </c>
      <c r="S75" s="290" t="e">
        <f>'Alternative 2-Tilt Up'!$AR75/1000000</f>
        <v>#VALUE!</v>
      </c>
      <c r="T75" s="290" t="e">
        <f>'Alternative 2-Tilt Up'!$AX75/1000000</f>
        <v>#VALUE!</v>
      </c>
      <c r="U75" s="290" t="e">
        <f>'Alternative 2-Tilt Up'!$BD75/1000000</f>
        <v>#VALUE!</v>
      </c>
      <c r="V75" s="290" t="e">
        <f>'Alternative 2-Tilt Up'!$BJ75/1000000</f>
        <v>#VALUE!</v>
      </c>
      <c r="W75" s="290" t="e">
        <f>'Alternative 2-Tilt Up'!$BP75/1000000</f>
        <v>#VALUE!</v>
      </c>
      <c r="X75" s="290" t="e">
        <f>'Alternative 2-Tilt Up'!$BV75/1000000</f>
        <v>#VALUE!</v>
      </c>
      <c r="Y75" s="290">
        <f>'[3]Alternative 2'!$B$20/1.67</f>
        <v>149.70059880239521</v>
      </c>
      <c r="AA75" s="290" t="str">
        <f>'Alternative 3'!F76</f>
        <v>x</v>
      </c>
      <c r="AB75" s="290" t="e">
        <f>'Alternative 3-Tilt Up'!$T75/1000000</f>
        <v>#VALUE!</v>
      </c>
      <c r="AC75" s="290" t="e">
        <f>'Alternative 3-Tilt Up'!$Z75/1000000</f>
        <v>#VALUE!</v>
      </c>
      <c r="AD75" s="290" t="e">
        <f>'Alternative 3-Tilt Up'!$AF75/1000000</f>
        <v>#VALUE!</v>
      </c>
      <c r="AE75" s="290" t="e">
        <f>'Alternative 3-Tilt Up'!$AL75/1000000</f>
        <v>#VALUE!</v>
      </c>
      <c r="AF75" s="290" t="e">
        <f>'Alternative 3-Tilt Up'!$AR75/1000000</f>
        <v>#VALUE!</v>
      </c>
      <c r="AG75" s="290" t="e">
        <f>'Alternative 3-Tilt Up'!$AX75/1000000</f>
        <v>#VALUE!</v>
      </c>
      <c r="AH75" s="290" t="e">
        <f>'Alternative 3-Tilt Up'!$BD75/1000000</f>
        <v>#VALUE!</v>
      </c>
      <c r="AI75" s="290" t="e">
        <f>'Alternative 3-Tilt Up'!$BJ75/1000000</f>
        <v>#VALUE!</v>
      </c>
      <c r="AJ75" s="290" t="e">
        <f>'Alternative 3-Tilt Up'!$BP75/1000000</f>
        <v>#VALUE!</v>
      </c>
      <c r="AK75" s="290" t="e">
        <f>'Alternative 3-Tilt Up'!$BV75/1000000</f>
        <v>#VALUE!</v>
      </c>
      <c r="AL75" s="290">
        <f>'[3]Alternative 3'!$B$20/1.67</f>
        <v>149.70059880239521</v>
      </c>
    </row>
    <row r="76" spans="1:38" x14ac:dyDescent="0.25">
      <c r="A76" s="290" t="str">
        <f>'Alternative 1'!F77</f>
        <v>x</v>
      </c>
      <c r="B76" s="290" t="e">
        <f>'Alternative 1-Tilt Up'!T76/1000000</f>
        <v>#VALUE!</v>
      </c>
      <c r="C76" s="290" t="e">
        <f>'Alternative 1-Tilt Up'!$Z76/1000000</f>
        <v>#VALUE!</v>
      </c>
      <c r="D76" s="290" t="e">
        <f>'Alternative 1-Tilt Up'!$AF76/1000000</f>
        <v>#VALUE!</v>
      </c>
      <c r="E76" s="290" t="e">
        <f>'Alternative 1-Tilt Up'!$AL76/1000000</f>
        <v>#VALUE!</v>
      </c>
      <c r="F76" s="290" t="e">
        <f>'Alternative 1-Tilt Up'!$AR76/1000000</f>
        <v>#VALUE!</v>
      </c>
      <c r="G76" s="290" t="e">
        <f>'Alternative 1-Tilt Up'!$AX76/1000000</f>
        <v>#VALUE!</v>
      </c>
      <c r="H76" s="290" t="e">
        <f>'Alternative 1-Tilt Up'!$BD76/1000000</f>
        <v>#VALUE!</v>
      </c>
      <c r="I76" s="290" t="e">
        <f>'Alternative 1-Tilt Up'!$BJ76/1000000</f>
        <v>#VALUE!</v>
      </c>
      <c r="J76" s="290" t="e">
        <f>'Alternative 1-Tilt Up'!$BP76/1000000</f>
        <v>#VALUE!</v>
      </c>
      <c r="K76" s="290" t="e">
        <f>'Alternative 1-Tilt Up'!$BV76/1000000</f>
        <v>#VALUE!</v>
      </c>
      <c r="L76" s="290">
        <f>'[3]Alternative 1'!$B$20/1.67</f>
        <v>149.70059880239521</v>
      </c>
      <c r="N76" s="290" t="str">
        <f>'Alternative 2'!F77</f>
        <v>x</v>
      </c>
      <c r="O76" s="290" t="e">
        <f>'Alternative 2-Tilt Up'!$T76/1000000</f>
        <v>#VALUE!</v>
      </c>
      <c r="P76" s="290" t="e">
        <f>'Alternative 2-Tilt Up'!$Z76/1000000</f>
        <v>#VALUE!</v>
      </c>
      <c r="Q76" s="290" t="e">
        <f>'Alternative 2-Tilt Up'!$AF76/1000000</f>
        <v>#VALUE!</v>
      </c>
      <c r="R76" s="290" t="e">
        <f>'Alternative 2-Tilt Up'!$AL76/1000000</f>
        <v>#VALUE!</v>
      </c>
      <c r="S76" s="290" t="e">
        <f>'Alternative 2-Tilt Up'!$AR76/1000000</f>
        <v>#VALUE!</v>
      </c>
      <c r="T76" s="290" t="e">
        <f>'Alternative 2-Tilt Up'!$AX76/1000000</f>
        <v>#VALUE!</v>
      </c>
      <c r="U76" s="290" t="e">
        <f>'Alternative 2-Tilt Up'!$BD76/1000000</f>
        <v>#VALUE!</v>
      </c>
      <c r="V76" s="290" t="e">
        <f>'Alternative 2-Tilt Up'!$BJ76/1000000</f>
        <v>#VALUE!</v>
      </c>
      <c r="W76" s="290" t="e">
        <f>'Alternative 2-Tilt Up'!$BP76/1000000</f>
        <v>#VALUE!</v>
      </c>
      <c r="X76" s="290" t="e">
        <f>'Alternative 2-Tilt Up'!$BV76/1000000</f>
        <v>#VALUE!</v>
      </c>
      <c r="Y76" s="290">
        <f>'[3]Alternative 2'!$B$20/1.67</f>
        <v>149.70059880239521</v>
      </c>
      <c r="AA76" s="290" t="str">
        <f>'Alternative 3'!F77</f>
        <v>x</v>
      </c>
      <c r="AB76" s="290" t="e">
        <f>'Alternative 3-Tilt Up'!$T76/1000000</f>
        <v>#VALUE!</v>
      </c>
      <c r="AC76" s="290" t="e">
        <f>'Alternative 3-Tilt Up'!$Z76/1000000</f>
        <v>#VALUE!</v>
      </c>
      <c r="AD76" s="290" t="e">
        <f>'Alternative 3-Tilt Up'!$AF76/1000000</f>
        <v>#VALUE!</v>
      </c>
      <c r="AE76" s="290" t="e">
        <f>'Alternative 3-Tilt Up'!$AL76/1000000</f>
        <v>#VALUE!</v>
      </c>
      <c r="AF76" s="290" t="e">
        <f>'Alternative 3-Tilt Up'!$AR76/1000000</f>
        <v>#VALUE!</v>
      </c>
      <c r="AG76" s="290" t="e">
        <f>'Alternative 3-Tilt Up'!$AX76/1000000</f>
        <v>#VALUE!</v>
      </c>
      <c r="AH76" s="290" t="e">
        <f>'Alternative 3-Tilt Up'!$BD76/1000000</f>
        <v>#VALUE!</v>
      </c>
      <c r="AI76" s="290" t="e">
        <f>'Alternative 3-Tilt Up'!$BJ76/1000000</f>
        <v>#VALUE!</v>
      </c>
      <c r="AJ76" s="290" t="e">
        <f>'Alternative 3-Tilt Up'!$BP76/1000000</f>
        <v>#VALUE!</v>
      </c>
      <c r="AK76" s="290" t="e">
        <f>'Alternative 3-Tilt Up'!$BV76/1000000</f>
        <v>#VALUE!</v>
      </c>
      <c r="AL76" s="290">
        <f>'[3]Alternative 3'!$B$20/1.67</f>
        <v>149.70059880239521</v>
      </c>
    </row>
    <row r="77" spans="1:38" x14ac:dyDescent="0.25">
      <c r="A77" s="290" t="str">
        <f>'Alternative 1'!F78</f>
        <v>x</v>
      </c>
      <c r="B77" s="290" t="e">
        <f>'Alternative 1-Tilt Up'!T77/1000000</f>
        <v>#VALUE!</v>
      </c>
      <c r="C77" s="290" t="e">
        <f>'Alternative 1-Tilt Up'!$Z77/1000000</f>
        <v>#VALUE!</v>
      </c>
      <c r="D77" s="290" t="e">
        <f>'Alternative 1-Tilt Up'!$AF77/1000000</f>
        <v>#VALUE!</v>
      </c>
      <c r="E77" s="290" t="e">
        <f>'Alternative 1-Tilt Up'!$AL77/1000000</f>
        <v>#VALUE!</v>
      </c>
      <c r="F77" s="290" t="e">
        <f>'Alternative 1-Tilt Up'!$AR77/1000000</f>
        <v>#VALUE!</v>
      </c>
      <c r="G77" s="290" t="e">
        <f>'Alternative 1-Tilt Up'!$AX77/1000000</f>
        <v>#VALUE!</v>
      </c>
      <c r="H77" s="290" t="e">
        <f>'Alternative 1-Tilt Up'!$BD77/1000000</f>
        <v>#VALUE!</v>
      </c>
      <c r="I77" s="290" t="e">
        <f>'Alternative 1-Tilt Up'!$BJ77/1000000</f>
        <v>#VALUE!</v>
      </c>
      <c r="J77" s="290" t="e">
        <f>'Alternative 1-Tilt Up'!$BP77/1000000</f>
        <v>#VALUE!</v>
      </c>
      <c r="K77" s="290" t="e">
        <f>'Alternative 1-Tilt Up'!$BV77/1000000</f>
        <v>#VALUE!</v>
      </c>
      <c r="L77" s="290">
        <f>'[3]Alternative 1'!$B$20/1.67</f>
        <v>149.70059880239521</v>
      </c>
      <c r="N77" s="290" t="str">
        <f>'Alternative 2'!F78</f>
        <v>x</v>
      </c>
      <c r="O77" s="290" t="e">
        <f>'Alternative 2-Tilt Up'!$T77/1000000</f>
        <v>#VALUE!</v>
      </c>
      <c r="P77" s="290" t="e">
        <f>'Alternative 2-Tilt Up'!$Z77/1000000</f>
        <v>#VALUE!</v>
      </c>
      <c r="Q77" s="290" t="e">
        <f>'Alternative 2-Tilt Up'!$AF77/1000000</f>
        <v>#VALUE!</v>
      </c>
      <c r="R77" s="290" t="e">
        <f>'Alternative 2-Tilt Up'!$AL77/1000000</f>
        <v>#VALUE!</v>
      </c>
      <c r="S77" s="290" t="e">
        <f>'Alternative 2-Tilt Up'!$AR77/1000000</f>
        <v>#VALUE!</v>
      </c>
      <c r="T77" s="290" t="e">
        <f>'Alternative 2-Tilt Up'!$AX77/1000000</f>
        <v>#VALUE!</v>
      </c>
      <c r="U77" s="290" t="e">
        <f>'Alternative 2-Tilt Up'!$BD77/1000000</f>
        <v>#VALUE!</v>
      </c>
      <c r="V77" s="290" t="e">
        <f>'Alternative 2-Tilt Up'!$BJ77/1000000</f>
        <v>#VALUE!</v>
      </c>
      <c r="W77" s="290" t="e">
        <f>'Alternative 2-Tilt Up'!$BP77/1000000</f>
        <v>#VALUE!</v>
      </c>
      <c r="X77" s="290" t="e">
        <f>'Alternative 2-Tilt Up'!$BV77/1000000</f>
        <v>#VALUE!</v>
      </c>
      <c r="Y77" s="290">
        <f>'[3]Alternative 2'!$B$20/1.67</f>
        <v>149.70059880239521</v>
      </c>
      <c r="AA77" s="290" t="str">
        <f>'Alternative 3'!F78</f>
        <v>x</v>
      </c>
      <c r="AB77" s="290" t="e">
        <f>'Alternative 3-Tilt Up'!$T77/1000000</f>
        <v>#VALUE!</v>
      </c>
      <c r="AC77" s="290" t="e">
        <f>'Alternative 3-Tilt Up'!$Z77/1000000</f>
        <v>#VALUE!</v>
      </c>
      <c r="AD77" s="290" t="e">
        <f>'Alternative 3-Tilt Up'!$AF77/1000000</f>
        <v>#VALUE!</v>
      </c>
      <c r="AE77" s="290" t="e">
        <f>'Alternative 3-Tilt Up'!$AL77/1000000</f>
        <v>#VALUE!</v>
      </c>
      <c r="AF77" s="290" t="e">
        <f>'Alternative 3-Tilt Up'!$AR77/1000000</f>
        <v>#VALUE!</v>
      </c>
      <c r="AG77" s="290" t="e">
        <f>'Alternative 3-Tilt Up'!$AX77/1000000</f>
        <v>#VALUE!</v>
      </c>
      <c r="AH77" s="290" t="e">
        <f>'Alternative 3-Tilt Up'!$BD77/1000000</f>
        <v>#VALUE!</v>
      </c>
      <c r="AI77" s="290" t="e">
        <f>'Alternative 3-Tilt Up'!$BJ77/1000000</f>
        <v>#VALUE!</v>
      </c>
      <c r="AJ77" s="290" t="e">
        <f>'Alternative 3-Tilt Up'!$BP77/1000000</f>
        <v>#VALUE!</v>
      </c>
      <c r="AK77" s="290" t="e">
        <f>'Alternative 3-Tilt Up'!$BV77/1000000</f>
        <v>#VALUE!</v>
      </c>
      <c r="AL77" s="290">
        <f>'[3]Alternative 3'!$B$20/1.67</f>
        <v>149.70059880239521</v>
      </c>
    </row>
    <row r="78" spans="1:38" x14ac:dyDescent="0.25">
      <c r="A78" s="290" t="str">
        <f>'Alternative 1'!F79</f>
        <v>x</v>
      </c>
      <c r="B78" s="290" t="e">
        <f>'Alternative 1-Tilt Up'!T78/1000000</f>
        <v>#VALUE!</v>
      </c>
      <c r="C78" s="290" t="e">
        <f>'Alternative 1-Tilt Up'!$Z78/1000000</f>
        <v>#VALUE!</v>
      </c>
      <c r="D78" s="290" t="e">
        <f>'Alternative 1-Tilt Up'!$AF78/1000000</f>
        <v>#VALUE!</v>
      </c>
      <c r="E78" s="290" t="e">
        <f>'Alternative 1-Tilt Up'!$AL78/1000000</f>
        <v>#VALUE!</v>
      </c>
      <c r="F78" s="290" t="e">
        <f>'Alternative 1-Tilt Up'!$AR78/1000000</f>
        <v>#VALUE!</v>
      </c>
      <c r="G78" s="290" t="e">
        <f>'Alternative 1-Tilt Up'!$AX78/1000000</f>
        <v>#VALUE!</v>
      </c>
      <c r="H78" s="290" t="e">
        <f>'Alternative 1-Tilt Up'!$BD78/1000000</f>
        <v>#VALUE!</v>
      </c>
      <c r="I78" s="290" t="e">
        <f>'Alternative 1-Tilt Up'!$BJ78/1000000</f>
        <v>#VALUE!</v>
      </c>
      <c r="J78" s="290" t="e">
        <f>'Alternative 1-Tilt Up'!$BP78/1000000</f>
        <v>#VALUE!</v>
      </c>
      <c r="K78" s="290" t="e">
        <f>'Alternative 1-Tilt Up'!$BV78/1000000</f>
        <v>#VALUE!</v>
      </c>
      <c r="L78" s="290">
        <f>'[3]Alternative 1'!$B$20/1.67</f>
        <v>149.70059880239521</v>
      </c>
      <c r="N78" s="290" t="str">
        <f>'Alternative 2'!F79</f>
        <v>x</v>
      </c>
      <c r="O78" s="290" t="e">
        <f>'Alternative 2-Tilt Up'!$T78/1000000</f>
        <v>#VALUE!</v>
      </c>
      <c r="P78" s="290" t="e">
        <f>'Alternative 2-Tilt Up'!$Z78/1000000</f>
        <v>#VALUE!</v>
      </c>
      <c r="Q78" s="290" t="e">
        <f>'Alternative 2-Tilt Up'!$AF78/1000000</f>
        <v>#VALUE!</v>
      </c>
      <c r="R78" s="290" t="e">
        <f>'Alternative 2-Tilt Up'!$AL78/1000000</f>
        <v>#VALUE!</v>
      </c>
      <c r="S78" s="290" t="e">
        <f>'Alternative 2-Tilt Up'!$AR78/1000000</f>
        <v>#VALUE!</v>
      </c>
      <c r="T78" s="290" t="e">
        <f>'Alternative 2-Tilt Up'!$AX78/1000000</f>
        <v>#VALUE!</v>
      </c>
      <c r="U78" s="290" t="e">
        <f>'Alternative 2-Tilt Up'!$BD78/1000000</f>
        <v>#VALUE!</v>
      </c>
      <c r="V78" s="290" t="e">
        <f>'Alternative 2-Tilt Up'!$BJ78/1000000</f>
        <v>#VALUE!</v>
      </c>
      <c r="W78" s="290" t="e">
        <f>'Alternative 2-Tilt Up'!$BP78/1000000</f>
        <v>#VALUE!</v>
      </c>
      <c r="X78" s="290" t="e">
        <f>'Alternative 2-Tilt Up'!$BV78/1000000</f>
        <v>#VALUE!</v>
      </c>
      <c r="Y78" s="290">
        <f>'[3]Alternative 2'!$B$20/1.67</f>
        <v>149.70059880239521</v>
      </c>
      <c r="AA78" s="290" t="str">
        <f>'Alternative 3'!F79</f>
        <v>x</v>
      </c>
      <c r="AB78" s="290" t="e">
        <f>'Alternative 3-Tilt Up'!$T78/1000000</f>
        <v>#VALUE!</v>
      </c>
      <c r="AC78" s="290" t="e">
        <f>'Alternative 3-Tilt Up'!$Z78/1000000</f>
        <v>#VALUE!</v>
      </c>
      <c r="AD78" s="290" t="e">
        <f>'Alternative 3-Tilt Up'!$AF78/1000000</f>
        <v>#VALUE!</v>
      </c>
      <c r="AE78" s="290" t="e">
        <f>'Alternative 3-Tilt Up'!$AL78/1000000</f>
        <v>#VALUE!</v>
      </c>
      <c r="AF78" s="290" t="e">
        <f>'Alternative 3-Tilt Up'!$AR78/1000000</f>
        <v>#VALUE!</v>
      </c>
      <c r="AG78" s="290" t="e">
        <f>'Alternative 3-Tilt Up'!$AX78/1000000</f>
        <v>#VALUE!</v>
      </c>
      <c r="AH78" s="290" t="e">
        <f>'Alternative 3-Tilt Up'!$BD78/1000000</f>
        <v>#VALUE!</v>
      </c>
      <c r="AI78" s="290" t="e">
        <f>'Alternative 3-Tilt Up'!$BJ78/1000000</f>
        <v>#VALUE!</v>
      </c>
      <c r="AJ78" s="290" t="e">
        <f>'Alternative 3-Tilt Up'!$BP78/1000000</f>
        <v>#VALUE!</v>
      </c>
      <c r="AK78" s="290" t="e">
        <f>'Alternative 3-Tilt Up'!$BV78/1000000</f>
        <v>#VALUE!</v>
      </c>
      <c r="AL78" s="290">
        <f>'[3]Alternative 3'!$B$20/1.67</f>
        <v>149.70059880239521</v>
      </c>
    </row>
    <row r="79" spans="1:38" x14ac:dyDescent="0.25">
      <c r="A79" s="290" t="str">
        <f>'Alternative 1'!F80</f>
        <v>x</v>
      </c>
      <c r="B79" s="290" t="e">
        <f>'Alternative 1-Tilt Up'!T79/1000000</f>
        <v>#VALUE!</v>
      </c>
      <c r="C79" s="290" t="e">
        <f>'Alternative 1-Tilt Up'!$Z79/1000000</f>
        <v>#VALUE!</v>
      </c>
      <c r="D79" s="290" t="e">
        <f>'Alternative 1-Tilt Up'!$AF79/1000000</f>
        <v>#VALUE!</v>
      </c>
      <c r="E79" s="290" t="e">
        <f>'Alternative 1-Tilt Up'!$AL79/1000000</f>
        <v>#VALUE!</v>
      </c>
      <c r="F79" s="290" t="e">
        <f>'Alternative 1-Tilt Up'!$AR79/1000000</f>
        <v>#VALUE!</v>
      </c>
      <c r="G79" s="290" t="e">
        <f>'Alternative 1-Tilt Up'!$AX79/1000000</f>
        <v>#VALUE!</v>
      </c>
      <c r="H79" s="290" t="e">
        <f>'Alternative 1-Tilt Up'!$BD79/1000000</f>
        <v>#VALUE!</v>
      </c>
      <c r="I79" s="290" t="e">
        <f>'Alternative 1-Tilt Up'!$BJ79/1000000</f>
        <v>#VALUE!</v>
      </c>
      <c r="J79" s="290" t="e">
        <f>'Alternative 1-Tilt Up'!$BP79/1000000</f>
        <v>#VALUE!</v>
      </c>
      <c r="K79" s="290" t="e">
        <f>'Alternative 1-Tilt Up'!$BV79/1000000</f>
        <v>#VALUE!</v>
      </c>
      <c r="L79" s="290">
        <f>'[3]Alternative 1'!$B$20/1.67</f>
        <v>149.70059880239521</v>
      </c>
      <c r="N79" s="290" t="str">
        <f>'Alternative 2'!F80</f>
        <v>x</v>
      </c>
      <c r="O79" s="290" t="e">
        <f>'Alternative 2-Tilt Up'!$T79/1000000</f>
        <v>#VALUE!</v>
      </c>
      <c r="P79" s="290" t="e">
        <f>'Alternative 2-Tilt Up'!$Z79/1000000</f>
        <v>#VALUE!</v>
      </c>
      <c r="Q79" s="290" t="e">
        <f>'Alternative 2-Tilt Up'!$AF79/1000000</f>
        <v>#VALUE!</v>
      </c>
      <c r="R79" s="290" t="e">
        <f>'Alternative 2-Tilt Up'!$AL79/1000000</f>
        <v>#VALUE!</v>
      </c>
      <c r="S79" s="290" t="e">
        <f>'Alternative 2-Tilt Up'!$AR79/1000000</f>
        <v>#VALUE!</v>
      </c>
      <c r="T79" s="290" t="e">
        <f>'Alternative 2-Tilt Up'!$AX79/1000000</f>
        <v>#VALUE!</v>
      </c>
      <c r="U79" s="290" t="e">
        <f>'Alternative 2-Tilt Up'!$BD79/1000000</f>
        <v>#VALUE!</v>
      </c>
      <c r="V79" s="290" t="e">
        <f>'Alternative 2-Tilt Up'!$BJ79/1000000</f>
        <v>#VALUE!</v>
      </c>
      <c r="W79" s="290" t="e">
        <f>'Alternative 2-Tilt Up'!$BP79/1000000</f>
        <v>#VALUE!</v>
      </c>
      <c r="X79" s="290" t="e">
        <f>'Alternative 2-Tilt Up'!$BV79/1000000</f>
        <v>#VALUE!</v>
      </c>
      <c r="Y79" s="290">
        <f>'[3]Alternative 2'!$B$20/1.67</f>
        <v>149.70059880239521</v>
      </c>
      <c r="AA79" s="290" t="str">
        <f>'Alternative 3'!F80</f>
        <v>x</v>
      </c>
      <c r="AB79" s="290" t="e">
        <f>'Alternative 3-Tilt Up'!$T79/1000000</f>
        <v>#VALUE!</v>
      </c>
      <c r="AC79" s="290" t="e">
        <f>'Alternative 3-Tilt Up'!$Z79/1000000</f>
        <v>#VALUE!</v>
      </c>
      <c r="AD79" s="290" t="e">
        <f>'Alternative 3-Tilt Up'!$AF79/1000000</f>
        <v>#VALUE!</v>
      </c>
      <c r="AE79" s="290" t="e">
        <f>'Alternative 3-Tilt Up'!$AL79/1000000</f>
        <v>#VALUE!</v>
      </c>
      <c r="AF79" s="290" t="e">
        <f>'Alternative 3-Tilt Up'!$AR79/1000000</f>
        <v>#VALUE!</v>
      </c>
      <c r="AG79" s="290" t="e">
        <f>'Alternative 3-Tilt Up'!$AX79/1000000</f>
        <v>#VALUE!</v>
      </c>
      <c r="AH79" s="290" t="e">
        <f>'Alternative 3-Tilt Up'!$BD79/1000000</f>
        <v>#VALUE!</v>
      </c>
      <c r="AI79" s="290" t="e">
        <f>'Alternative 3-Tilt Up'!$BJ79/1000000</f>
        <v>#VALUE!</v>
      </c>
      <c r="AJ79" s="290" t="e">
        <f>'Alternative 3-Tilt Up'!$BP79/1000000</f>
        <v>#VALUE!</v>
      </c>
      <c r="AK79" s="290" t="e">
        <f>'Alternative 3-Tilt Up'!$BV79/1000000</f>
        <v>#VALUE!</v>
      </c>
      <c r="AL79" s="290">
        <f>'[3]Alternative 3'!$B$20/1.67</f>
        <v>149.70059880239521</v>
      </c>
    </row>
    <row r="80" spans="1:38" x14ac:dyDescent="0.25">
      <c r="A80" s="290" t="str">
        <f>'Alternative 1'!F81</f>
        <v>x</v>
      </c>
      <c r="B80" s="290" t="e">
        <f>'Alternative 1-Tilt Up'!T80/1000000</f>
        <v>#VALUE!</v>
      </c>
      <c r="C80" s="290" t="e">
        <f>'Alternative 1-Tilt Up'!$Z80/1000000</f>
        <v>#VALUE!</v>
      </c>
      <c r="D80" s="290" t="e">
        <f>'Alternative 1-Tilt Up'!$AF80/1000000</f>
        <v>#VALUE!</v>
      </c>
      <c r="E80" s="290" t="e">
        <f>'Alternative 1-Tilt Up'!$AL80/1000000</f>
        <v>#VALUE!</v>
      </c>
      <c r="F80" s="290" t="e">
        <f>'Alternative 1-Tilt Up'!$AR80/1000000</f>
        <v>#VALUE!</v>
      </c>
      <c r="G80" s="290" t="e">
        <f>'Alternative 1-Tilt Up'!$AX80/1000000</f>
        <v>#VALUE!</v>
      </c>
      <c r="H80" s="290" t="e">
        <f>'Alternative 1-Tilt Up'!$BD80/1000000</f>
        <v>#VALUE!</v>
      </c>
      <c r="I80" s="290" t="e">
        <f>'Alternative 1-Tilt Up'!$BJ80/1000000</f>
        <v>#VALUE!</v>
      </c>
      <c r="J80" s="290" t="e">
        <f>'Alternative 1-Tilt Up'!$BP80/1000000</f>
        <v>#VALUE!</v>
      </c>
      <c r="K80" s="290" t="e">
        <f>'Alternative 1-Tilt Up'!$BV80/1000000</f>
        <v>#VALUE!</v>
      </c>
      <c r="L80" s="290">
        <f>'[3]Alternative 1'!$B$20/1.67</f>
        <v>149.70059880239521</v>
      </c>
      <c r="N80" s="290" t="str">
        <f>'Alternative 2'!F81</f>
        <v>x</v>
      </c>
      <c r="O80" s="290" t="e">
        <f>'Alternative 2-Tilt Up'!$T80/1000000</f>
        <v>#VALUE!</v>
      </c>
      <c r="P80" s="290" t="e">
        <f>'Alternative 2-Tilt Up'!$Z80/1000000</f>
        <v>#VALUE!</v>
      </c>
      <c r="Q80" s="290" t="e">
        <f>'Alternative 2-Tilt Up'!$AF80/1000000</f>
        <v>#VALUE!</v>
      </c>
      <c r="R80" s="290" t="e">
        <f>'Alternative 2-Tilt Up'!$AL80/1000000</f>
        <v>#VALUE!</v>
      </c>
      <c r="S80" s="290" t="e">
        <f>'Alternative 2-Tilt Up'!$AR80/1000000</f>
        <v>#VALUE!</v>
      </c>
      <c r="T80" s="290" t="e">
        <f>'Alternative 2-Tilt Up'!$AX80/1000000</f>
        <v>#VALUE!</v>
      </c>
      <c r="U80" s="290" t="e">
        <f>'Alternative 2-Tilt Up'!$BD80/1000000</f>
        <v>#VALUE!</v>
      </c>
      <c r="V80" s="290" t="e">
        <f>'Alternative 2-Tilt Up'!$BJ80/1000000</f>
        <v>#VALUE!</v>
      </c>
      <c r="W80" s="290" t="e">
        <f>'Alternative 2-Tilt Up'!$BP80/1000000</f>
        <v>#VALUE!</v>
      </c>
      <c r="X80" s="290" t="e">
        <f>'Alternative 2-Tilt Up'!$BV80/1000000</f>
        <v>#VALUE!</v>
      </c>
      <c r="Y80" s="290">
        <f>'[3]Alternative 2'!$B$20/1.67</f>
        <v>149.70059880239521</v>
      </c>
      <c r="AA80" s="290" t="str">
        <f>'Alternative 3'!F81</f>
        <v>x</v>
      </c>
      <c r="AB80" s="290" t="e">
        <f>'Alternative 3-Tilt Up'!$T80/1000000</f>
        <v>#VALUE!</v>
      </c>
      <c r="AC80" s="290" t="e">
        <f>'Alternative 3-Tilt Up'!$Z80/1000000</f>
        <v>#VALUE!</v>
      </c>
      <c r="AD80" s="290" t="e">
        <f>'Alternative 3-Tilt Up'!$AF80/1000000</f>
        <v>#VALUE!</v>
      </c>
      <c r="AE80" s="290" t="e">
        <f>'Alternative 3-Tilt Up'!$AL80/1000000</f>
        <v>#VALUE!</v>
      </c>
      <c r="AF80" s="290" t="e">
        <f>'Alternative 3-Tilt Up'!$AR80/1000000</f>
        <v>#VALUE!</v>
      </c>
      <c r="AG80" s="290" t="e">
        <f>'Alternative 3-Tilt Up'!$AX80/1000000</f>
        <v>#VALUE!</v>
      </c>
      <c r="AH80" s="290" t="e">
        <f>'Alternative 3-Tilt Up'!$BD80/1000000</f>
        <v>#VALUE!</v>
      </c>
      <c r="AI80" s="290" t="e">
        <f>'Alternative 3-Tilt Up'!$BJ80/1000000</f>
        <v>#VALUE!</v>
      </c>
      <c r="AJ80" s="290" t="e">
        <f>'Alternative 3-Tilt Up'!$BP80/1000000</f>
        <v>#VALUE!</v>
      </c>
      <c r="AK80" s="290" t="e">
        <f>'Alternative 3-Tilt Up'!$BV80/1000000</f>
        <v>#VALUE!</v>
      </c>
      <c r="AL80" s="290">
        <f>'[3]Alternative 3'!$B$20/1.67</f>
        <v>149.70059880239521</v>
      </c>
    </row>
    <row r="81" spans="1:38" x14ac:dyDescent="0.25">
      <c r="A81" s="290" t="str">
        <f>'Alternative 1'!F82</f>
        <v>x</v>
      </c>
      <c r="B81" s="290" t="e">
        <f>'Alternative 1-Tilt Up'!T81/1000000</f>
        <v>#VALUE!</v>
      </c>
      <c r="C81" s="290" t="e">
        <f>'Alternative 1-Tilt Up'!$Z81/1000000</f>
        <v>#VALUE!</v>
      </c>
      <c r="D81" s="290" t="e">
        <f>'Alternative 1-Tilt Up'!$AF81/1000000</f>
        <v>#VALUE!</v>
      </c>
      <c r="E81" s="290" t="e">
        <f>'Alternative 1-Tilt Up'!$AL81/1000000</f>
        <v>#VALUE!</v>
      </c>
      <c r="F81" s="290" t="e">
        <f>'Alternative 1-Tilt Up'!$AR81/1000000</f>
        <v>#VALUE!</v>
      </c>
      <c r="G81" s="290" t="e">
        <f>'Alternative 1-Tilt Up'!$AX81/1000000</f>
        <v>#VALUE!</v>
      </c>
      <c r="H81" s="290" t="e">
        <f>'Alternative 1-Tilt Up'!$BD81/1000000</f>
        <v>#VALUE!</v>
      </c>
      <c r="I81" s="290" t="e">
        <f>'Alternative 1-Tilt Up'!$BJ81/1000000</f>
        <v>#VALUE!</v>
      </c>
      <c r="J81" s="290" t="e">
        <f>'Alternative 1-Tilt Up'!$BP81/1000000</f>
        <v>#VALUE!</v>
      </c>
      <c r="K81" s="290" t="e">
        <f>'Alternative 1-Tilt Up'!$BV81/1000000</f>
        <v>#VALUE!</v>
      </c>
      <c r="L81" s="290">
        <f>'[3]Alternative 1'!$B$20/1.67</f>
        <v>149.70059880239521</v>
      </c>
      <c r="N81" s="290" t="str">
        <f>'Alternative 2'!F82</f>
        <v>x</v>
      </c>
      <c r="O81" s="290" t="e">
        <f>'Alternative 2-Tilt Up'!$T81/1000000</f>
        <v>#VALUE!</v>
      </c>
      <c r="P81" s="290" t="e">
        <f>'Alternative 2-Tilt Up'!$Z81/1000000</f>
        <v>#VALUE!</v>
      </c>
      <c r="Q81" s="290" t="e">
        <f>'Alternative 2-Tilt Up'!$AF81/1000000</f>
        <v>#VALUE!</v>
      </c>
      <c r="R81" s="290" t="e">
        <f>'Alternative 2-Tilt Up'!$AL81/1000000</f>
        <v>#VALUE!</v>
      </c>
      <c r="S81" s="290" t="e">
        <f>'Alternative 2-Tilt Up'!$AR81/1000000</f>
        <v>#VALUE!</v>
      </c>
      <c r="T81" s="290" t="e">
        <f>'Alternative 2-Tilt Up'!$AX81/1000000</f>
        <v>#VALUE!</v>
      </c>
      <c r="U81" s="290" t="e">
        <f>'Alternative 2-Tilt Up'!$BD81/1000000</f>
        <v>#VALUE!</v>
      </c>
      <c r="V81" s="290" t="e">
        <f>'Alternative 2-Tilt Up'!$BJ81/1000000</f>
        <v>#VALUE!</v>
      </c>
      <c r="W81" s="290" t="e">
        <f>'Alternative 2-Tilt Up'!$BP81/1000000</f>
        <v>#VALUE!</v>
      </c>
      <c r="X81" s="290" t="e">
        <f>'Alternative 2-Tilt Up'!$BV81/1000000</f>
        <v>#VALUE!</v>
      </c>
      <c r="Y81" s="290">
        <f>'[3]Alternative 2'!$B$20/1.67</f>
        <v>149.70059880239521</v>
      </c>
      <c r="AA81" s="290" t="str">
        <f>'Alternative 3'!F82</f>
        <v>x</v>
      </c>
      <c r="AB81" s="290" t="e">
        <f>'Alternative 3-Tilt Up'!$T81/1000000</f>
        <v>#VALUE!</v>
      </c>
      <c r="AC81" s="290" t="e">
        <f>'Alternative 3-Tilt Up'!$Z81/1000000</f>
        <v>#VALUE!</v>
      </c>
      <c r="AD81" s="290" t="e">
        <f>'Alternative 3-Tilt Up'!$AF81/1000000</f>
        <v>#VALUE!</v>
      </c>
      <c r="AE81" s="290" t="e">
        <f>'Alternative 3-Tilt Up'!$AL81/1000000</f>
        <v>#VALUE!</v>
      </c>
      <c r="AF81" s="290" t="e">
        <f>'Alternative 3-Tilt Up'!$AR81/1000000</f>
        <v>#VALUE!</v>
      </c>
      <c r="AG81" s="290" t="e">
        <f>'Alternative 3-Tilt Up'!$AX81/1000000</f>
        <v>#VALUE!</v>
      </c>
      <c r="AH81" s="290" t="e">
        <f>'Alternative 3-Tilt Up'!$BD81/1000000</f>
        <v>#VALUE!</v>
      </c>
      <c r="AI81" s="290" t="e">
        <f>'Alternative 3-Tilt Up'!$BJ81/1000000</f>
        <v>#VALUE!</v>
      </c>
      <c r="AJ81" s="290" t="e">
        <f>'Alternative 3-Tilt Up'!$BP81/1000000</f>
        <v>#VALUE!</v>
      </c>
      <c r="AK81" s="290" t="e">
        <f>'Alternative 3-Tilt Up'!$BV81/1000000</f>
        <v>#VALUE!</v>
      </c>
      <c r="AL81" s="290">
        <f>'[3]Alternative 3'!$B$20/1.67</f>
        <v>149.70059880239521</v>
      </c>
    </row>
    <row r="82" spans="1:38" x14ac:dyDescent="0.25">
      <c r="A82" s="290" t="str">
        <f>'Alternative 1'!F83</f>
        <v>x</v>
      </c>
      <c r="B82" s="290" t="e">
        <f>'Alternative 1-Tilt Up'!T82/1000000</f>
        <v>#VALUE!</v>
      </c>
      <c r="C82" s="290" t="e">
        <f>'Alternative 1-Tilt Up'!$Z82/1000000</f>
        <v>#VALUE!</v>
      </c>
      <c r="D82" s="290" t="e">
        <f>'Alternative 1-Tilt Up'!$AF82/1000000</f>
        <v>#VALUE!</v>
      </c>
      <c r="E82" s="290" t="e">
        <f>'Alternative 1-Tilt Up'!$AL82/1000000</f>
        <v>#VALUE!</v>
      </c>
      <c r="F82" s="290" t="e">
        <f>'Alternative 1-Tilt Up'!$AR82/1000000</f>
        <v>#VALUE!</v>
      </c>
      <c r="G82" s="290" t="e">
        <f>'Alternative 1-Tilt Up'!$AX82/1000000</f>
        <v>#VALUE!</v>
      </c>
      <c r="H82" s="290" t="e">
        <f>'Alternative 1-Tilt Up'!$BD82/1000000</f>
        <v>#VALUE!</v>
      </c>
      <c r="I82" s="290" t="e">
        <f>'Alternative 1-Tilt Up'!$BJ82/1000000</f>
        <v>#VALUE!</v>
      </c>
      <c r="J82" s="290" t="e">
        <f>'Alternative 1-Tilt Up'!$BP82/1000000</f>
        <v>#VALUE!</v>
      </c>
      <c r="K82" s="290" t="e">
        <f>'Alternative 1-Tilt Up'!$BV82/1000000</f>
        <v>#VALUE!</v>
      </c>
      <c r="L82" s="290">
        <f>'[3]Alternative 1'!$B$20/1.67</f>
        <v>149.70059880239521</v>
      </c>
      <c r="N82" s="290" t="str">
        <f>'Alternative 2'!F83</f>
        <v>x</v>
      </c>
      <c r="O82" s="290" t="e">
        <f>'Alternative 2-Tilt Up'!$T82/1000000</f>
        <v>#VALUE!</v>
      </c>
      <c r="P82" s="290" t="e">
        <f>'Alternative 2-Tilt Up'!$Z82/1000000</f>
        <v>#VALUE!</v>
      </c>
      <c r="Q82" s="290" t="e">
        <f>'Alternative 2-Tilt Up'!$AF82/1000000</f>
        <v>#VALUE!</v>
      </c>
      <c r="R82" s="290" t="e">
        <f>'Alternative 2-Tilt Up'!$AL82/1000000</f>
        <v>#VALUE!</v>
      </c>
      <c r="S82" s="290" t="e">
        <f>'Alternative 2-Tilt Up'!$AR82/1000000</f>
        <v>#VALUE!</v>
      </c>
      <c r="T82" s="290" t="e">
        <f>'Alternative 2-Tilt Up'!$AX82/1000000</f>
        <v>#VALUE!</v>
      </c>
      <c r="U82" s="290" t="e">
        <f>'Alternative 2-Tilt Up'!$BD82/1000000</f>
        <v>#VALUE!</v>
      </c>
      <c r="V82" s="290" t="e">
        <f>'Alternative 2-Tilt Up'!$BJ82/1000000</f>
        <v>#VALUE!</v>
      </c>
      <c r="W82" s="290" t="e">
        <f>'Alternative 2-Tilt Up'!$BP82/1000000</f>
        <v>#VALUE!</v>
      </c>
      <c r="X82" s="290" t="e">
        <f>'Alternative 2-Tilt Up'!$BV82/1000000</f>
        <v>#VALUE!</v>
      </c>
      <c r="Y82" s="290">
        <f>'[3]Alternative 2'!$B$20/1.67</f>
        <v>149.70059880239521</v>
      </c>
      <c r="AA82" s="290" t="str">
        <f>'Alternative 3'!F83</f>
        <v>x</v>
      </c>
      <c r="AB82" s="290" t="e">
        <f>'Alternative 3-Tilt Up'!$T82/1000000</f>
        <v>#VALUE!</v>
      </c>
      <c r="AC82" s="290" t="e">
        <f>'Alternative 3-Tilt Up'!$Z82/1000000</f>
        <v>#VALUE!</v>
      </c>
      <c r="AD82" s="290" t="e">
        <f>'Alternative 3-Tilt Up'!$AF82/1000000</f>
        <v>#VALUE!</v>
      </c>
      <c r="AE82" s="290" t="e">
        <f>'Alternative 3-Tilt Up'!$AL82/1000000</f>
        <v>#VALUE!</v>
      </c>
      <c r="AF82" s="290" t="e">
        <f>'Alternative 3-Tilt Up'!$AR82/1000000</f>
        <v>#VALUE!</v>
      </c>
      <c r="AG82" s="290" t="e">
        <f>'Alternative 3-Tilt Up'!$AX82/1000000</f>
        <v>#VALUE!</v>
      </c>
      <c r="AH82" s="290" t="e">
        <f>'Alternative 3-Tilt Up'!$BD82/1000000</f>
        <v>#VALUE!</v>
      </c>
      <c r="AI82" s="290" t="e">
        <f>'Alternative 3-Tilt Up'!$BJ82/1000000</f>
        <v>#VALUE!</v>
      </c>
      <c r="AJ82" s="290" t="e">
        <f>'Alternative 3-Tilt Up'!$BP82/1000000</f>
        <v>#VALUE!</v>
      </c>
      <c r="AK82" s="290" t="e">
        <f>'Alternative 3-Tilt Up'!$BV82/1000000</f>
        <v>#VALUE!</v>
      </c>
      <c r="AL82" s="290">
        <f>'[3]Alternative 3'!$B$20/1.67</f>
        <v>149.70059880239521</v>
      </c>
    </row>
    <row r="83" spans="1:38" x14ac:dyDescent="0.25">
      <c r="A83" s="290" t="str">
        <f>'Alternative 1'!F84</f>
        <v>x</v>
      </c>
      <c r="B83" s="290" t="e">
        <f>'Alternative 1-Tilt Up'!T83/1000000</f>
        <v>#VALUE!</v>
      </c>
      <c r="C83" s="290" t="e">
        <f>'Alternative 1-Tilt Up'!$Z83/1000000</f>
        <v>#VALUE!</v>
      </c>
      <c r="D83" s="290" t="e">
        <f>'Alternative 1-Tilt Up'!$AF83/1000000</f>
        <v>#VALUE!</v>
      </c>
      <c r="E83" s="290" t="e">
        <f>'Alternative 1-Tilt Up'!$AL83/1000000</f>
        <v>#VALUE!</v>
      </c>
      <c r="F83" s="290" t="e">
        <f>'Alternative 1-Tilt Up'!$AR83/1000000</f>
        <v>#VALUE!</v>
      </c>
      <c r="G83" s="290" t="e">
        <f>'Alternative 1-Tilt Up'!$AX83/1000000</f>
        <v>#VALUE!</v>
      </c>
      <c r="H83" s="290" t="e">
        <f>'Alternative 1-Tilt Up'!$BD83/1000000</f>
        <v>#VALUE!</v>
      </c>
      <c r="I83" s="290" t="e">
        <f>'Alternative 1-Tilt Up'!$BJ83/1000000</f>
        <v>#VALUE!</v>
      </c>
      <c r="J83" s="290" t="e">
        <f>'Alternative 1-Tilt Up'!$BP83/1000000</f>
        <v>#VALUE!</v>
      </c>
      <c r="K83" s="290" t="e">
        <f>'Alternative 1-Tilt Up'!$BV83/1000000</f>
        <v>#VALUE!</v>
      </c>
      <c r="L83" s="290">
        <f>'[3]Alternative 1'!$B$20/1.67</f>
        <v>149.70059880239521</v>
      </c>
      <c r="N83" s="290" t="str">
        <f>'Alternative 2'!F84</f>
        <v>x</v>
      </c>
      <c r="O83" s="290" t="e">
        <f>'Alternative 2-Tilt Up'!$T83/1000000</f>
        <v>#VALUE!</v>
      </c>
      <c r="P83" s="290" t="e">
        <f>'Alternative 2-Tilt Up'!$Z83/1000000</f>
        <v>#VALUE!</v>
      </c>
      <c r="Q83" s="290" t="e">
        <f>'Alternative 2-Tilt Up'!$AF83/1000000</f>
        <v>#VALUE!</v>
      </c>
      <c r="R83" s="290" t="e">
        <f>'Alternative 2-Tilt Up'!$AL83/1000000</f>
        <v>#VALUE!</v>
      </c>
      <c r="S83" s="290" t="e">
        <f>'Alternative 2-Tilt Up'!$AR83/1000000</f>
        <v>#VALUE!</v>
      </c>
      <c r="T83" s="290" t="e">
        <f>'Alternative 2-Tilt Up'!$AX83/1000000</f>
        <v>#VALUE!</v>
      </c>
      <c r="U83" s="290" t="e">
        <f>'Alternative 2-Tilt Up'!$BD83/1000000</f>
        <v>#VALUE!</v>
      </c>
      <c r="V83" s="290" t="e">
        <f>'Alternative 2-Tilt Up'!$BJ83/1000000</f>
        <v>#VALUE!</v>
      </c>
      <c r="W83" s="290" t="e">
        <f>'Alternative 2-Tilt Up'!$BP83/1000000</f>
        <v>#VALUE!</v>
      </c>
      <c r="X83" s="290" t="e">
        <f>'Alternative 2-Tilt Up'!$BV83/1000000</f>
        <v>#VALUE!</v>
      </c>
      <c r="Y83" s="290">
        <f>'[3]Alternative 2'!$B$20/1.67</f>
        <v>149.70059880239521</v>
      </c>
      <c r="AA83" s="290" t="str">
        <f>'Alternative 3'!F84</f>
        <v>x</v>
      </c>
      <c r="AB83" s="290" t="e">
        <f>'Alternative 3-Tilt Up'!$T83/1000000</f>
        <v>#VALUE!</v>
      </c>
      <c r="AC83" s="290" t="e">
        <f>'Alternative 3-Tilt Up'!$Z83/1000000</f>
        <v>#VALUE!</v>
      </c>
      <c r="AD83" s="290" t="e">
        <f>'Alternative 3-Tilt Up'!$AF83/1000000</f>
        <v>#VALUE!</v>
      </c>
      <c r="AE83" s="290" t="e">
        <f>'Alternative 3-Tilt Up'!$AL83/1000000</f>
        <v>#VALUE!</v>
      </c>
      <c r="AF83" s="290" t="e">
        <f>'Alternative 3-Tilt Up'!$AR83/1000000</f>
        <v>#VALUE!</v>
      </c>
      <c r="AG83" s="290" t="e">
        <f>'Alternative 3-Tilt Up'!$AX83/1000000</f>
        <v>#VALUE!</v>
      </c>
      <c r="AH83" s="290" t="e">
        <f>'Alternative 3-Tilt Up'!$BD83/1000000</f>
        <v>#VALUE!</v>
      </c>
      <c r="AI83" s="290" t="e">
        <f>'Alternative 3-Tilt Up'!$BJ83/1000000</f>
        <v>#VALUE!</v>
      </c>
      <c r="AJ83" s="290" t="e">
        <f>'Alternative 3-Tilt Up'!$BP83/1000000</f>
        <v>#VALUE!</v>
      </c>
      <c r="AK83" s="290" t="e">
        <f>'Alternative 3-Tilt Up'!$BV83/1000000</f>
        <v>#VALUE!</v>
      </c>
      <c r="AL83" s="290">
        <f>'[3]Alternative 3'!$B$20/1.67</f>
        <v>149.70059880239521</v>
      </c>
    </row>
    <row r="84" spans="1:38" x14ac:dyDescent="0.25">
      <c r="A84" s="290" t="str">
        <f>'Alternative 1'!F85</f>
        <v>x</v>
      </c>
      <c r="B84" s="290" t="e">
        <f>'Alternative 1-Tilt Up'!T84/1000000</f>
        <v>#VALUE!</v>
      </c>
      <c r="C84" s="290" t="e">
        <f>'Alternative 1-Tilt Up'!$Z84/1000000</f>
        <v>#VALUE!</v>
      </c>
      <c r="D84" s="290" t="e">
        <f>'Alternative 1-Tilt Up'!$AF84/1000000</f>
        <v>#VALUE!</v>
      </c>
      <c r="E84" s="290" t="e">
        <f>'Alternative 1-Tilt Up'!$AL84/1000000</f>
        <v>#VALUE!</v>
      </c>
      <c r="F84" s="290" t="e">
        <f>'Alternative 1-Tilt Up'!$AR84/1000000</f>
        <v>#VALUE!</v>
      </c>
      <c r="G84" s="290" t="e">
        <f>'Alternative 1-Tilt Up'!$AX84/1000000</f>
        <v>#VALUE!</v>
      </c>
      <c r="H84" s="290" t="e">
        <f>'Alternative 1-Tilt Up'!$BD84/1000000</f>
        <v>#VALUE!</v>
      </c>
      <c r="I84" s="290" t="e">
        <f>'Alternative 1-Tilt Up'!$BJ84/1000000</f>
        <v>#VALUE!</v>
      </c>
      <c r="J84" s="290" t="e">
        <f>'Alternative 1-Tilt Up'!$BP84/1000000</f>
        <v>#VALUE!</v>
      </c>
      <c r="K84" s="290" t="e">
        <f>'Alternative 1-Tilt Up'!$BV84/1000000</f>
        <v>#VALUE!</v>
      </c>
      <c r="L84" s="290">
        <f>'[3]Alternative 1'!$B$20/1.67</f>
        <v>149.70059880239521</v>
      </c>
      <c r="N84" s="290" t="str">
        <f>'Alternative 2'!F85</f>
        <v>x</v>
      </c>
      <c r="O84" s="290" t="e">
        <f>'Alternative 2-Tilt Up'!$T84/1000000</f>
        <v>#VALUE!</v>
      </c>
      <c r="P84" s="290" t="e">
        <f>'Alternative 2-Tilt Up'!$Z84/1000000</f>
        <v>#VALUE!</v>
      </c>
      <c r="Q84" s="290" t="e">
        <f>'Alternative 2-Tilt Up'!$AF84/1000000</f>
        <v>#VALUE!</v>
      </c>
      <c r="R84" s="290" t="e">
        <f>'Alternative 2-Tilt Up'!$AL84/1000000</f>
        <v>#VALUE!</v>
      </c>
      <c r="S84" s="290" t="e">
        <f>'Alternative 2-Tilt Up'!$AR84/1000000</f>
        <v>#VALUE!</v>
      </c>
      <c r="T84" s="290" t="e">
        <f>'Alternative 2-Tilt Up'!$AX84/1000000</f>
        <v>#VALUE!</v>
      </c>
      <c r="U84" s="290" t="e">
        <f>'Alternative 2-Tilt Up'!$BD84/1000000</f>
        <v>#VALUE!</v>
      </c>
      <c r="V84" s="290" t="e">
        <f>'Alternative 2-Tilt Up'!$BJ84/1000000</f>
        <v>#VALUE!</v>
      </c>
      <c r="W84" s="290" t="e">
        <f>'Alternative 2-Tilt Up'!$BP84/1000000</f>
        <v>#VALUE!</v>
      </c>
      <c r="X84" s="290" t="e">
        <f>'Alternative 2-Tilt Up'!$BV84/1000000</f>
        <v>#VALUE!</v>
      </c>
      <c r="Y84" s="290">
        <f>'[3]Alternative 2'!$B$20/1.67</f>
        <v>149.70059880239521</v>
      </c>
      <c r="AA84" s="290" t="str">
        <f>'Alternative 3'!F85</f>
        <v>x</v>
      </c>
      <c r="AB84" s="290" t="e">
        <f>'Alternative 3-Tilt Up'!$T84/1000000</f>
        <v>#VALUE!</v>
      </c>
      <c r="AC84" s="290" t="e">
        <f>'Alternative 3-Tilt Up'!$Z84/1000000</f>
        <v>#VALUE!</v>
      </c>
      <c r="AD84" s="290" t="e">
        <f>'Alternative 3-Tilt Up'!$AF84/1000000</f>
        <v>#VALUE!</v>
      </c>
      <c r="AE84" s="290" t="e">
        <f>'Alternative 3-Tilt Up'!$AL84/1000000</f>
        <v>#VALUE!</v>
      </c>
      <c r="AF84" s="290" t="e">
        <f>'Alternative 3-Tilt Up'!$AR84/1000000</f>
        <v>#VALUE!</v>
      </c>
      <c r="AG84" s="290" t="e">
        <f>'Alternative 3-Tilt Up'!$AX84/1000000</f>
        <v>#VALUE!</v>
      </c>
      <c r="AH84" s="290" t="e">
        <f>'Alternative 3-Tilt Up'!$BD84/1000000</f>
        <v>#VALUE!</v>
      </c>
      <c r="AI84" s="290" t="e">
        <f>'Alternative 3-Tilt Up'!$BJ84/1000000</f>
        <v>#VALUE!</v>
      </c>
      <c r="AJ84" s="290" t="e">
        <f>'Alternative 3-Tilt Up'!$BP84/1000000</f>
        <v>#VALUE!</v>
      </c>
      <c r="AK84" s="290" t="e">
        <f>'Alternative 3-Tilt Up'!$BV84/1000000</f>
        <v>#VALUE!</v>
      </c>
      <c r="AL84" s="290">
        <f>'[3]Alternative 3'!$B$20/1.67</f>
        <v>149.70059880239521</v>
      </c>
    </row>
    <row r="85" spans="1:38" x14ac:dyDescent="0.25">
      <c r="A85" s="290" t="str">
        <f>'Alternative 1'!F86</f>
        <v>x</v>
      </c>
      <c r="B85" s="290" t="e">
        <f>'Alternative 1-Tilt Up'!T85/1000000</f>
        <v>#VALUE!</v>
      </c>
      <c r="C85" s="290" t="e">
        <f>'Alternative 1-Tilt Up'!$Z85/1000000</f>
        <v>#VALUE!</v>
      </c>
      <c r="D85" s="290" t="e">
        <f>'Alternative 1-Tilt Up'!$AF85/1000000</f>
        <v>#VALUE!</v>
      </c>
      <c r="E85" s="290" t="e">
        <f>'Alternative 1-Tilt Up'!$AL85/1000000</f>
        <v>#VALUE!</v>
      </c>
      <c r="F85" s="290" t="e">
        <f>'Alternative 1-Tilt Up'!$AR85/1000000</f>
        <v>#VALUE!</v>
      </c>
      <c r="G85" s="290" t="e">
        <f>'Alternative 1-Tilt Up'!$AX85/1000000</f>
        <v>#VALUE!</v>
      </c>
      <c r="H85" s="290" t="e">
        <f>'Alternative 1-Tilt Up'!$BD85/1000000</f>
        <v>#VALUE!</v>
      </c>
      <c r="I85" s="290" t="e">
        <f>'Alternative 1-Tilt Up'!$BJ85/1000000</f>
        <v>#VALUE!</v>
      </c>
      <c r="J85" s="290" t="e">
        <f>'Alternative 1-Tilt Up'!$BP85/1000000</f>
        <v>#VALUE!</v>
      </c>
      <c r="K85" s="290" t="e">
        <f>'Alternative 1-Tilt Up'!$BV85/1000000</f>
        <v>#VALUE!</v>
      </c>
      <c r="L85" s="290">
        <f>'[3]Alternative 1'!$B$20/1.67</f>
        <v>149.70059880239521</v>
      </c>
      <c r="N85" s="290" t="str">
        <f>'Alternative 2'!F86</f>
        <v>x</v>
      </c>
      <c r="O85" s="290" t="e">
        <f>'Alternative 2-Tilt Up'!$T85/1000000</f>
        <v>#VALUE!</v>
      </c>
      <c r="P85" s="290" t="e">
        <f>'Alternative 2-Tilt Up'!$Z85/1000000</f>
        <v>#VALUE!</v>
      </c>
      <c r="Q85" s="290" t="e">
        <f>'Alternative 2-Tilt Up'!$AF85/1000000</f>
        <v>#VALUE!</v>
      </c>
      <c r="R85" s="290" t="e">
        <f>'Alternative 2-Tilt Up'!$AL85/1000000</f>
        <v>#VALUE!</v>
      </c>
      <c r="S85" s="290" t="e">
        <f>'Alternative 2-Tilt Up'!$AR85/1000000</f>
        <v>#VALUE!</v>
      </c>
      <c r="T85" s="290" t="e">
        <f>'Alternative 2-Tilt Up'!$AX85/1000000</f>
        <v>#VALUE!</v>
      </c>
      <c r="U85" s="290" t="e">
        <f>'Alternative 2-Tilt Up'!$BD85/1000000</f>
        <v>#VALUE!</v>
      </c>
      <c r="V85" s="290" t="e">
        <f>'Alternative 2-Tilt Up'!$BJ85/1000000</f>
        <v>#VALUE!</v>
      </c>
      <c r="W85" s="290" t="e">
        <f>'Alternative 2-Tilt Up'!$BP85/1000000</f>
        <v>#VALUE!</v>
      </c>
      <c r="X85" s="290" t="e">
        <f>'Alternative 2-Tilt Up'!$BV85/1000000</f>
        <v>#VALUE!</v>
      </c>
      <c r="Y85" s="290">
        <f>'[3]Alternative 2'!$B$20/1.67</f>
        <v>149.70059880239521</v>
      </c>
      <c r="AA85" s="290" t="str">
        <f>'Alternative 3'!F86</f>
        <v>x</v>
      </c>
      <c r="AB85" s="290" t="e">
        <f>'Alternative 3-Tilt Up'!$T85/1000000</f>
        <v>#VALUE!</v>
      </c>
      <c r="AC85" s="290" t="e">
        <f>'Alternative 3-Tilt Up'!$Z85/1000000</f>
        <v>#VALUE!</v>
      </c>
      <c r="AD85" s="290" t="e">
        <f>'Alternative 3-Tilt Up'!$AF85/1000000</f>
        <v>#VALUE!</v>
      </c>
      <c r="AE85" s="290" t="e">
        <f>'Alternative 3-Tilt Up'!$AL85/1000000</f>
        <v>#VALUE!</v>
      </c>
      <c r="AF85" s="290" t="e">
        <f>'Alternative 3-Tilt Up'!$AR85/1000000</f>
        <v>#VALUE!</v>
      </c>
      <c r="AG85" s="290" t="e">
        <f>'Alternative 3-Tilt Up'!$AX85/1000000</f>
        <v>#VALUE!</v>
      </c>
      <c r="AH85" s="290" t="e">
        <f>'Alternative 3-Tilt Up'!$BD85/1000000</f>
        <v>#VALUE!</v>
      </c>
      <c r="AI85" s="290" t="e">
        <f>'Alternative 3-Tilt Up'!$BJ85/1000000</f>
        <v>#VALUE!</v>
      </c>
      <c r="AJ85" s="290" t="e">
        <f>'Alternative 3-Tilt Up'!$BP85/1000000</f>
        <v>#VALUE!</v>
      </c>
      <c r="AK85" s="290" t="e">
        <f>'Alternative 3-Tilt Up'!$BV85/1000000</f>
        <v>#VALUE!</v>
      </c>
      <c r="AL85" s="290">
        <f>'[3]Alternative 3'!$B$20/1.67</f>
        <v>149.70059880239521</v>
      </c>
    </row>
    <row r="86" spans="1:38" x14ac:dyDescent="0.25">
      <c r="A86" s="290" t="str">
        <f>'Alternative 1'!F87</f>
        <v>x</v>
      </c>
      <c r="B86" s="290" t="e">
        <f>'Alternative 1-Tilt Up'!T86/1000000</f>
        <v>#VALUE!</v>
      </c>
      <c r="C86" s="290" t="e">
        <f>'Alternative 1-Tilt Up'!$Z86/1000000</f>
        <v>#VALUE!</v>
      </c>
      <c r="D86" s="290" t="e">
        <f>'Alternative 1-Tilt Up'!$AF86/1000000</f>
        <v>#VALUE!</v>
      </c>
      <c r="E86" s="290" t="e">
        <f>'Alternative 1-Tilt Up'!$AL86/1000000</f>
        <v>#VALUE!</v>
      </c>
      <c r="F86" s="290" t="e">
        <f>'Alternative 1-Tilt Up'!$AR86/1000000</f>
        <v>#VALUE!</v>
      </c>
      <c r="G86" s="290" t="e">
        <f>'Alternative 1-Tilt Up'!$AX86/1000000</f>
        <v>#VALUE!</v>
      </c>
      <c r="H86" s="290" t="e">
        <f>'Alternative 1-Tilt Up'!$BD86/1000000</f>
        <v>#VALUE!</v>
      </c>
      <c r="I86" s="290" t="e">
        <f>'Alternative 1-Tilt Up'!$BJ86/1000000</f>
        <v>#VALUE!</v>
      </c>
      <c r="J86" s="290" t="e">
        <f>'Alternative 1-Tilt Up'!$BP86/1000000</f>
        <v>#VALUE!</v>
      </c>
      <c r="K86" s="290" t="e">
        <f>'Alternative 1-Tilt Up'!$BV86/1000000</f>
        <v>#VALUE!</v>
      </c>
      <c r="L86" s="290">
        <f>'[3]Alternative 1'!$B$20/1.67</f>
        <v>149.70059880239521</v>
      </c>
      <c r="N86" s="290" t="str">
        <f>'Alternative 2'!F87</f>
        <v>x</v>
      </c>
      <c r="O86" s="290" t="e">
        <f>'Alternative 2-Tilt Up'!$T86/1000000</f>
        <v>#VALUE!</v>
      </c>
      <c r="P86" s="290" t="e">
        <f>'Alternative 2-Tilt Up'!$Z86/1000000</f>
        <v>#VALUE!</v>
      </c>
      <c r="Q86" s="290" t="e">
        <f>'Alternative 2-Tilt Up'!$AF86/1000000</f>
        <v>#VALUE!</v>
      </c>
      <c r="R86" s="290" t="e">
        <f>'Alternative 2-Tilt Up'!$AL86/1000000</f>
        <v>#VALUE!</v>
      </c>
      <c r="S86" s="290" t="e">
        <f>'Alternative 2-Tilt Up'!$AR86/1000000</f>
        <v>#VALUE!</v>
      </c>
      <c r="T86" s="290" t="e">
        <f>'Alternative 2-Tilt Up'!$AX86/1000000</f>
        <v>#VALUE!</v>
      </c>
      <c r="U86" s="290" t="e">
        <f>'Alternative 2-Tilt Up'!$BD86/1000000</f>
        <v>#VALUE!</v>
      </c>
      <c r="V86" s="290" t="e">
        <f>'Alternative 2-Tilt Up'!$BJ86/1000000</f>
        <v>#VALUE!</v>
      </c>
      <c r="W86" s="290" t="e">
        <f>'Alternative 2-Tilt Up'!$BP86/1000000</f>
        <v>#VALUE!</v>
      </c>
      <c r="X86" s="290" t="e">
        <f>'Alternative 2-Tilt Up'!$BV86/1000000</f>
        <v>#VALUE!</v>
      </c>
      <c r="Y86" s="290">
        <f>'[3]Alternative 2'!$B$20/1.67</f>
        <v>149.70059880239521</v>
      </c>
      <c r="AA86" s="290" t="str">
        <f>'Alternative 3'!F87</f>
        <v>x</v>
      </c>
      <c r="AB86" s="290" t="e">
        <f>'Alternative 3-Tilt Up'!$T86/1000000</f>
        <v>#VALUE!</v>
      </c>
      <c r="AC86" s="290" t="e">
        <f>'Alternative 3-Tilt Up'!$Z86/1000000</f>
        <v>#VALUE!</v>
      </c>
      <c r="AD86" s="290" t="e">
        <f>'Alternative 3-Tilt Up'!$AF86/1000000</f>
        <v>#VALUE!</v>
      </c>
      <c r="AE86" s="290" t="e">
        <f>'Alternative 3-Tilt Up'!$AL86/1000000</f>
        <v>#VALUE!</v>
      </c>
      <c r="AF86" s="290" t="e">
        <f>'Alternative 3-Tilt Up'!$AR86/1000000</f>
        <v>#VALUE!</v>
      </c>
      <c r="AG86" s="290" t="e">
        <f>'Alternative 3-Tilt Up'!$AX86/1000000</f>
        <v>#VALUE!</v>
      </c>
      <c r="AH86" s="290" t="e">
        <f>'Alternative 3-Tilt Up'!$BD86/1000000</f>
        <v>#VALUE!</v>
      </c>
      <c r="AI86" s="290" t="e">
        <f>'Alternative 3-Tilt Up'!$BJ86/1000000</f>
        <v>#VALUE!</v>
      </c>
      <c r="AJ86" s="290" t="e">
        <f>'Alternative 3-Tilt Up'!$BP86/1000000</f>
        <v>#VALUE!</v>
      </c>
      <c r="AK86" s="290" t="e">
        <f>'Alternative 3-Tilt Up'!$BV86/1000000</f>
        <v>#VALUE!</v>
      </c>
      <c r="AL86" s="290">
        <f>'[3]Alternative 3'!$B$20/1.67</f>
        <v>149.70059880239521</v>
      </c>
    </row>
    <row r="87" spans="1:38" x14ac:dyDescent="0.25">
      <c r="A87" s="290" t="str">
        <f>'Alternative 1'!F88</f>
        <v>x</v>
      </c>
      <c r="B87" s="290" t="e">
        <f>'Alternative 1-Tilt Up'!T87/1000000</f>
        <v>#VALUE!</v>
      </c>
      <c r="C87" s="290" t="e">
        <f>'Alternative 1-Tilt Up'!$Z87/1000000</f>
        <v>#VALUE!</v>
      </c>
      <c r="D87" s="290" t="e">
        <f>'Alternative 1-Tilt Up'!$AF87/1000000</f>
        <v>#VALUE!</v>
      </c>
      <c r="E87" s="290" t="e">
        <f>'Alternative 1-Tilt Up'!$AL87/1000000</f>
        <v>#VALUE!</v>
      </c>
      <c r="F87" s="290" t="e">
        <f>'Alternative 1-Tilt Up'!$AR87/1000000</f>
        <v>#VALUE!</v>
      </c>
      <c r="G87" s="290" t="e">
        <f>'Alternative 1-Tilt Up'!$AX87/1000000</f>
        <v>#VALUE!</v>
      </c>
      <c r="H87" s="290" t="e">
        <f>'Alternative 1-Tilt Up'!$BD87/1000000</f>
        <v>#VALUE!</v>
      </c>
      <c r="I87" s="290" t="e">
        <f>'Alternative 1-Tilt Up'!$BJ87/1000000</f>
        <v>#VALUE!</v>
      </c>
      <c r="J87" s="290" t="e">
        <f>'Alternative 1-Tilt Up'!$BP87/1000000</f>
        <v>#VALUE!</v>
      </c>
      <c r="K87" s="290" t="e">
        <f>'Alternative 1-Tilt Up'!$BV87/1000000</f>
        <v>#VALUE!</v>
      </c>
      <c r="L87" s="290">
        <f>'[3]Alternative 1'!$B$20/1.67</f>
        <v>149.70059880239521</v>
      </c>
      <c r="N87" s="290" t="str">
        <f>'Alternative 2'!F88</f>
        <v>x</v>
      </c>
      <c r="O87" s="290" t="e">
        <f>'Alternative 2-Tilt Up'!$T87/1000000</f>
        <v>#VALUE!</v>
      </c>
      <c r="P87" s="290" t="e">
        <f>'Alternative 2-Tilt Up'!$Z87/1000000</f>
        <v>#VALUE!</v>
      </c>
      <c r="Q87" s="290" t="e">
        <f>'Alternative 2-Tilt Up'!$AF87/1000000</f>
        <v>#VALUE!</v>
      </c>
      <c r="R87" s="290" t="e">
        <f>'Alternative 2-Tilt Up'!$AL87/1000000</f>
        <v>#VALUE!</v>
      </c>
      <c r="S87" s="290" t="e">
        <f>'Alternative 2-Tilt Up'!$AR87/1000000</f>
        <v>#VALUE!</v>
      </c>
      <c r="T87" s="290" t="e">
        <f>'Alternative 2-Tilt Up'!$AX87/1000000</f>
        <v>#VALUE!</v>
      </c>
      <c r="U87" s="290" t="e">
        <f>'Alternative 2-Tilt Up'!$BD87/1000000</f>
        <v>#VALUE!</v>
      </c>
      <c r="V87" s="290" t="e">
        <f>'Alternative 2-Tilt Up'!$BJ87/1000000</f>
        <v>#VALUE!</v>
      </c>
      <c r="W87" s="290" t="e">
        <f>'Alternative 2-Tilt Up'!$BP87/1000000</f>
        <v>#VALUE!</v>
      </c>
      <c r="X87" s="290" t="e">
        <f>'Alternative 2-Tilt Up'!$BV87/1000000</f>
        <v>#VALUE!</v>
      </c>
      <c r="Y87" s="290">
        <f>'[3]Alternative 2'!$B$20/1.67</f>
        <v>149.70059880239521</v>
      </c>
      <c r="AA87" s="290" t="str">
        <f>'Alternative 3'!F88</f>
        <v>x</v>
      </c>
      <c r="AB87" s="290" t="e">
        <f>'Alternative 3-Tilt Up'!$T87/1000000</f>
        <v>#VALUE!</v>
      </c>
      <c r="AC87" s="290" t="e">
        <f>'Alternative 3-Tilt Up'!$Z87/1000000</f>
        <v>#VALUE!</v>
      </c>
      <c r="AD87" s="290" t="e">
        <f>'Alternative 3-Tilt Up'!$AF87/1000000</f>
        <v>#VALUE!</v>
      </c>
      <c r="AE87" s="290" t="e">
        <f>'Alternative 3-Tilt Up'!$AL87/1000000</f>
        <v>#VALUE!</v>
      </c>
      <c r="AF87" s="290" t="e">
        <f>'Alternative 3-Tilt Up'!$AR87/1000000</f>
        <v>#VALUE!</v>
      </c>
      <c r="AG87" s="290" t="e">
        <f>'Alternative 3-Tilt Up'!$AX87/1000000</f>
        <v>#VALUE!</v>
      </c>
      <c r="AH87" s="290" t="e">
        <f>'Alternative 3-Tilt Up'!$BD87/1000000</f>
        <v>#VALUE!</v>
      </c>
      <c r="AI87" s="290" t="e">
        <f>'Alternative 3-Tilt Up'!$BJ87/1000000</f>
        <v>#VALUE!</v>
      </c>
      <c r="AJ87" s="290" t="e">
        <f>'Alternative 3-Tilt Up'!$BP87/1000000</f>
        <v>#VALUE!</v>
      </c>
      <c r="AK87" s="290" t="e">
        <f>'Alternative 3-Tilt Up'!$BV87/1000000</f>
        <v>#VALUE!</v>
      </c>
      <c r="AL87" s="290">
        <f>'[3]Alternative 3'!$B$20/1.67</f>
        <v>149.70059880239521</v>
      </c>
    </row>
    <row r="88" spans="1:38" x14ac:dyDescent="0.25">
      <c r="A88" s="290" t="str">
        <f>'Alternative 1'!F89</f>
        <v>x</v>
      </c>
      <c r="B88" s="290" t="e">
        <f>'Alternative 1-Tilt Up'!T88/1000000</f>
        <v>#VALUE!</v>
      </c>
      <c r="C88" s="290" t="e">
        <f>'Alternative 1-Tilt Up'!$Z88/1000000</f>
        <v>#VALUE!</v>
      </c>
      <c r="D88" s="290" t="e">
        <f>'Alternative 1-Tilt Up'!$AF88/1000000</f>
        <v>#VALUE!</v>
      </c>
      <c r="E88" s="290" t="e">
        <f>'Alternative 1-Tilt Up'!$AL88/1000000</f>
        <v>#VALUE!</v>
      </c>
      <c r="F88" s="290" t="e">
        <f>'Alternative 1-Tilt Up'!$AR88/1000000</f>
        <v>#VALUE!</v>
      </c>
      <c r="G88" s="290" t="e">
        <f>'Alternative 1-Tilt Up'!$AX88/1000000</f>
        <v>#VALUE!</v>
      </c>
      <c r="H88" s="290" t="e">
        <f>'Alternative 1-Tilt Up'!$BD88/1000000</f>
        <v>#VALUE!</v>
      </c>
      <c r="I88" s="290" t="e">
        <f>'Alternative 1-Tilt Up'!$BJ88/1000000</f>
        <v>#VALUE!</v>
      </c>
      <c r="J88" s="290" t="e">
        <f>'Alternative 1-Tilt Up'!$BP88/1000000</f>
        <v>#VALUE!</v>
      </c>
      <c r="K88" s="290" t="e">
        <f>'Alternative 1-Tilt Up'!$BV88/1000000</f>
        <v>#VALUE!</v>
      </c>
      <c r="L88" s="290">
        <f>'[3]Alternative 1'!$B$20/1.67</f>
        <v>149.70059880239521</v>
      </c>
      <c r="N88" s="290" t="str">
        <f>'Alternative 2'!F89</f>
        <v>x</v>
      </c>
      <c r="O88" s="290" t="e">
        <f>'Alternative 2-Tilt Up'!$T88/1000000</f>
        <v>#VALUE!</v>
      </c>
      <c r="P88" s="290" t="e">
        <f>'Alternative 2-Tilt Up'!$Z88/1000000</f>
        <v>#VALUE!</v>
      </c>
      <c r="Q88" s="290" t="e">
        <f>'Alternative 2-Tilt Up'!$AF88/1000000</f>
        <v>#VALUE!</v>
      </c>
      <c r="R88" s="290" t="e">
        <f>'Alternative 2-Tilt Up'!$AL88/1000000</f>
        <v>#VALUE!</v>
      </c>
      <c r="S88" s="290" t="e">
        <f>'Alternative 2-Tilt Up'!$AR88/1000000</f>
        <v>#VALUE!</v>
      </c>
      <c r="T88" s="290" t="e">
        <f>'Alternative 2-Tilt Up'!$AX88/1000000</f>
        <v>#VALUE!</v>
      </c>
      <c r="U88" s="290" t="e">
        <f>'Alternative 2-Tilt Up'!$BD88/1000000</f>
        <v>#VALUE!</v>
      </c>
      <c r="V88" s="290" t="e">
        <f>'Alternative 2-Tilt Up'!$BJ88/1000000</f>
        <v>#VALUE!</v>
      </c>
      <c r="W88" s="290" t="e">
        <f>'Alternative 2-Tilt Up'!$BP88/1000000</f>
        <v>#VALUE!</v>
      </c>
      <c r="X88" s="290" t="e">
        <f>'Alternative 2-Tilt Up'!$BV88/1000000</f>
        <v>#VALUE!</v>
      </c>
      <c r="Y88" s="290">
        <f>'[3]Alternative 2'!$B$20/1.67</f>
        <v>149.70059880239521</v>
      </c>
      <c r="AA88" s="290" t="str">
        <f>'Alternative 3'!F89</f>
        <v>x</v>
      </c>
      <c r="AB88" s="290" t="e">
        <f>'Alternative 3-Tilt Up'!$T88/1000000</f>
        <v>#VALUE!</v>
      </c>
      <c r="AC88" s="290" t="e">
        <f>'Alternative 3-Tilt Up'!$Z88/1000000</f>
        <v>#VALUE!</v>
      </c>
      <c r="AD88" s="290" t="e">
        <f>'Alternative 3-Tilt Up'!$AF88/1000000</f>
        <v>#VALUE!</v>
      </c>
      <c r="AE88" s="290" t="e">
        <f>'Alternative 3-Tilt Up'!$AL88/1000000</f>
        <v>#VALUE!</v>
      </c>
      <c r="AF88" s="290" t="e">
        <f>'Alternative 3-Tilt Up'!$AR88/1000000</f>
        <v>#VALUE!</v>
      </c>
      <c r="AG88" s="290" t="e">
        <f>'Alternative 3-Tilt Up'!$AX88/1000000</f>
        <v>#VALUE!</v>
      </c>
      <c r="AH88" s="290" t="e">
        <f>'Alternative 3-Tilt Up'!$BD88/1000000</f>
        <v>#VALUE!</v>
      </c>
      <c r="AI88" s="290" t="e">
        <f>'Alternative 3-Tilt Up'!$BJ88/1000000</f>
        <v>#VALUE!</v>
      </c>
      <c r="AJ88" s="290" t="e">
        <f>'Alternative 3-Tilt Up'!$BP88/1000000</f>
        <v>#VALUE!</v>
      </c>
      <c r="AK88" s="290" t="e">
        <f>'Alternative 3-Tilt Up'!$BV88/1000000</f>
        <v>#VALUE!</v>
      </c>
      <c r="AL88" s="290">
        <f>'[3]Alternative 3'!$B$20/1.67</f>
        <v>149.70059880239521</v>
      </c>
    </row>
    <row r="89" spans="1:38" x14ac:dyDescent="0.25">
      <c r="A89" s="290" t="str">
        <f>'Alternative 1'!F90</f>
        <v>x</v>
      </c>
      <c r="B89" s="290" t="e">
        <f>'Alternative 1-Tilt Up'!T89/1000000</f>
        <v>#VALUE!</v>
      </c>
      <c r="C89" s="290" t="e">
        <f>'Alternative 1-Tilt Up'!$Z89/1000000</f>
        <v>#VALUE!</v>
      </c>
      <c r="D89" s="290" t="e">
        <f>'Alternative 1-Tilt Up'!$AF89/1000000</f>
        <v>#VALUE!</v>
      </c>
      <c r="E89" s="290" t="e">
        <f>'Alternative 1-Tilt Up'!$AL89/1000000</f>
        <v>#VALUE!</v>
      </c>
      <c r="F89" s="290" t="e">
        <f>'Alternative 1-Tilt Up'!$AR89/1000000</f>
        <v>#VALUE!</v>
      </c>
      <c r="G89" s="290" t="e">
        <f>'Alternative 1-Tilt Up'!$AX89/1000000</f>
        <v>#VALUE!</v>
      </c>
      <c r="H89" s="290" t="e">
        <f>'Alternative 1-Tilt Up'!$BD89/1000000</f>
        <v>#VALUE!</v>
      </c>
      <c r="I89" s="290" t="e">
        <f>'Alternative 1-Tilt Up'!$BJ89/1000000</f>
        <v>#VALUE!</v>
      </c>
      <c r="J89" s="290" t="e">
        <f>'Alternative 1-Tilt Up'!$BP89/1000000</f>
        <v>#VALUE!</v>
      </c>
      <c r="K89" s="290" t="e">
        <f>'Alternative 1-Tilt Up'!$BV89/1000000</f>
        <v>#VALUE!</v>
      </c>
      <c r="L89" s="290">
        <f>'[3]Alternative 1'!$B$20/1.67</f>
        <v>149.70059880239521</v>
      </c>
      <c r="N89" s="290" t="str">
        <f>'Alternative 2'!F90</f>
        <v>x</v>
      </c>
      <c r="O89" s="290" t="e">
        <f>'Alternative 2-Tilt Up'!$T89/1000000</f>
        <v>#VALUE!</v>
      </c>
      <c r="P89" s="290" t="e">
        <f>'Alternative 2-Tilt Up'!$Z89/1000000</f>
        <v>#VALUE!</v>
      </c>
      <c r="Q89" s="290" t="e">
        <f>'Alternative 2-Tilt Up'!$AF89/1000000</f>
        <v>#VALUE!</v>
      </c>
      <c r="R89" s="290" t="e">
        <f>'Alternative 2-Tilt Up'!$AL89/1000000</f>
        <v>#VALUE!</v>
      </c>
      <c r="S89" s="290" t="e">
        <f>'Alternative 2-Tilt Up'!$AR89/1000000</f>
        <v>#VALUE!</v>
      </c>
      <c r="T89" s="290" t="e">
        <f>'Alternative 2-Tilt Up'!$AX89/1000000</f>
        <v>#VALUE!</v>
      </c>
      <c r="U89" s="290" t="e">
        <f>'Alternative 2-Tilt Up'!$BD89/1000000</f>
        <v>#VALUE!</v>
      </c>
      <c r="V89" s="290" t="e">
        <f>'Alternative 2-Tilt Up'!$BJ89/1000000</f>
        <v>#VALUE!</v>
      </c>
      <c r="W89" s="290" t="e">
        <f>'Alternative 2-Tilt Up'!$BP89/1000000</f>
        <v>#VALUE!</v>
      </c>
      <c r="X89" s="290" t="e">
        <f>'Alternative 2-Tilt Up'!$BV89/1000000</f>
        <v>#VALUE!</v>
      </c>
      <c r="Y89" s="290">
        <f>'[3]Alternative 2'!$B$20/1.67</f>
        <v>149.70059880239521</v>
      </c>
      <c r="AA89" s="290" t="str">
        <f>'Alternative 3'!F90</f>
        <v>x</v>
      </c>
      <c r="AB89" s="290" t="e">
        <f>'Alternative 3-Tilt Up'!$T89/1000000</f>
        <v>#VALUE!</v>
      </c>
      <c r="AC89" s="290" t="e">
        <f>'Alternative 3-Tilt Up'!$Z89/1000000</f>
        <v>#VALUE!</v>
      </c>
      <c r="AD89" s="290" t="e">
        <f>'Alternative 3-Tilt Up'!$AF89/1000000</f>
        <v>#VALUE!</v>
      </c>
      <c r="AE89" s="290" t="e">
        <f>'Alternative 3-Tilt Up'!$AL89/1000000</f>
        <v>#VALUE!</v>
      </c>
      <c r="AF89" s="290" t="e">
        <f>'Alternative 3-Tilt Up'!$AR89/1000000</f>
        <v>#VALUE!</v>
      </c>
      <c r="AG89" s="290" t="e">
        <f>'Alternative 3-Tilt Up'!$AX89/1000000</f>
        <v>#VALUE!</v>
      </c>
      <c r="AH89" s="290" t="e">
        <f>'Alternative 3-Tilt Up'!$BD89/1000000</f>
        <v>#VALUE!</v>
      </c>
      <c r="AI89" s="290" t="e">
        <f>'Alternative 3-Tilt Up'!$BJ89/1000000</f>
        <v>#VALUE!</v>
      </c>
      <c r="AJ89" s="290" t="e">
        <f>'Alternative 3-Tilt Up'!$BP89/1000000</f>
        <v>#VALUE!</v>
      </c>
      <c r="AK89" s="290" t="e">
        <f>'Alternative 3-Tilt Up'!$BV89/1000000</f>
        <v>#VALUE!</v>
      </c>
      <c r="AL89" s="290">
        <f>'[3]Alternative 3'!$B$20/1.67</f>
        <v>149.70059880239521</v>
      </c>
    </row>
    <row r="90" spans="1:38" x14ac:dyDescent="0.25">
      <c r="A90" s="290" t="str">
        <f>'Alternative 1'!F91</f>
        <v>x</v>
      </c>
      <c r="B90" s="290" t="e">
        <f>'Alternative 1-Tilt Up'!T90/1000000</f>
        <v>#VALUE!</v>
      </c>
      <c r="C90" s="290" t="e">
        <f>'Alternative 1-Tilt Up'!$Z90/1000000</f>
        <v>#VALUE!</v>
      </c>
      <c r="D90" s="290" t="e">
        <f>'Alternative 1-Tilt Up'!$AF90/1000000</f>
        <v>#VALUE!</v>
      </c>
      <c r="E90" s="290" t="e">
        <f>'Alternative 1-Tilt Up'!$AL90/1000000</f>
        <v>#VALUE!</v>
      </c>
      <c r="F90" s="290" t="e">
        <f>'Alternative 1-Tilt Up'!$AR90/1000000</f>
        <v>#VALUE!</v>
      </c>
      <c r="G90" s="290" t="e">
        <f>'Alternative 1-Tilt Up'!$AX90/1000000</f>
        <v>#VALUE!</v>
      </c>
      <c r="H90" s="290" t="e">
        <f>'Alternative 1-Tilt Up'!$BD90/1000000</f>
        <v>#VALUE!</v>
      </c>
      <c r="I90" s="290" t="e">
        <f>'Alternative 1-Tilt Up'!$BJ90/1000000</f>
        <v>#VALUE!</v>
      </c>
      <c r="J90" s="290" t="e">
        <f>'Alternative 1-Tilt Up'!$BP90/1000000</f>
        <v>#VALUE!</v>
      </c>
      <c r="K90" s="290" t="e">
        <f>'Alternative 1-Tilt Up'!$BV90/1000000</f>
        <v>#VALUE!</v>
      </c>
      <c r="L90" s="290">
        <f>'[3]Alternative 1'!$B$20/1.67</f>
        <v>149.70059880239521</v>
      </c>
      <c r="N90" s="290" t="str">
        <f>'Alternative 2'!F91</f>
        <v>x</v>
      </c>
      <c r="O90" s="290" t="e">
        <f>'Alternative 2-Tilt Up'!$T90/1000000</f>
        <v>#VALUE!</v>
      </c>
      <c r="P90" s="290" t="e">
        <f>'Alternative 2-Tilt Up'!$Z90/1000000</f>
        <v>#VALUE!</v>
      </c>
      <c r="Q90" s="290" t="e">
        <f>'Alternative 2-Tilt Up'!$AF90/1000000</f>
        <v>#VALUE!</v>
      </c>
      <c r="R90" s="290" t="e">
        <f>'Alternative 2-Tilt Up'!$AL90/1000000</f>
        <v>#VALUE!</v>
      </c>
      <c r="S90" s="290" t="e">
        <f>'Alternative 2-Tilt Up'!$AR90/1000000</f>
        <v>#VALUE!</v>
      </c>
      <c r="T90" s="290" t="e">
        <f>'Alternative 2-Tilt Up'!$AX90/1000000</f>
        <v>#VALUE!</v>
      </c>
      <c r="U90" s="290" t="e">
        <f>'Alternative 2-Tilt Up'!$BD90/1000000</f>
        <v>#VALUE!</v>
      </c>
      <c r="V90" s="290" t="e">
        <f>'Alternative 2-Tilt Up'!$BJ90/1000000</f>
        <v>#VALUE!</v>
      </c>
      <c r="W90" s="290" t="e">
        <f>'Alternative 2-Tilt Up'!$BP90/1000000</f>
        <v>#VALUE!</v>
      </c>
      <c r="X90" s="290" t="e">
        <f>'Alternative 2-Tilt Up'!$BV90/1000000</f>
        <v>#VALUE!</v>
      </c>
      <c r="Y90" s="290">
        <f>'[3]Alternative 2'!$B$20/1.67</f>
        <v>149.70059880239521</v>
      </c>
      <c r="AA90" s="290" t="str">
        <f>'Alternative 3'!F91</f>
        <v>x</v>
      </c>
      <c r="AB90" s="290" t="e">
        <f>'Alternative 3-Tilt Up'!$T90/1000000</f>
        <v>#VALUE!</v>
      </c>
      <c r="AC90" s="290" t="e">
        <f>'Alternative 3-Tilt Up'!$Z90/1000000</f>
        <v>#VALUE!</v>
      </c>
      <c r="AD90" s="290" t="e">
        <f>'Alternative 3-Tilt Up'!$AF90/1000000</f>
        <v>#VALUE!</v>
      </c>
      <c r="AE90" s="290" t="e">
        <f>'Alternative 3-Tilt Up'!$AL90/1000000</f>
        <v>#VALUE!</v>
      </c>
      <c r="AF90" s="290" t="e">
        <f>'Alternative 3-Tilt Up'!$AR90/1000000</f>
        <v>#VALUE!</v>
      </c>
      <c r="AG90" s="290" t="e">
        <f>'Alternative 3-Tilt Up'!$AX90/1000000</f>
        <v>#VALUE!</v>
      </c>
      <c r="AH90" s="290" t="e">
        <f>'Alternative 3-Tilt Up'!$BD90/1000000</f>
        <v>#VALUE!</v>
      </c>
      <c r="AI90" s="290" t="e">
        <f>'Alternative 3-Tilt Up'!$BJ90/1000000</f>
        <v>#VALUE!</v>
      </c>
      <c r="AJ90" s="290" t="e">
        <f>'Alternative 3-Tilt Up'!$BP90/1000000</f>
        <v>#VALUE!</v>
      </c>
      <c r="AK90" s="290" t="e">
        <f>'Alternative 3-Tilt Up'!$BV90/1000000</f>
        <v>#VALUE!</v>
      </c>
      <c r="AL90" s="290">
        <f>'[3]Alternative 3'!$B$20/1.67</f>
        <v>149.70059880239521</v>
      </c>
    </row>
    <row r="91" spans="1:38" x14ac:dyDescent="0.25">
      <c r="A91" s="290" t="str">
        <f>'Alternative 1'!F92</f>
        <v>x</v>
      </c>
      <c r="B91" s="290" t="e">
        <f>'Alternative 1-Tilt Up'!T91/1000000</f>
        <v>#VALUE!</v>
      </c>
      <c r="C91" s="290" t="e">
        <f>'Alternative 1-Tilt Up'!$Z91/1000000</f>
        <v>#VALUE!</v>
      </c>
      <c r="D91" s="290" t="e">
        <f>'Alternative 1-Tilt Up'!$AF91/1000000</f>
        <v>#VALUE!</v>
      </c>
      <c r="E91" s="290" t="e">
        <f>'Alternative 1-Tilt Up'!$AL91/1000000</f>
        <v>#VALUE!</v>
      </c>
      <c r="F91" s="290" t="e">
        <f>'Alternative 1-Tilt Up'!$AR91/1000000</f>
        <v>#VALUE!</v>
      </c>
      <c r="G91" s="290" t="e">
        <f>'Alternative 1-Tilt Up'!$AX91/1000000</f>
        <v>#VALUE!</v>
      </c>
      <c r="H91" s="290" t="e">
        <f>'Alternative 1-Tilt Up'!$BD91/1000000</f>
        <v>#VALUE!</v>
      </c>
      <c r="I91" s="290" t="e">
        <f>'Alternative 1-Tilt Up'!$BJ91/1000000</f>
        <v>#VALUE!</v>
      </c>
      <c r="J91" s="290" t="e">
        <f>'Alternative 1-Tilt Up'!$BP91/1000000</f>
        <v>#VALUE!</v>
      </c>
      <c r="K91" s="290" t="e">
        <f>'Alternative 1-Tilt Up'!$BV91/1000000</f>
        <v>#VALUE!</v>
      </c>
      <c r="L91" s="290">
        <f>'[3]Alternative 1'!$B$20/1.67</f>
        <v>149.70059880239521</v>
      </c>
      <c r="N91" s="290" t="str">
        <f>'Alternative 2'!F92</f>
        <v>x</v>
      </c>
      <c r="O91" s="290" t="e">
        <f>'Alternative 2-Tilt Up'!$T91/1000000</f>
        <v>#VALUE!</v>
      </c>
      <c r="P91" s="290" t="e">
        <f>'Alternative 2-Tilt Up'!$Z91/1000000</f>
        <v>#VALUE!</v>
      </c>
      <c r="Q91" s="290" t="e">
        <f>'Alternative 2-Tilt Up'!$AF91/1000000</f>
        <v>#VALUE!</v>
      </c>
      <c r="R91" s="290" t="e">
        <f>'Alternative 2-Tilt Up'!$AL91/1000000</f>
        <v>#VALUE!</v>
      </c>
      <c r="S91" s="290" t="e">
        <f>'Alternative 2-Tilt Up'!$AR91/1000000</f>
        <v>#VALUE!</v>
      </c>
      <c r="T91" s="290" t="e">
        <f>'Alternative 2-Tilt Up'!$AX91/1000000</f>
        <v>#VALUE!</v>
      </c>
      <c r="U91" s="290" t="e">
        <f>'Alternative 2-Tilt Up'!$BD91/1000000</f>
        <v>#VALUE!</v>
      </c>
      <c r="V91" s="290" t="e">
        <f>'Alternative 2-Tilt Up'!$BJ91/1000000</f>
        <v>#VALUE!</v>
      </c>
      <c r="W91" s="290" t="e">
        <f>'Alternative 2-Tilt Up'!$BP91/1000000</f>
        <v>#VALUE!</v>
      </c>
      <c r="X91" s="290" t="e">
        <f>'Alternative 2-Tilt Up'!$BV91/1000000</f>
        <v>#VALUE!</v>
      </c>
      <c r="Y91" s="290">
        <f>'[3]Alternative 2'!$B$20/1.67</f>
        <v>149.70059880239521</v>
      </c>
      <c r="AA91" s="290" t="str">
        <f>'Alternative 3'!F92</f>
        <v>x</v>
      </c>
      <c r="AB91" s="290" t="e">
        <f>'Alternative 3-Tilt Up'!$T91/1000000</f>
        <v>#VALUE!</v>
      </c>
      <c r="AC91" s="290" t="e">
        <f>'Alternative 3-Tilt Up'!$Z91/1000000</f>
        <v>#VALUE!</v>
      </c>
      <c r="AD91" s="290" t="e">
        <f>'Alternative 3-Tilt Up'!$AF91/1000000</f>
        <v>#VALUE!</v>
      </c>
      <c r="AE91" s="290" t="e">
        <f>'Alternative 3-Tilt Up'!$AL91/1000000</f>
        <v>#VALUE!</v>
      </c>
      <c r="AF91" s="290" t="e">
        <f>'Alternative 3-Tilt Up'!$AR91/1000000</f>
        <v>#VALUE!</v>
      </c>
      <c r="AG91" s="290" t="e">
        <f>'Alternative 3-Tilt Up'!$AX91/1000000</f>
        <v>#VALUE!</v>
      </c>
      <c r="AH91" s="290" t="e">
        <f>'Alternative 3-Tilt Up'!$BD91/1000000</f>
        <v>#VALUE!</v>
      </c>
      <c r="AI91" s="290" t="e">
        <f>'Alternative 3-Tilt Up'!$BJ91/1000000</f>
        <v>#VALUE!</v>
      </c>
      <c r="AJ91" s="290" t="e">
        <f>'Alternative 3-Tilt Up'!$BP91/1000000</f>
        <v>#VALUE!</v>
      </c>
      <c r="AK91" s="290" t="e">
        <f>'Alternative 3-Tilt Up'!$BV91/1000000</f>
        <v>#VALUE!</v>
      </c>
      <c r="AL91" s="290">
        <f>'[3]Alternative 3'!$B$20/1.67</f>
        <v>149.70059880239521</v>
      </c>
    </row>
    <row r="92" spans="1:38" x14ac:dyDescent="0.25">
      <c r="A92" s="290" t="str">
        <f>'Alternative 1'!F93</f>
        <v>x</v>
      </c>
      <c r="B92" s="290" t="e">
        <f>'Alternative 1-Tilt Up'!T92/1000000</f>
        <v>#VALUE!</v>
      </c>
      <c r="C92" s="290" t="e">
        <f>'Alternative 1-Tilt Up'!$Z92/1000000</f>
        <v>#VALUE!</v>
      </c>
      <c r="D92" s="290" t="e">
        <f>'Alternative 1-Tilt Up'!$AF92/1000000</f>
        <v>#VALUE!</v>
      </c>
      <c r="E92" s="290" t="e">
        <f>'Alternative 1-Tilt Up'!$AL92/1000000</f>
        <v>#VALUE!</v>
      </c>
      <c r="F92" s="290" t="e">
        <f>'Alternative 1-Tilt Up'!$AR92/1000000</f>
        <v>#VALUE!</v>
      </c>
      <c r="G92" s="290" t="e">
        <f>'Alternative 1-Tilt Up'!$AX92/1000000</f>
        <v>#VALUE!</v>
      </c>
      <c r="H92" s="290" t="e">
        <f>'Alternative 1-Tilt Up'!$BD92/1000000</f>
        <v>#VALUE!</v>
      </c>
      <c r="I92" s="290" t="e">
        <f>'Alternative 1-Tilt Up'!$BJ92/1000000</f>
        <v>#VALUE!</v>
      </c>
      <c r="J92" s="290" t="e">
        <f>'Alternative 1-Tilt Up'!$BP92/1000000</f>
        <v>#VALUE!</v>
      </c>
      <c r="K92" s="290" t="e">
        <f>'Alternative 1-Tilt Up'!$BV92/1000000</f>
        <v>#VALUE!</v>
      </c>
      <c r="L92" s="290">
        <f>'[3]Alternative 1'!$B$20/1.67</f>
        <v>149.70059880239521</v>
      </c>
      <c r="N92" s="290" t="str">
        <f>'Alternative 2'!F93</f>
        <v>x</v>
      </c>
      <c r="O92" s="290" t="e">
        <f>'Alternative 2-Tilt Up'!$T92/1000000</f>
        <v>#VALUE!</v>
      </c>
      <c r="P92" s="290" t="e">
        <f>'Alternative 2-Tilt Up'!$Z92/1000000</f>
        <v>#VALUE!</v>
      </c>
      <c r="Q92" s="290" t="e">
        <f>'Alternative 2-Tilt Up'!$AF92/1000000</f>
        <v>#VALUE!</v>
      </c>
      <c r="R92" s="290" t="e">
        <f>'Alternative 2-Tilt Up'!$AL92/1000000</f>
        <v>#VALUE!</v>
      </c>
      <c r="S92" s="290" t="e">
        <f>'Alternative 2-Tilt Up'!$AR92/1000000</f>
        <v>#VALUE!</v>
      </c>
      <c r="T92" s="290" t="e">
        <f>'Alternative 2-Tilt Up'!$AX92/1000000</f>
        <v>#VALUE!</v>
      </c>
      <c r="U92" s="290" t="e">
        <f>'Alternative 2-Tilt Up'!$BD92/1000000</f>
        <v>#VALUE!</v>
      </c>
      <c r="V92" s="290" t="e">
        <f>'Alternative 2-Tilt Up'!$BJ92/1000000</f>
        <v>#VALUE!</v>
      </c>
      <c r="W92" s="290" t="e">
        <f>'Alternative 2-Tilt Up'!$BP92/1000000</f>
        <v>#VALUE!</v>
      </c>
      <c r="X92" s="290" t="e">
        <f>'Alternative 2-Tilt Up'!$BV92/1000000</f>
        <v>#VALUE!</v>
      </c>
      <c r="Y92" s="290">
        <f>'[3]Alternative 2'!$B$20/1.67</f>
        <v>149.70059880239521</v>
      </c>
      <c r="AA92" s="290" t="str">
        <f>'Alternative 3'!F93</f>
        <v>x</v>
      </c>
      <c r="AB92" s="290" t="e">
        <f>'Alternative 3-Tilt Up'!$T92/1000000</f>
        <v>#VALUE!</v>
      </c>
      <c r="AC92" s="290" t="e">
        <f>'Alternative 3-Tilt Up'!$Z92/1000000</f>
        <v>#VALUE!</v>
      </c>
      <c r="AD92" s="290" t="e">
        <f>'Alternative 3-Tilt Up'!$AF92/1000000</f>
        <v>#VALUE!</v>
      </c>
      <c r="AE92" s="290" t="e">
        <f>'Alternative 3-Tilt Up'!$AL92/1000000</f>
        <v>#VALUE!</v>
      </c>
      <c r="AF92" s="290" t="e">
        <f>'Alternative 3-Tilt Up'!$AR92/1000000</f>
        <v>#VALUE!</v>
      </c>
      <c r="AG92" s="290" t="e">
        <f>'Alternative 3-Tilt Up'!$AX92/1000000</f>
        <v>#VALUE!</v>
      </c>
      <c r="AH92" s="290" t="e">
        <f>'Alternative 3-Tilt Up'!$BD92/1000000</f>
        <v>#VALUE!</v>
      </c>
      <c r="AI92" s="290" t="e">
        <f>'Alternative 3-Tilt Up'!$BJ92/1000000</f>
        <v>#VALUE!</v>
      </c>
      <c r="AJ92" s="290" t="e">
        <f>'Alternative 3-Tilt Up'!$BP92/1000000</f>
        <v>#VALUE!</v>
      </c>
      <c r="AK92" s="290" t="e">
        <f>'Alternative 3-Tilt Up'!$BV92/1000000</f>
        <v>#VALUE!</v>
      </c>
      <c r="AL92" s="290">
        <f>'[3]Alternative 3'!$B$20/1.67</f>
        <v>149.70059880239521</v>
      </c>
    </row>
  </sheetData>
  <mergeCells count="5">
    <mergeCell ref="AA1:AL1"/>
    <mergeCell ref="A1:K1"/>
    <mergeCell ref="M1:M1048576"/>
    <mergeCell ref="N1:X1"/>
    <mergeCell ref="Z1:Z10485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I382"/>
  <sheetViews>
    <sheetView showGridLines="0" topLeftCell="A206" zoomScale="60" zoomScaleNormal="60" workbookViewId="0">
      <selection activeCell="Q200" sqref="Q200"/>
    </sheetView>
  </sheetViews>
  <sheetFormatPr defaultColWidth="9.140625" defaultRowHeight="15" x14ac:dyDescent="0.25"/>
  <cols>
    <col min="1" max="1" width="3.7109375" style="5" customWidth="1"/>
    <col min="2" max="2" width="21.28515625" style="5" customWidth="1"/>
    <col min="3" max="3" width="11.5703125" style="5" customWidth="1"/>
    <col min="4" max="4" width="21.85546875" style="5" customWidth="1"/>
    <col min="5" max="5" width="23" style="5" customWidth="1"/>
    <col min="6" max="6" width="18.28515625" style="5" customWidth="1"/>
    <col min="7" max="7" width="9.140625" style="5" customWidth="1"/>
    <col min="8" max="8" width="32.42578125" style="5" customWidth="1"/>
    <col min="9" max="9" width="11.28515625" style="5" customWidth="1"/>
    <col min="10" max="29" width="9.140625" style="5"/>
    <col min="30" max="35" width="0" style="5" hidden="1" customWidth="1"/>
    <col min="36" max="16384" width="9.140625" style="5"/>
  </cols>
  <sheetData>
    <row r="1" spans="1:35" ht="46.5" x14ac:dyDescent="0.7">
      <c r="A1" s="214" t="s">
        <v>141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8"/>
    </row>
    <row r="2" spans="1:3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5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8.2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9.75" customHeight="1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1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5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ht="8.25" customHeight="1" x14ac:dyDescent="0.25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ht="9.75" customHeight="1" x14ac:dyDescent="0.25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1"/>
    </row>
    <row r="53" spans="1:35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5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:35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35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:35" ht="11.25" customHeight="1" x14ac:dyDescent="0.25">
      <c r="A78" s="211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3"/>
    </row>
    <row r="79" spans="1:35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:35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:35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35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:35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:35" ht="31.5" x14ac:dyDescent="0.5">
      <c r="A84" s="45"/>
      <c r="B84" s="225" t="s">
        <v>190</v>
      </c>
      <c r="C84" s="225"/>
      <c r="D84" s="225"/>
      <c r="E84" s="225"/>
      <c r="F84" s="225"/>
      <c r="G84" s="225"/>
      <c r="H84" s="22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ht="28.5" x14ac:dyDescent="0.25">
      <c r="A85" s="45"/>
      <c r="B85" s="66"/>
      <c r="C85" s="223" t="s">
        <v>120</v>
      </c>
      <c r="D85" s="223"/>
      <c r="E85" s="223" t="s">
        <v>121</v>
      </c>
      <c r="F85" s="223"/>
      <c r="G85" s="223" t="s">
        <v>122</v>
      </c>
      <c r="H85" s="223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:35" ht="63" customHeight="1" x14ac:dyDescent="0.25">
      <c r="A86" s="45"/>
      <c r="B86" s="67" t="s">
        <v>189</v>
      </c>
      <c r="C86" s="224">
        <f>'Alternative 2-Tilt Up'!$V$3</f>
        <v>16.931848514174092</v>
      </c>
      <c r="D86" s="224"/>
      <c r="E86" s="224">
        <f>'Alternative 2-Tilt Up'!$V$3</f>
        <v>16.931848514174092</v>
      </c>
      <c r="F86" s="224"/>
      <c r="G86" s="224">
        <f>'Alternative 3-Tilt Up'!$V$3</f>
        <v>16.931848514174092</v>
      </c>
      <c r="H86" s="224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ht="11.25" customHeight="1" x14ac:dyDescent="0.25">
      <c r="A93" s="211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3"/>
    </row>
    <row r="94" spans="1:3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:3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:35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:35" ht="31.5" x14ac:dyDescent="0.5">
      <c r="A99" s="45"/>
      <c r="B99" s="225" t="s">
        <v>187</v>
      </c>
      <c r="C99" s="225"/>
      <c r="D99" s="225"/>
      <c r="E99" s="225"/>
      <c r="F99" s="225"/>
      <c r="G99" s="225"/>
      <c r="H99" s="22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:35" ht="28.5" x14ac:dyDescent="0.25">
      <c r="A100" s="45"/>
      <c r="B100" s="121"/>
      <c r="C100" s="223" t="s">
        <v>120</v>
      </c>
      <c r="D100" s="223"/>
      <c r="E100" s="223" t="s">
        <v>121</v>
      </c>
      <c r="F100" s="223"/>
      <c r="G100" s="223" t="s">
        <v>122</v>
      </c>
      <c r="H100" s="22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:35" ht="88.5" customHeight="1" x14ac:dyDescent="0.25">
      <c r="A101" s="45"/>
      <c r="B101" s="67" t="s">
        <v>188</v>
      </c>
      <c r="C101" s="226">
        <f>'Alternative 1-Tilt Up'!$N$5</f>
        <v>5996068.2740079593</v>
      </c>
      <c r="D101" s="227"/>
      <c r="E101" s="226">
        <f>'Alternative 2-Tilt Up'!$N$5</f>
        <v>5996068.2740079593</v>
      </c>
      <c r="F101" s="227"/>
      <c r="G101" s="226">
        <f>'Alternative 3-Tilt Up'!$N$5</f>
        <v>5996068.2740079593</v>
      </c>
      <c r="H101" s="22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:35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35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:35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:35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35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:35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:35" x14ac:dyDescent="0.25">
      <c r="A108" s="211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3"/>
    </row>
    <row r="109" spans="1:35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</row>
    <row r="110" spans="1:35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spans="1:35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</row>
    <row r="112" spans="1:35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spans="1:29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</row>
    <row r="114" spans="1:29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188" t="s">
        <v>226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</row>
    <row r="115" spans="1:29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</row>
    <row r="116" spans="1:29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spans="1:29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</row>
    <row r="118" spans="1:29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spans="1:29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spans="1:29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</row>
    <row r="121" spans="1:29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spans="1:29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spans="1:29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spans="1:29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spans="1:29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</row>
    <row r="127" spans="1:29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</row>
    <row r="129" spans="1:35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spans="1:35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35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35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spans="1:35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35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spans="1:35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35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spans="1:35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</row>
    <row r="138" spans="1:35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</row>
    <row r="139" spans="1:35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35" x14ac:dyDescent="0.25">
      <c r="A140" s="211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3"/>
    </row>
    <row r="141" spans="1:35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</row>
    <row r="142" spans="1:35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</row>
    <row r="143" spans="1:35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</row>
    <row r="144" spans="1:35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spans="1:29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</row>
    <row r="146" spans="1:29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</row>
    <row r="147" spans="1:29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</row>
    <row r="148" spans="1:29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</row>
    <row r="149" spans="1:29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</row>
    <row r="150" spans="1:29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</row>
    <row r="151" spans="1:29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</row>
    <row r="152" spans="1:29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</row>
    <row r="153" spans="1:29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</row>
    <row r="155" spans="1:29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</row>
    <row r="156" spans="1:29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</row>
    <row r="157" spans="1:29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</row>
    <row r="158" spans="1:29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</row>
    <row r="159" spans="1:29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</row>
    <row r="160" spans="1:29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</row>
    <row r="161" spans="1:35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</row>
    <row r="162" spans="1:35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</row>
    <row r="163" spans="1:35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</row>
    <row r="164" spans="1:35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</row>
    <row r="165" spans="1:35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</row>
    <row r="166" spans="1:35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</row>
    <row r="167" spans="1:35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</row>
    <row r="168" spans="1:35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</row>
    <row r="169" spans="1:35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</row>
    <row r="170" spans="1:35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</row>
    <row r="171" spans="1:35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</row>
    <row r="172" spans="1:35" x14ac:dyDescent="0.25">
      <c r="A172" s="211"/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3"/>
    </row>
    <row r="173" spans="1:35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</row>
    <row r="174" spans="1:35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</row>
    <row r="175" spans="1:35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</row>
    <row r="176" spans="1:35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</row>
    <row r="177" spans="1:29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</row>
    <row r="178" spans="1:29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</row>
    <row r="179" spans="1:29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</row>
    <row r="180" spans="1:29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</row>
    <row r="181" spans="1:29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</row>
    <row r="182" spans="1:29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spans="1:29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spans="1:29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:29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spans="1:29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spans="1:29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spans="1:29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:29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</row>
    <row r="190" spans="1:29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spans="1:29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</row>
    <row r="192" spans="1:29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</row>
    <row r="193" spans="1:35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</row>
    <row r="194" spans="1:35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spans="1:35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</row>
    <row r="196" spans="1:35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</row>
    <row r="197" spans="1:35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</row>
    <row r="198" spans="1:35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spans="1:35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spans="1:35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spans="1:35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spans="1:35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spans="1:35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spans="1:35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1:35" ht="39.75" customHeight="1" x14ac:dyDescent="0.25">
      <c r="A205" s="63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5"/>
    </row>
    <row r="206" spans="1:35" ht="61.5" x14ac:dyDescent="0.9">
      <c r="A206" s="214" t="s">
        <v>140</v>
      </c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6"/>
    </row>
    <row r="207" spans="1:35" ht="51" customHeigh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</row>
    <row r="208" spans="1:35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</row>
    <row r="209" spans="1:35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</row>
    <row r="210" spans="1:35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</row>
    <row r="211" spans="1:35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</row>
    <row r="212" spans="1:35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:35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:35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:35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:35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:35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:35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:35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:35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:35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:35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:35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  <row r="224" spans="1:35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</row>
    <row r="225" spans="1:35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</row>
    <row r="226" spans="1:35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</row>
    <row r="227" spans="1:35" ht="43.5" customHeigh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</row>
    <row r="228" spans="1:35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</row>
    <row r="229" spans="1:35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</row>
    <row r="230" spans="1:35" x14ac:dyDescent="0.25">
      <c r="A230" s="211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3"/>
    </row>
    <row r="231" spans="1:35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</row>
    <row r="232" spans="1:35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</row>
    <row r="233" spans="1:35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</row>
    <row r="234" spans="1:35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</row>
    <row r="235" spans="1:35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</row>
    <row r="236" spans="1:35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</row>
    <row r="237" spans="1:35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</row>
    <row r="238" spans="1:35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</row>
    <row r="239" spans="1:35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</row>
    <row r="240" spans="1:35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</row>
    <row r="241" spans="1:29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</row>
    <row r="242" spans="1:29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</row>
    <row r="243" spans="1:29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</row>
    <row r="244" spans="1:29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</row>
    <row r="245" spans="1:29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</row>
    <row r="246" spans="1:29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</row>
    <row r="247" spans="1:29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</row>
    <row r="248" spans="1:29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</row>
    <row r="249" spans="1:29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</row>
    <row r="250" spans="1:29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</row>
    <row r="251" spans="1:29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</row>
    <row r="252" spans="1:29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</row>
    <row r="253" spans="1:29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</row>
    <row r="254" spans="1:29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</row>
    <row r="255" spans="1:29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</row>
    <row r="256" spans="1:29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</row>
    <row r="257" spans="1:35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</row>
    <row r="258" spans="1:35" x14ac:dyDescent="0.25">
      <c r="A258" s="211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3"/>
    </row>
    <row r="259" spans="1:35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</row>
    <row r="260" spans="1:35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</row>
    <row r="261" spans="1:35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</row>
    <row r="262" spans="1:35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</row>
    <row r="263" spans="1:35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</row>
    <row r="264" spans="1:35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spans="1:35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</row>
    <row r="266" spans="1:35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</row>
    <row r="267" spans="1:35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</row>
    <row r="268" spans="1:35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</row>
    <row r="269" spans="1:35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</row>
    <row r="270" spans="1:35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</row>
    <row r="271" spans="1:35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</row>
    <row r="272" spans="1:35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</row>
    <row r="273" spans="1:35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</row>
    <row r="274" spans="1:35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</row>
    <row r="275" spans="1:35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</row>
    <row r="276" spans="1:35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</row>
    <row r="277" spans="1:35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</row>
    <row r="278" spans="1:35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spans="1:35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spans="1:35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</row>
    <row r="281" spans="1:35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</row>
    <row r="282" spans="1:35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spans="1:35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</row>
    <row r="284" spans="1:35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</row>
    <row r="285" spans="1:35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</row>
    <row r="286" spans="1:35" x14ac:dyDescent="0.25">
      <c r="A286" s="211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3"/>
    </row>
    <row r="287" spans="1:35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</row>
    <row r="288" spans="1:35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</row>
    <row r="289" spans="1:29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</row>
    <row r="290" spans="1:29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</row>
    <row r="291" spans="1:29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</row>
    <row r="292" spans="1:29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</row>
    <row r="293" spans="1:29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</row>
    <row r="294" spans="1:29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</row>
    <row r="295" spans="1:29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</row>
    <row r="296" spans="1:29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</row>
    <row r="297" spans="1:29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</row>
    <row r="298" spans="1:29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</row>
    <row r="299" spans="1:29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</row>
    <row r="300" spans="1:29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</row>
    <row r="301" spans="1:29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</row>
    <row r="302" spans="1:29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</row>
    <row r="303" spans="1:29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</row>
    <row r="304" spans="1:29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</row>
    <row r="305" spans="1:35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</row>
    <row r="306" spans="1:35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</row>
    <row r="307" spans="1:35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spans="1:35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</row>
    <row r="309" spans="1:35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spans="1:35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</row>
    <row r="311" spans="1:35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spans="1:35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</row>
    <row r="313" spans="1:35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</row>
    <row r="314" spans="1:35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</row>
    <row r="315" spans="1:35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</row>
    <row r="316" spans="1:35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</row>
    <row r="317" spans="1:35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</row>
    <row r="318" spans="1:35" x14ac:dyDescent="0.25">
      <c r="A318" s="211"/>
      <c r="B318" s="212"/>
      <c r="C318" s="212"/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2"/>
      <c r="Q318" s="212"/>
      <c r="R318" s="212"/>
      <c r="S318" s="212"/>
      <c r="T318" s="212"/>
      <c r="U318" s="21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/>
      <c r="AF318" s="212"/>
      <c r="AG318" s="212"/>
      <c r="AH318" s="212"/>
      <c r="AI318" s="213"/>
    </row>
    <row r="319" spans="1:35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</row>
    <row r="320" spans="1:35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</row>
    <row r="321" spans="1:29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</row>
    <row r="322" spans="1:29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</row>
    <row r="323" spans="1:29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</row>
    <row r="324" spans="1:29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</row>
    <row r="325" spans="1:29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</row>
    <row r="326" spans="1:29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</row>
    <row r="327" spans="1:29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</row>
    <row r="328" spans="1:29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spans="1:29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spans="1:29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</row>
    <row r="331" spans="1:29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</row>
    <row r="332" spans="1:29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spans="1:29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</row>
    <row r="334" spans="1:29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</row>
    <row r="335" spans="1:29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</row>
    <row r="336" spans="1:29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</row>
    <row r="337" spans="1:35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</row>
    <row r="338" spans="1:35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</row>
    <row r="339" spans="1:35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</row>
    <row r="340" spans="1:35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</row>
    <row r="341" spans="1:35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</row>
    <row r="342" spans="1:35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</row>
    <row r="343" spans="1:35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</row>
    <row r="344" spans="1:35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</row>
    <row r="345" spans="1:35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</row>
    <row r="346" spans="1:35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</row>
    <row r="347" spans="1:35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</row>
    <row r="348" spans="1:35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</row>
    <row r="349" spans="1:35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</row>
    <row r="350" spans="1:35" x14ac:dyDescent="0.25">
      <c r="A350" s="211"/>
      <c r="B350" s="212"/>
      <c r="C350" s="212"/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3"/>
    </row>
    <row r="351" spans="1:35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</row>
    <row r="352" spans="1:35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</row>
    <row r="353" spans="1:29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</row>
    <row r="354" spans="1:29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</row>
    <row r="355" spans="1:29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</row>
    <row r="356" spans="1:29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</row>
    <row r="357" spans="1:29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spans="1:29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</row>
    <row r="359" spans="1:29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</row>
    <row r="360" spans="1:29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</row>
    <row r="361" spans="1:29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</row>
    <row r="362" spans="1:29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</row>
    <row r="363" spans="1:29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</row>
    <row r="364" spans="1:29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</row>
    <row r="365" spans="1:29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</row>
    <row r="366" spans="1:29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</row>
    <row r="367" spans="1:29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</row>
    <row r="368" spans="1:29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</row>
    <row r="369" spans="1:35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</row>
    <row r="370" spans="1:35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</row>
    <row r="371" spans="1:35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</row>
    <row r="372" spans="1:35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</row>
    <row r="373" spans="1:35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</row>
    <row r="374" spans="1:35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</row>
    <row r="375" spans="1:35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</row>
    <row r="376" spans="1:35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</row>
    <row r="377" spans="1:35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</row>
    <row r="378" spans="1:35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spans="1:35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spans="1:35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</row>
    <row r="381" spans="1:35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</row>
    <row r="382" spans="1:35" x14ac:dyDescent="0.25">
      <c r="A382" s="211"/>
      <c r="B382" s="212"/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Q382" s="212"/>
      <c r="R382" s="212"/>
      <c r="S382" s="212"/>
      <c r="T382" s="212"/>
      <c r="U382" s="212"/>
      <c r="V382" s="212"/>
      <c r="W382" s="212"/>
      <c r="X382" s="212"/>
      <c r="Y382" s="212"/>
      <c r="Z382" s="212"/>
      <c r="AA382" s="212"/>
      <c r="AB382" s="212"/>
      <c r="AC382" s="212"/>
      <c r="AD382" s="212"/>
      <c r="AE382" s="212"/>
      <c r="AF382" s="212"/>
      <c r="AG382" s="212"/>
      <c r="AH382" s="212"/>
      <c r="AI382" s="213"/>
    </row>
  </sheetData>
  <mergeCells count="30">
    <mergeCell ref="A318:AI318"/>
    <mergeCell ref="A350:AI350"/>
    <mergeCell ref="A382:AI382"/>
    <mergeCell ref="C101:D101"/>
    <mergeCell ref="E101:F101"/>
    <mergeCell ref="G101:H101"/>
    <mergeCell ref="A258:AI258"/>
    <mergeCell ref="A286:AI286"/>
    <mergeCell ref="B84:H84"/>
    <mergeCell ref="A93:AI93"/>
    <mergeCell ref="B99:H99"/>
    <mergeCell ref="C100:D100"/>
    <mergeCell ref="E100:F100"/>
    <mergeCell ref="G100:H100"/>
    <mergeCell ref="C85:D85"/>
    <mergeCell ref="E85:F85"/>
    <mergeCell ref="G85:H85"/>
    <mergeCell ref="C86:D86"/>
    <mergeCell ref="E86:F86"/>
    <mergeCell ref="G86:H86"/>
    <mergeCell ref="A1:AI1"/>
    <mergeCell ref="A26:AI26"/>
    <mergeCell ref="A39:M39"/>
    <mergeCell ref="A52:AI52"/>
    <mergeCell ref="A78:AI78"/>
    <mergeCell ref="A108:AI108"/>
    <mergeCell ref="A140:AI140"/>
    <mergeCell ref="A172:AI172"/>
    <mergeCell ref="A230:AI230"/>
    <mergeCell ref="A206:AI20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T93"/>
  <sheetViews>
    <sheetView zoomScale="80" zoomScaleNormal="80" workbookViewId="0">
      <selection activeCell="B19" sqref="B19"/>
    </sheetView>
  </sheetViews>
  <sheetFormatPr defaultRowHeight="15" x14ac:dyDescent="0.25"/>
  <cols>
    <col min="1" max="1" width="23.42578125" customWidth="1"/>
    <col min="2" max="2" width="18" bestFit="1" customWidth="1"/>
    <col min="3" max="3" width="7.7109375" bestFit="1" customWidth="1"/>
    <col min="4" max="4" width="2.5703125" customWidth="1"/>
    <col min="5" max="5" width="4.28515625" style="40" hidden="1" customWidth="1"/>
    <col min="7" max="7" width="9.140625" style="2"/>
    <col min="8" max="8" width="12.85546875" style="2" bestFit="1" customWidth="1"/>
    <col min="9" max="9" width="10" bestFit="1" customWidth="1"/>
    <col min="10" max="10" width="13" bestFit="1" customWidth="1"/>
    <col min="11" max="11" width="12.42578125" bestFit="1" customWidth="1"/>
    <col min="12" max="12" width="12.42578125" customWidth="1"/>
    <col min="13" max="13" width="10" bestFit="1" customWidth="1"/>
    <col min="14" max="14" width="13.140625" customWidth="1"/>
    <col min="15" max="15" width="12.7109375" customWidth="1"/>
    <col min="16" max="16" width="14" customWidth="1"/>
    <col min="17" max="17" width="2.5703125" customWidth="1"/>
    <col min="18" max="18" width="12.5703125" customWidth="1"/>
    <col min="20" max="20" width="17.7109375" customWidth="1"/>
  </cols>
  <sheetData>
    <row r="1" spans="1:20" x14ac:dyDescent="0.25">
      <c r="A1" s="231" t="s">
        <v>8</v>
      </c>
      <c r="B1" s="231"/>
      <c r="C1" s="234"/>
      <c r="D1" s="233"/>
      <c r="E1" s="41"/>
      <c r="F1" s="231" t="s">
        <v>44</v>
      </c>
      <c r="G1" s="231"/>
      <c r="H1" s="231"/>
      <c r="I1" s="232"/>
      <c r="J1" s="232"/>
      <c r="K1" s="232"/>
      <c r="L1" s="232"/>
      <c r="M1" s="232"/>
      <c r="N1" s="232"/>
      <c r="O1" s="232"/>
      <c r="P1" s="232"/>
      <c r="Q1" s="233"/>
      <c r="R1" s="228" t="s">
        <v>177</v>
      </c>
      <c r="S1" s="228"/>
      <c r="T1" s="228"/>
    </row>
    <row r="2" spans="1:20" ht="45" x14ac:dyDescent="0.25">
      <c r="A2" s="18" t="s">
        <v>12</v>
      </c>
      <c r="B2" s="131">
        <v>944</v>
      </c>
      <c r="C2" s="110" t="s">
        <v>2</v>
      </c>
      <c r="D2" s="233"/>
      <c r="E2" s="41" t="s">
        <v>36</v>
      </c>
      <c r="F2" s="21" t="s">
        <v>4</v>
      </c>
      <c r="G2" s="21" t="s">
        <v>53</v>
      </c>
      <c r="H2" s="21" t="s">
        <v>153</v>
      </c>
      <c r="I2" s="21" t="s">
        <v>47</v>
      </c>
      <c r="J2" s="21" t="s">
        <v>26</v>
      </c>
      <c r="K2" s="21" t="s">
        <v>45</v>
      </c>
      <c r="L2" s="21" t="s">
        <v>5</v>
      </c>
      <c r="M2" s="21" t="s">
        <v>6</v>
      </c>
      <c r="N2" s="21" t="s">
        <v>46</v>
      </c>
      <c r="O2" s="21" t="s">
        <v>7</v>
      </c>
      <c r="P2" s="21" t="s">
        <v>24</v>
      </c>
      <c r="Q2" s="233"/>
      <c r="R2" s="117"/>
      <c r="S2" s="229" t="s">
        <v>179</v>
      </c>
      <c r="T2" s="230"/>
    </row>
    <row r="3" spans="1:20" x14ac:dyDescent="0.25">
      <c r="A3" s="18" t="s">
        <v>12</v>
      </c>
      <c r="B3" s="133">
        <f>B2*9.80665</f>
        <v>9257.4776000000002</v>
      </c>
      <c r="C3" s="110" t="s">
        <v>28</v>
      </c>
      <c r="D3" s="233"/>
      <c r="E3" s="41">
        <v>0</v>
      </c>
      <c r="F3" s="8">
        <v>0</v>
      </c>
      <c r="G3" s="28" t="s">
        <v>43</v>
      </c>
      <c r="H3" s="39">
        <f>B16</f>
        <v>2.1360000000000001</v>
      </c>
      <c r="I3" s="38">
        <f>B16/2</f>
        <v>1.0680000000000001</v>
      </c>
      <c r="J3" s="38">
        <f>I3-$B$17</f>
        <v>1.048</v>
      </c>
      <c r="K3" s="9">
        <f>AVERAGE(I3:J3)</f>
        <v>1.0580000000000001</v>
      </c>
      <c r="L3" s="7">
        <f>3.14159*(K3^3)*($B$17)</f>
        <v>7.4410890963761606E-2</v>
      </c>
      <c r="M3" s="7">
        <f>(3.141593)*(K3^2)</f>
        <v>3.5165861068519999</v>
      </c>
      <c r="N3" s="7">
        <f>SQRT(L3/M3)</f>
        <v>0.14546470291342384</v>
      </c>
      <c r="O3" s="7">
        <f>($I$10*F3)/N3</f>
        <v>0</v>
      </c>
      <c r="P3" s="7">
        <f>($I$10*F3)/K3</f>
        <v>0</v>
      </c>
      <c r="Q3" s="233"/>
      <c r="R3" s="118"/>
      <c r="S3" s="229" t="s">
        <v>180</v>
      </c>
      <c r="T3" s="230"/>
    </row>
    <row r="4" spans="1:20" x14ac:dyDescent="0.25">
      <c r="A4" s="18" t="s">
        <v>13</v>
      </c>
      <c r="B4" s="132">
        <v>564</v>
      </c>
      <c r="C4" s="110" t="s">
        <v>2</v>
      </c>
      <c r="D4" s="233"/>
      <c r="E4" s="41">
        <f>E3+1</f>
        <v>1</v>
      </c>
      <c r="F4" s="7">
        <f>IF((E4&lt;='Alternative 1'!$B$12),F3+1,"x")</f>
        <v>1</v>
      </c>
      <c r="G4" s="1">
        <v>0.5</v>
      </c>
      <c r="H4" s="39">
        <f>IF(F4&gt;0,(($B$16)-((($B$16)-($B$15))/$B$12)*G4),0)</f>
        <v>2.1260555555555558</v>
      </c>
      <c r="I4" s="38">
        <f>IF(F4&gt;0,(($B$16/2)-((($B$16/2)-($B$15/2))/$B$12)*F4),0)</f>
        <v>1.0580555555555555</v>
      </c>
      <c r="J4" s="38">
        <f>IF(F4&gt;0,I4-$B$17,0)</f>
        <v>1.0380555555555555</v>
      </c>
      <c r="K4" s="9">
        <f>AVERAGE(I4:J4)</f>
        <v>1.0480555555555555</v>
      </c>
      <c r="L4" s="7">
        <f>3.14159*(K4^3)*($B$17)</f>
        <v>7.2332323308615387E-2</v>
      </c>
      <c r="M4" s="7">
        <f>(3.141593)*(K4^2)</f>
        <v>3.4507899890198299</v>
      </c>
      <c r="N4" s="7">
        <f>SQRT(L4/M4)</f>
        <v>0.14477945674275283</v>
      </c>
      <c r="O4" s="7">
        <f>($I$9*F4)/N4</f>
        <v>6.9646160858647308</v>
      </c>
      <c r="P4" s="7">
        <f>($I$9*F4)/K4</f>
        <v>0.96209912536443154</v>
      </c>
      <c r="Q4" s="233"/>
      <c r="R4" s="119"/>
      <c r="S4" s="229" t="s">
        <v>178</v>
      </c>
      <c r="T4" s="230"/>
    </row>
    <row r="5" spans="1:20" x14ac:dyDescent="0.25">
      <c r="A5" s="18" t="s">
        <v>13</v>
      </c>
      <c r="B5" s="135">
        <f>B4*9.80665</f>
        <v>5530.9506000000001</v>
      </c>
      <c r="C5" s="110" t="s">
        <v>28</v>
      </c>
      <c r="D5" s="233"/>
      <c r="E5" s="41">
        <f t="shared" ref="E5:E68" si="0">E4+1</f>
        <v>2</v>
      </c>
      <c r="F5" s="7">
        <f>IF((E5&lt;='Alternative 1'!$B$12),F4+1,"x")</f>
        <v>2</v>
      </c>
      <c r="G5" s="129">
        <f>IF(E5&lt;='Alternative 1'!$B$12,G4+1,0)</f>
        <v>1.5</v>
      </c>
      <c r="H5" s="39">
        <f t="shared" ref="H5:H68" si="1">IF(F5&gt;0,(($B$16)-((($B$16)-($B$15))/$B$12)*G5),0)</f>
        <v>2.1061666666666667</v>
      </c>
      <c r="I5" s="38">
        <f t="shared" ref="I5:I68" si="2">IF(F5&gt;0,(($B$16/2)-((($B$16/2)-($B$15/2))/$B$12)*F5),0)</f>
        <v>1.0481111111111112</v>
      </c>
      <c r="J5" s="38">
        <f t="shared" ref="J5:J68" si="3">IF(F5&gt;0,I5-$B$17,0)</f>
        <v>1.0281111111111112</v>
      </c>
      <c r="K5" s="9">
        <f t="shared" ref="K5:K68" si="4">AVERAGE(I5:J5)</f>
        <v>1.0381111111111112</v>
      </c>
      <c r="L5" s="7">
        <f t="shared" ref="L5:L68" si="5">3.14159*(K5^3)*($B$17)</f>
        <v>7.0292828595055867E-2</v>
      </c>
      <c r="M5" s="7">
        <f t="shared" ref="M5:M68" si="6">(3.141593)*(K5^2)</f>
        <v>3.3856152278624325</v>
      </c>
      <c r="N5" s="7">
        <f t="shared" ref="N5:N68" si="7">SQRT(L5/M5)</f>
        <v>0.14409095181781068</v>
      </c>
      <c r="O5" s="7">
        <f t="shared" ref="O5:O68" si="8">($I$9*F5)/N5</f>
        <v>13.995789751021633</v>
      </c>
      <c r="P5" s="7">
        <f t="shared" ref="P5:P68" si="9">($I$9*F5)/K5</f>
        <v>1.9426308466231401</v>
      </c>
      <c r="Q5" s="233"/>
    </row>
    <row r="6" spans="1:20" x14ac:dyDescent="0.25">
      <c r="A6" s="18" t="s">
        <v>16</v>
      </c>
      <c r="B6" s="132">
        <v>37</v>
      </c>
      <c r="C6" s="110" t="s">
        <v>1</v>
      </c>
      <c r="D6" s="233"/>
      <c r="E6" s="41">
        <f t="shared" si="0"/>
        <v>3</v>
      </c>
      <c r="F6" s="7">
        <f>IF((E6&lt;='Alternative 1'!$B$12),F5+1,"x")</f>
        <v>3</v>
      </c>
      <c r="G6" s="129">
        <f>IF(E6&lt;='Alternative 1'!$B$12,G5+1,0)</f>
        <v>2.5</v>
      </c>
      <c r="H6" s="39">
        <f t="shared" si="1"/>
        <v>2.0862777777777777</v>
      </c>
      <c r="I6" s="38">
        <f t="shared" si="2"/>
        <v>1.0381666666666667</v>
      </c>
      <c r="J6" s="38">
        <f t="shared" si="3"/>
        <v>1.0181666666666667</v>
      </c>
      <c r="K6" s="9">
        <f t="shared" si="4"/>
        <v>1.0281666666666667</v>
      </c>
      <c r="L6" s="7">
        <f t="shared" si="5"/>
        <v>6.8292036080620955E-2</v>
      </c>
      <c r="M6" s="7">
        <f t="shared" si="6"/>
        <v>3.3210618233798055</v>
      </c>
      <c r="N6" s="7">
        <f t="shared" si="7"/>
        <v>0.14339914119965511</v>
      </c>
      <c r="O6" s="7">
        <f t="shared" si="8"/>
        <v>21.094965943961146</v>
      </c>
      <c r="P6" s="7">
        <f t="shared" si="9"/>
        <v>2.9421300048630248</v>
      </c>
      <c r="Q6" s="233"/>
    </row>
    <row r="7" spans="1:20" x14ac:dyDescent="0.25">
      <c r="A7" s="18" t="s">
        <v>17</v>
      </c>
      <c r="B7" s="132">
        <v>9.5</v>
      </c>
      <c r="C7" s="110" t="s">
        <v>20</v>
      </c>
      <c r="D7" s="233"/>
      <c r="E7" s="41">
        <f t="shared" si="0"/>
        <v>4</v>
      </c>
      <c r="F7" s="7">
        <f>IF((E7&lt;='Alternative 1'!$B$12),F6+1,"x")</f>
        <v>4</v>
      </c>
      <c r="G7" s="129">
        <f>IF(E7&lt;='Alternative 1'!$B$12,G6+1,0)</f>
        <v>3.5</v>
      </c>
      <c r="H7" s="39">
        <f t="shared" si="1"/>
        <v>2.0663888888888891</v>
      </c>
      <c r="I7" s="38">
        <f t="shared" si="2"/>
        <v>1.0282222222222224</v>
      </c>
      <c r="J7" s="38">
        <f t="shared" si="3"/>
        <v>1.0082222222222224</v>
      </c>
      <c r="K7" s="9">
        <f t="shared" si="4"/>
        <v>1.0182222222222224</v>
      </c>
      <c r="L7" s="7">
        <f t="shared" si="5"/>
        <v>6.6329575022848891E-2</v>
      </c>
      <c r="M7" s="7">
        <f t="shared" si="6"/>
        <v>3.2571297755719515</v>
      </c>
      <c r="N7" s="7">
        <f t="shared" si="7"/>
        <v>0.14270397681156125</v>
      </c>
      <c r="O7" s="7">
        <f t="shared" si="8"/>
        <v>28.263636539430838</v>
      </c>
      <c r="P7" s="7">
        <f t="shared" si="9"/>
        <v>3.9611523352247922</v>
      </c>
      <c r="Q7" s="233"/>
    </row>
    <row r="8" spans="1:20" x14ac:dyDescent="0.25">
      <c r="A8" s="18" t="s">
        <v>14</v>
      </c>
      <c r="B8" s="132">
        <v>3</v>
      </c>
      <c r="C8" s="110" t="s">
        <v>3</v>
      </c>
      <c r="D8" s="233"/>
      <c r="E8" s="41">
        <f t="shared" si="0"/>
        <v>5</v>
      </c>
      <c r="F8" s="7">
        <f>IF((E8&lt;='Alternative 1'!$B$12),F7+1,"x")</f>
        <v>5</v>
      </c>
      <c r="G8" s="129">
        <f>IF(E8&lt;='Alternative 1'!$B$12,G7+1,0)</f>
        <v>4.5</v>
      </c>
      <c r="H8" s="39">
        <f t="shared" si="1"/>
        <v>2.0465</v>
      </c>
      <c r="I8" s="38">
        <f t="shared" si="2"/>
        <v>1.0182777777777778</v>
      </c>
      <c r="J8" s="38">
        <f t="shared" si="3"/>
        <v>0.99827777777777782</v>
      </c>
      <c r="K8" s="9">
        <f t="shared" si="4"/>
        <v>1.0082777777777778</v>
      </c>
      <c r="L8" s="7">
        <f t="shared" si="5"/>
        <v>6.4405074679277641E-2</v>
      </c>
      <c r="M8" s="7">
        <f t="shared" si="6"/>
        <v>3.1938190844388674</v>
      </c>
      <c r="N8" s="7">
        <f t="shared" si="7"/>
        <v>0.14200540940003165</v>
      </c>
      <c r="O8" s="7">
        <f t="shared" si="8"/>
        <v>35.503342358347815</v>
      </c>
      <c r="P8" s="7">
        <f t="shared" si="9"/>
        <v>5.0002754972725763</v>
      </c>
      <c r="Q8" s="233"/>
    </row>
    <row r="9" spans="1:20" x14ac:dyDescent="0.25">
      <c r="A9" s="18" t="s">
        <v>15</v>
      </c>
      <c r="B9" s="132">
        <v>19.2</v>
      </c>
      <c r="C9" s="110" t="s">
        <v>1</v>
      </c>
      <c r="D9" s="233"/>
      <c r="E9" s="41">
        <f t="shared" si="0"/>
        <v>6</v>
      </c>
      <c r="F9" s="7">
        <f>IF((E9&lt;='Alternative 1'!$B$12),F8+1,"x")</f>
        <v>6</v>
      </c>
      <c r="G9" s="129">
        <f>IF(E9&lt;='Alternative 1'!$B$12,G8+1,0)</f>
        <v>5.5</v>
      </c>
      <c r="H9" s="39">
        <f t="shared" si="1"/>
        <v>2.0266111111111114</v>
      </c>
      <c r="I9" s="38">
        <f t="shared" si="2"/>
        <v>1.0083333333333333</v>
      </c>
      <c r="J9" s="38">
        <f t="shared" si="3"/>
        <v>0.98833333333333329</v>
      </c>
      <c r="K9" s="9">
        <f t="shared" si="4"/>
        <v>0.99833333333333329</v>
      </c>
      <c r="L9" s="7">
        <f t="shared" si="5"/>
        <v>6.2518164307445362E-2</v>
      </c>
      <c r="M9" s="7">
        <f t="shared" si="6"/>
        <v>3.131129749980555</v>
      </c>
      <c r="N9" s="7">
        <f t="shared" si="7"/>
        <v>0.14130338849407181</v>
      </c>
      <c r="O9" s="7">
        <f t="shared" si="8"/>
        <v>42.815675296093971</v>
      </c>
      <c r="P9" s="7">
        <f t="shared" si="9"/>
        <v>6.0601001669449079</v>
      </c>
      <c r="Q9" s="233"/>
    </row>
    <row r="10" spans="1:20" x14ac:dyDescent="0.25">
      <c r="A10" s="18" t="s">
        <v>18</v>
      </c>
      <c r="B10" s="134">
        <v>0.05</v>
      </c>
      <c r="C10" s="110" t="s">
        <v>19</v>
      </c>
      <c r="D10" s="233"/>
      <c r="E10" s="41">
        <f t="shared" si="0"/>
        <v>7</v>
      </c>
      <c r="F10" s="7">
        <f>IF((E10&lt;='Alternative 1'!$B$12),F9+1,"x")</f>
        <v>7</v>
      </c>
      <c r="G10" s="129">
        <f>IF(E10&lt;='Alternative 1'!$B$12,G9+1,0)</f>
        <v>6.5</v>
      </c>
      <c r="H10" s="39">
        <f t="shared" si="1"/>
        <v>2.0067222222222223</v>
      </c>
      <c r="I10" s="38">
        <f t="shared" si="2"/>
        <v>0.99838888888888899</v>
      </c>
      <c r="J10" s="38">
        <f t="shared" si="3"/>
        <v>0.97838888888888897</v>
      </c>
      <c r="K10" s="9">
        <f t="shared" si="4"/>
        <v>0.98838888888888898</v>
      </c>
      <c r="L10" s="7">
        <f t="shared" si="5"/>
        <v>6.0668473164890165E-2</v>
      </c>
      <c r="M10" s="7">
        <f t="shared" si="6"/>
        <v>3.0690617721970161</v>
      </c>
      <c r="N10" s="7">
        <f t="shared" si="7"/>
        <v>0.14059786236263544</v>
      </c>
      <c r="O10" s="7">
        <f t="shared" si="8"/>
        <v>50.202280566173954</v>
      </c>
      <c r="P10" s="7">
        <f t="shared" si="9"/>
        <v>7.1412511944241466</v>
      </c>
      <c r="Q10" s="233"/>
    </row>
    <row r="11" spans="1:20" x14ac:dyDescent="0.25">
      <c r="A11" s="231" t="s">
        <v>9</v>
      </c>
      <c r="B11" s="231"/>
      <c r="C11" s="234"/>
      <c r="D11" s="233"/>
      <c r="E11" s="41">
        <f t="shared" si="0"/>
        <v>8</v>
      </c>
      <c r="F11" s="7">
        <f>IF((E11&lt;='Alternative 1'!$B$12),F10+1,"x")</f>
        <v>8</v>
      </c>
      <c r="G11" s="129">
        <f>IF(E11&lt;='Alternative 1'!$B$12,G10+1,0)</f>
        <v>7.5</v>
      </c>
      <c r="H11" s="39">
        <f t="shared" si="1"/>
        <v>1.9868333333333335</v>
      </c>
      <c r="I11" s="38">
        <f t="shared" si="2"/>
        <v>0.98844444444444446</v>
      </c>
      <c r="J11" s="38">
        <f t="shared" si="3"/>
        <v>0.96844444444444444</v>
      </c>
      <c r="K11" s="9">
        <f t="shared" si="4"/>
        <v>0.97844444444444445</v>
      </c>
      <c r="L11" s="7">
        <f t="shared" si="5"/>
        <v>5.8855630509150048E-2</v>
      </c>
      <c r="M11" s="7">
        <f t="shared" si="6"/>
        <v>3.0076151510882467</v>
      </c>
      <c r="N11" s="7">
        <f t="shared" si="7"/>
        <v>0.13988877797013799</v>
      </c>
      <c r="O11" s="7">
        <f t="shared" si="8"/>
        <v>57.664859066741258</v>
      </c>
      <c r="P11" s="7">
        <f t="shared" si="9"/>
        <v>8.2443788326141263</v>
      </c>
      <c r="Q11" s="233"/>
    </row>
    <row r="12" spans="1:20" x14ac:dyDescent="0.25">
      <c r="A12" s="18" t="s">
        <v>10</v>
      </c>
      <c r="B12" s="132">
        <v>36</v>
      </c>
      <c r="C12" s="110" t="s">
        <v>1</v>
      </c>
      <c r="D12" s="233"/>
      <c r="E12" s="41">
        <f t="shared" si="0"/>
        <v>9</v>
      </c>
      <c r="F12" s="7">
        <f>IF((E12&lt;='Alternative 1'!$B$12),F11+1,"x")</f>
        <v>9</v>
      </c>
      <c r="G12" s="129">
        <f>IF(E12&lt;='Alternative 1'!$B$12,G11+1,0)</f>
        <v>8.5</v>
      </c>
      <c r="H12" s="39">
        <f t="shared" si="1"/>
        <v>1.9669444444444446</v>
      </c>
      <c r="I12" s="38">
        <f t="shared" si="2"/>
        <v>0.97850000000000004</v>
      </c>
      <c r="J12" s="38">
        <f t="shared" si="3"/>
        <v>0.95850000000000002</v>
      </c>
      <c r="K12" s="9">
        <f t="shared" si="4"/>
        <v>0.96850000000000003</v>
      </c>
      <c r="L12" s="7">
        <f t="shared" si="5"/>
        <v>5.7079265597763183E-2</v>
      </c>
      <c r="M12" s="7">
        <f t="shared" si="6"/>
        <v>2.9467898866542503</v>
      </c>
      <c r="N12" s="7">
        <f t="shared" si="7"/>
        <v>0.13917608092993047</v>
      </c>
      <c r="O12" s="7">
        <f t="shared" si="8"/>
        <v>65.205169878069029</v>
      </c>
      <c r="P12" s="7">
        <f t="shared" si="9"/>
        <v>9.3701600413009807</v>
      </c>
      <c r="Q12" s="233"/>
    </row>
    <row r="13" spans="1:20" x14ac:dyDescent="0.25">
      <c r="A13" s="18" t="s">
        <v>11</v>
      </c>
      <c r="B13" s="135">
        <f>'Center of Gravity'!N6</f>
        <v>31215.543190081382</v>
      </c>
      <c r="C13" s="110" t="s">
        <v>2</v>
      </c>
      <c r="D13" s="233"/>
      <c r="E13" s="41">
        <f t="shared" si="0"/>
        <v>10</v>
      </c>
      <c r="F13" s="7">
        <f>IF((E13&lt;='Alternative 1'!$B$12),F12+1,"x")</f>
        <v>10</v>
      </c>
      <c r="G13" s="129">
        <f>IF(E13&lt;='Alternative 1'!$B$12,G12+1,0)</f>
        <v>9.5</v>
      </c>
      <c r="H13" s="39">
        <f t="shared" si="1"/>
        <v>1.9470555555555555</v>
      </c>
      <c r="I13" s="38">
        <f t="shared" si="2"/>
        <v>0.96855555555555561</v>
      </c>
      <c r="J13" s="38">
        <f t="shared" si="3"/>
        <v>0.9485555555555556</v>
      </c>
      <c r="K13" s="9">
        <f t="shared" si="4"/>
        <v>0.95855555555555561</v>
      </c>
      <c r="L13" s="7">
        <f t="shared" si="5"/>
        <v>5.5339007688267605E-2</v>
      </c>
      <c r="M13" s="7">
        <f t="shared" si="6"/>
        <v>2.8865859788950248</v>
      </c>
      <c r="N13" s="7">
        <f t="shared" si="7"/>
        <v>0.13845971545561744</v>
      </c>
      <c r="O13" s="7">
        <f t="shared" si="8"/>
        <v>72.8250328996631</v>
      </c>
      <c r="P13" s="7">
        <f t="shared" si="9"/>
        <v>10.519299872493333</v>
      </c>
      <c r="Q13" s="233"/>
    </row>
    <row r="14" spans="1:20" x14ac:dyDescent="0.25">
      <c r="A14" s="18" t="s">
        <v>11</v>
      </c>
      <c r="B14" s="135">
        <f>B13*9.80665</f>
        <v>306119.90662501159</v>
      </c>
      <c r="C14" s="110" t="s">
        <v>28</v>
      </c>
      <c r="D14" s="233"/>
      <c r="E14" s="41">
        <f t="shared" si="0"/>
        <v>11</v>
      </c>
      <c r="F14" s="7">
        <f>IF((E14&lt;='Alternative 1'!$B$12),F13+1,"x")</f>
        <v>11</v>
      </c>
      <c r="G14" s="129">
        <f>IF(E14&lt;='Alternative 1'!$B$12,G13+1,0)</f>
        <v>10.5</v>
      </c>
      <c r="H14" s="39">
        <f t="shared" si="1"/>
        <v>1.9271666666666667</v>
      </c>
      <c r="I14" s="38">
        <f t="shared" si="2"/>
        <v>0.95861111111111119</v>
      </c>
      <c r="J14" s="38">
        <f t="shared" si="3"/>
        <v>0.93861111111111117</v>
      </c>
      <c r="K14" s="9">
        <f t="shared" si="4"/>
        <v>0.94861111111111118</v>
      </c>
      <c r="L14" s="7">
        <f t="shared" si="5"/>
        <v>5.3634486038201423E-2</v>
      </c>
      <c r="M14" s="7">
        <f t="shared" si="6"/>
        <v>2.8270034278105713</v>
      </c>
      <c r="N14" s="7">
        <f t="shared" si="7"/>
        <v>0.13773962431009651</v>
      </c>
      <c r="O14" s="7">
        <f t="shared" si="8"/>
        <v>80.526331636390509</v>
      </c>
      <c r="P14" s="7">
        <f t="shared" si="9"/>
        <v>11.692532942898975</v>
      </c>
      <c r="Q14" s="233"/>
    </row>
    <row r="15" spans="1:20" x14ac:dyDescent="0.25">
      <c r="A15" s="18" t="s">
        <v>117</v>
      </c>
      <c r="B15" s="134">
        <v>1.42</v>
      </c>
      <c r="C15" s="110" t="s">
        <v>1</v>
      </c>
      <c r="D15" s="233"/>
      <c r="E15" s="41">
        <f t="shared" si="0"/>
        <v>12</v>
      </c>
      <c r="F15" s="7">
        <f>IF((E15&lt;='Alternative 1'!$B$12),F14+1,"x")</f>
        <v>12</v>
      </c>
      <c r="G15" s="129">
        <f>IF(E15&lt;='Alternative 1'!$B$12,G14+1,0)</f>
        <v>11.5</v>
      </c>
      <c r="H15" s="39">
        <f t="shared" si="1"/>
        <v>1.9072777777777778</v>
      </c>
      <c r="I15" s="38">
        <f t="shared" si="2"/>
        <v>0.94866666666666666</v>
      </c>
      <c r="J15" s="38">
        <f t="shared" si="3"/>
        <v>0.92866666666666664</v>
      </c>
      <c r="K15" s="9">
        <f t="shared" si="4"/>
        <v>0.93866666666666665</v>
      </c>
      <c r="L15" s="7">
        <f t="shared" si="5"/>
        <v>5.1965329905102692E-2</v>
      </c>
      <c r="M15" s="7">
        <f t="shared" si="6"/>
        <v>2.7680422334008887</v>
      </c>
      <c r="N15" s="7">
        <f t="shared" si="7"/>
        <v>0.13701574875218731</v>
      </c>
      <c r="O15" s="7">
        <f t="shared" si="8"/>
        <v>88.311016143732431</v>
      </c>
      <c r="P15" s="7">
        <f t="shared" si="9"/>
        <v>12.890625</v>
      </c>
      <c r="Q15" s="233"/>
    </row>
    <row r="16" spans="1:20" x14ac:dyDescent="0.25">
      <c r="A16" s="18" t="s">
        <v>118</v>
      </c>
      <c r="B16" s="136">
        <v>2.1360000000000001</v>
      </c>
      <c r="C16" s="110" t="s">
        <v>1</v>
      </c>
      <c r="D16" s="233"/>
      <c r="E16" s="41">
        <f t="shared" si="0"/>
        <v>13</v>
      </c>
      <c r="F16" s="7">
        <f>IF((E16&lt;='Alternative 1'!$B$12),F15+1,"x")</f>
        <v>13</v>
      </c>
      <c r="G16" s="129">
        <f>IF(E16&lt;='Alternative 1'!$B$12,G15+1,0)</f>
        <v>12.5</v>
      </c>
      <c r="H16" s="39">
        <f t="shared" si="1"/>
        <v>1.887388888888889</v>
      </c>
      <c r="I16" s="38">
        <f t="shared" si="2"/>
        <v>0.93872222222222224</v>
      </c>
      <c r="J16" s="38">
        <f t="shared" si="3"/>
        <v>0.91872222222222222</v>
      </c>
      <c r="K16" s="9">
        <f t="shared" si="4"/>
        <v>0.92872222222222223</v>
      </c>
      <c r="L16" s="7">
        <f t="shared" si="5"/>
        <v>5.0331168546509548E-2</v>
      </c>
      <c r="M16" s="7">
        <f t="shared" si="6"/>
        <v>2.7097023956659783</v>
      </c>
      <c r="N16" s="7">
        <f t="shared" si="7"/>
        <v>0.13628802848070887</v>
      </c>
      <c r="O16" s="7">
        <f t="shared" si="8"/>
        <v>96.181106143073862</v>
      </c>
      <c r="P16" s="7">
        <f t="shared" si="9"/>
        <v>14.114374588741999</v>
      </c>
      <c r="Q16" s="233"/>
    </row>
    <row r="17" spans="1:17" x14ac:dyDescent="0.25">
      <c r="A17" s="18" t="s">
        <v>119</v>
      </c>
      <c r="B17" s="134">
        <v>0.02</v>
      </c>
      <c r="C17" s="110" t="s">
        <v>1</v>
      </c>
      <c r="D17" s="233"/>
      <c r="E17" s="41">
        <f t="shared" si="0"/>
        <v>14</v>
      </c>
      <c r="F17" s="7">
        <f>IF((E17&lt;='Alternative 1'!$B$12),F16+1,"x")</f>
        <v>14</v>
      </c>
      <c r="G17" s="129">
        <f>IF(E17&lt;='Alternative 1'!$B$12,G16+1,0)</f>
        <v>13.5</v>
      </c>
      <c r="H17" s="39">
        <f t="shared" si="1"/>
        <v>1.8675000000000002</v>
      </c>
      <c r="I17" s="38">
        <f t="shared" si="2"/>
        <v>0.92877777777777781</v>
      </c>
      <c r="J17" s="38">
        <f t="shared" si="3"/>
        <v>0.9087777777777778</v>
      </c>
      <c r="K17" s="9">
        <f t="shared" si="4"/>
        <v>0.9187777777777778</v>
      </c>
      <c r="L17" s="7">
        <f t="shared" si="5"/>
        <v>4.8731631219960034E-2</v>
      </c>
      <c r="M17" s="7">
        <f t="shared" si="6"/>
        <v>2.6519839146058395</v>
      </c>
      <c r="N17" s="7">
        <f t="shared" si="7"/>
        <v>0.13555640157585513</v>
      </c>
      <c r="O17" s="7">
        <f t="shared" si="8"/>
        <v>104.13869431881616</v>
      </c>
      <c r="P17" s="7">
        <f t="shared" si="9"/>
        <v>15.364614826460274</v>
      </c>
      <c r="Q17" s="233"/>
    </row>
    <row r="18" spans="1:17" x14ac:dyDescent="0.25">
      <c r="A18" s="231" t="s">
        <v>37</v>
      </c>
      <c r="B18" s="231"/>
      <c r="C18" s="234"/>
      <c r="D18" s="233"/>
      <c r="E18" s="41">
        <f t="shared" si="0"/>
        <v>15</v>
      </c>
      <c r="F18" s="7">
        <f>IF((E18&lt;='Alternative 1'!$B$12),F17+1,"x")</f>
        <v>15</v>
      </c>
      <c r="G18" s="129">
        <f>IF(E18&lt;='Alternative 1'!$B$12,G17+1,0)</f>
        <v>14.5</v>
      </c>
      <c r="H18" s="39">
        <f t="shared" si="1"/>
        <v>1.8476111111111111</v>
      </c>
      <c r="I18" s="38">
        <f t="shared" si="2"/>
        <v>0.91883333333333339</v>
      </c>
      <c r="J18" s="38">
        <f t="shared" si="3"/>
        <v>0.89883333333333337</v>
      </c>
      <c r="K18" s="9">
        <f t="shared" si="4"/>
        <v>0.90883333333333338</v>
      </c>
      <c r="L18" s="7">
        <f t="shared" si="5"/>
        <v>4.7166347182992265E-2</v>
      </c>
      <c r="M18" s="7">
        <f t="shared" si="6"/>
        <v>2.5948867902204724</v>
      </c>
      <c r="N18" s="7">
        <f t="shared" si="7"/>
        <v>0.13482080443770719</v>
      </c>
      <c r="O18" s="7">
        <f t="shared" si="8"/>
        <v>112.18594981005604</v>
      </c>
      <c r="P18" s="7">
        <f t="shared" si="9"/>
        <v>16.642215294333393</v>
      </c>
      <c r="Q18" s="233"/>
    </row>
    <row r="19" spans="1:17" x14ac:dyDescent="0.25">
      <c r="A19" s="16" t="s">
        <v>38</v>
      </c>
      <c r="B19" s="137">
        <f>'Column Buckling'!C18</f>
        <v>2.3660469038622698</v>
      </c>
      <c r="C19" s="111" t="s">
        <v>43</v>
      </c>
      <c r="D19" s="233"/>
      <c r="E19" s="41">
        <f t="shared" si="0"/>
        <v>16</v>
      </c>
      <c r="F19" s="7">
        <f>IF((E19&lt;='Alternative 1'!$B$12),F18+1,"x")</f>
        <v>16</v>
      </c>
      <c r="G19" s="129">
        <f>IF(E19&lt;='Alternative 1'!$B$12,G18+1,0)</f>
        <v>15.5</v>
      </c>
      <c r="H19" s="39">
        <f t="shared" si="1"/>
        <v>1.8277222222222222</v>
      </c>
      <c r="I19" s="38">
        <f t="shared" si="2"/>
        <v>0.90888888888888886</v>
      </c>
      <c r="J19" s="38">
        <f t="shared" si="3"/>
        <v>0.88888888888888884</v>
      </c>
      <c r="K19" s="9">
        <f t="shared" si="4"/>
        <v>0.89888888888888885</v>
      </c>
      <c r="L19" s="7">
        <f t="shared" si="5"/>
        <v>4.5634945693144295E-2</v>
      </c>
      <c r="M19" s="7">
        <f t="shared" si="6"/>
        <v>2.5384110225098762</v>
      </c>
      <c r="N19" s="7">
        <f t="shared" si="7"/>
        <v>0.13408117172170922</v>
      </c>
      <c r="O19" s="7">
        <f t="shared" si="8"/>
        <v>120.32512191061923</v>
      </c>
      <c r="P19" s="7">
        <f t="shared" si="9"/>
        <v>17.948084054388133</v>
      </c>
      <c r="Q19" s="233"/>
    </row>
    <row r="20" spans="1:17" x14ac:dyDescent="0.25">
      <c r="A20" s="16" t="s">
        <v>39</v>
      </c>
      <c r="B20" s="145">
        <v>250</v>
      </c>
      <c r="C20" s="110" t="s">
        <v>0</v>
      </c>
      <c r="D20" s="233"/>
      <c r="E20" s="41">
        <f t="shared" si="0"/>
        <v>17</v>
      </c>
      <c r="F20" s="7">
        <f>IF((E20&lt;='Alternative 1'!$B$12),F19+1,"x")</f>
        <v>17</v>
      </c>
      <c r="G20" s="129">
        <f>IF(E20&lt;='Alternative 1'!$B$12,G19+1,0)</f>
        <v>16.5</v>
      </c>
      <c r="H20" s="39">
        <f t="shared" si="1"/>
        <v>1.8078333333333334</v>
      </c>
      <c r="I20" s="38">
        <f t="shared" si="2"/>
        <v>0.89894444444444443</v>
      </c>
      <c r="J20" s="38">
        <f t="shared" si="3"/>
        <v>0.87894444444444442</v>
      </c>
      <c r="K20" s="9">
        <f t="shared" si="4"/>
        <v>0.88894444444444443</v>
      </c>
      <c r="L20" s="7">
        <f t="shared" si="5"/>
        <v>4.4137056007954249E-2</v>
      </c>
      <c r="M20" s="7">
        <f t="shared" si="6"/>
        <v>2.482556611474052</v>
      </c>
      <c r="N20" s="7">
        <f t="shared" si="7"/>
        <v>0.13333743627092304</v>
      </c>
      <c r="O20" s="7">
        <f t="shared" si="8"/>
        <v>128.55854399238032</v>
      </c>
      <c r="P20" s="7">
        <f t="shared" si="9"/>
        <v>19.283169801887382</v>
      </c>
      <c r="Q20" s="233"/>
    </row>
    <row r="21" spans="1:17" x14ac:dyDescent="0.25">
      <c r="A21" s="16" t="s">
        <v>39</v>
      </c>
      <c r="B21" s="145">
        <v>50</v>
      </c>
      <c r="C21" s="110" t="s">
        <v>40</v>
      </c>
      <c r="D21" s="233"/>
      <c r="E21" s="41">
        <f t="shared" si="0"/>
        <v>18</v>
      </c>
      <c r="F21" s="7">
        <f>IF((E21&lt;='Alternative 1'!$B$12),F20+1,"x")</f>
        <v>18</v>
      </c>
      <c r="G21" s="129">
        <f>IF(E21&lt;='Alternative 1'!$B$12,G20+1,0)</f>
        <v>17.5</v>
      </c>
      <c r="H21" s="39">
        <f t="shared" si="1"/>
        <v>1.7879444444444446</v>
      </c>
      <c r="I21" s="38">
        <f t="shared" si="2"/>
        <v>0.88900000000000001</v>
      </c>
      <c r="J21" s="38">
        <f t="shared" si="3"/>
        <v>0.86899999999999999</v>
      </c>
      <c r="K21" s="9">
        <f t="shared" si="4"/>
        <v>0.879</v>
      </c>
      <c r="L21" s="7">
        <f t="shared" si="5"/>
        <v>4.2672307384960195E-2</v>
      </c>
      <c r="M21" s="7">
        <f t="shared" si="6"/>
        <v>2.4273235571130001</v>
      </c>
      <c r="N21" s="7">
        <f t="shared" si="7"/>
        <v>0.13258952904486257</v>
      </c>
      <c r="O21" s="7">
        <f t="shared" si="8"/>
        <v>136.88863766805312</v>
      </c>
      <c r="P21" s="7">
        <f t="shared" si="9"/>
        <v>20.648464163822524</v>
      </c>
      <c r="Q21" s="233"/>
    </row>
    <row r="22" spans="1:17" x14ac:dyDescent="0.25">
      <c r="A22" s="16" t="s">
        <v>41</v>
      </c>
      <c r="B22" s="145">
        <v>200000</v>
      </c>
      <c r="C22" s="110" t="s">
        <v>0</v>
      </c>
      <c r="D22" s="233"/>
      <c r="E22" s="41">
        <f t="shared" si="0"/>
        <v>19</v>
      </c>
      <c r="F22" s="7">
        <f>IF((E22&lt;='Alternative 1'!$B$12),F21+1,"x")</f>
        <v>19</v>
      </c>
      <c r="G22" s="129">
        <f>IF(E22&lt;='Alternative 1'!$B$12,G21+1,0)</f>
        <v>18.5</v>
      </c>
      <c r="H22" s="39">
        <f t="shared" si="1"/>
        <v>1.7680555555555557</v>
      </c>
      <c r="I22" s="38">
        <f t="shared" si="2"/>
        <v>0.87905555555555559</v>
      </c>
      <c r="J22" s="38">
        <f t="shared" si="3"/>
        <v>0.85905555555555557</v>
      </c>
      <c r="K22" s="9">
        <f t="shared" si="4"/>
        <v>0.86905555555555558</v>
      </c>
      <c r="L22" s="7">
        <f t="shared" si="5"/>
        <v>4.1240329081700222E-2</v>
      </c>
      <c r="M22" s="7">
        <f t="shared" si="6"/>
        <v>2.3727118594267189</v>
      </c>
      <c r="N22" s="7">
        <f t="shared" si="7"/>
        <v>0.13183737904469447</v>
      </c>
      <c r="O22" s="7">
        <f t="shared" si="8"/>
        <v>145.31791721100905</v>
      </c>
      <c r="P22" s="7">
        <f t="shared" si="9"/>
        <v>22.045004155213192</v>
      </c>
      <c r="Q22" s="233"/>
    </row>
    <row r="23" spans="1:17" x14ac:dyDescent="0.25">
      <c r="A23" s="16" t="s">
        <v>42</v>
      </c>
      <c r="B23" s="137">
        <v>1.67</v>
      </c>
      <c r="C23" s="111" t="s">
        <v>43</v>
      </c>
      <c r="D23" s="233"/>
      <c r="E23" s="41">
        <f t="shared" si="0"/>
        <v>20</v>
      </c>
      <c r="F23" s="7">
        <f>IF((E23&lt;='Alternative 1'!$B$12),F22+1,"x")</f>
        <v>20</v>
      </c>
      <c r="G23" s="129">
        <f>IF(E23&lt;='Alternative 1'!$B$12,G22+1,0)</f>
        <v>19.5</v>
      </c>
      <c r="H23" s="39">
        <f t="shared" si="1"/>
        <v>1.7481666666666666</v>
      </c>
      <c r="I23" s="38">
        <f t="shared" si="2"/>
        <v>0.86911111111111117</v>
      </c>
      <c r="J23" s="38">
        <f t="shared" si="3"/>
        <v>0.84911111111111115</v>
      </c>
      <c r="K23" s="9">
        <f t="shared" si="4"/>
        <v>0.85911111111111116</v>
      </c>
      <c r="L23" s="7">
        <f t="shared" si="5"/>
        <v>3.9840750355712412E-2</v>
      </c>
      <c r="M23" s="7">
        <f t="shared" si="6"/>
        <v>2.3187215184152099</v>
      </c>
      <c r="N23" s="7">
        <f t="shared" si="7"/>
        <v>0.13108091323457596</v>
      </c>
      <c r="O23" s="7">
        <f t="shared" si="8"/>
        <v>153.84899425118735</v>
      </c>
      <c r="P23" s="7">
        <f t="shared" si="9"/>
        <v>23.473874806001032</v>
      </c>
      <c r="Q23" s="233"/>
    </row>
    <row r="24" spans="1:17" x14ac:dyDescent="0.25">
      <c r="A24" s="231" t="s">
        <v>48</v>
      </c>
      <c r="B24" s="231"/>
      <c r="C24" s="234"/>
      <c r="D24" s="233"/>
      <c r="E24" s="41">
        <f t="shared" si="0"/>
        <v>21</v>
      </c>
      <c r="F24" s="7">
        <f>IF((E24&lt;='Alternative 1'!$B$12),F23+1,"x")</f>
        <v>21</v>
      </c>
      <c r="G24" s="129">
        <f>IF(E24&lt;='Alternative 1'!$B$12,G23+1,0)</f>
        <v>20.5</v>
      </c>
      <c r="H24" s="39">
        <f t="shared" si="1"/>
        <v>1.7282777777777778</v>
      </c>
      <c r="I24" s="38">
        <f t="shared" si="2"/>
        <v>0.85916666666666663</v>
      </c>
      <c r="J24" s="38">
        <f t="shared" si="3"/>
        <v>0.83916666666666662</v>
      </c>
      <c r="K24" s="9">
        <f t="shared" si="4"/>
        <v>0.84916666666666663</v>
      </c>
      <c r="L24" s="7">
        <f t="shared" si="5"/>
        <v>3.8473200464534833E-2</v>
      </c>
      <c r="M24" s="7">
        <f t="shared" si="6"/>
        <v>2.2653525340784717</v>
      </c>
      <c r="N24" s="7">
        <f t="shared" si="7"/>
        <v>0.13032005645888287</v>
      </c>
      <c r="O24" s="7">
        <f t="shared" si="8"/>
        <v>162.48458276781747</v>
      </c>
      <c r="P24" s="7">
        <f t="shared" si="9"/>
        <v>24.936211972522081</v>
      </c>
      <c r="Q24" s="233"/>
    </row>
    <row r="25" spans="1:17" x14ac:dyDescent="0.25">
      <c r="A25" s="16" t="s">
        <v>49</v>
      </c>
      <c r="B25" s="138">
        <f>B13</f>
        <v>31215.543190081382</v>
      </c>
      <c r="C25" s="112" t="s">
        <v>2</v>
      </c>
      <c r="D25" s="233"/>
      <c r="E25" s="41">
        <f t="shared" si="0"/>
        <v>22</v>
      </c>
      <c r="F25" s="7">
        <f>IF((E25&lt;='Alternative 1'!$B$12),F24+1,"x")</f>
        <v>22</v>
      </c>
      <c r="G25" s="129">
        <f>IF(E25&lt;='Alternative 1'!$B$12,G24+1,0)</f>
        <v>21.5</v>
      </c>
      <c r="H25" s="39">
        <f t="shared" si="1"/>
        <v>1.708388888888889</v>
      </c>
      <c r="I25" s="38">
        <f t="shared" si="2"/>
        <v>0.84922222222222221</v>
      </c>
      <c r="J25" s="38">
        <f t="shared" si="3"/>
        <v>0.82922222222222219</v>
      </c>
      <c r="K25" s="9">
        <f t="shared" si="4"/>
        <v>0.8392222222222222</v>
      </c>
      <c r="L25" s="7">
        <f t="shared" si="5"/>
        <v>3.713730866570561E-2</v>
      </c>
      <c r="M25" s="7">
        <f t="shared" si="6"/>
        <v>2.2126049064165061</v>
      </c>
      <c r="N25" s="7">
        <f t="shared" si="7"/>
        <v>0.12955473135506249</v>
      </c>
      <c r="O25" s="7">
        <f t="shared" si="8"/>
        <v>171.227504401494</v>
      </c>
      <c r="P25" s="7">
        <f t="shared" si="9"/>
        <v>26.433205348868</v>
      </c>
      <c r="Q25" s="233"/>
    </row>
    <row r="26" spans="1:17" x14ac:dyDescent="0.25">
      <c r="A26" s="16" t="s">
        <v>50</v>
      </c>
      <c r="B26" s="56">
        <f>B12</f>
        <v>36</v>
      </c>
      <c r="C26" s="112" t="s">
        <v>1</v>
      </c>
      <c r="D26" s="233"/>
      <c r="E26" s="41">
        <f t="shared" si="0"/>
        <v>23</v>
      </c>
      <c r="F26" s="7">
        <f>IF((E26&lt;='Alternative 1'!$B$12),F25+1,"x")</f>
        <v>23</v>
      </c>
      <c r="G26" s="129">
        <f>IF(E26&lt;='Alternative 1'!$B$12,G25+1,0)</f>
        <v>22.5</v>
      </c>
      <c r="H26" s="39">
        <f t="shared" si="1"/>
        <v>1.6884999999999999</v>
      </c>
      <c r="I26" s="38">
        <f t="shared" si="2"/>
        <v>0.83927777777777779</v>
      </c>
      <c r="J26" s="38">
        <f t="shared" si="3"/>
        <v>0.81927777777777777</v>
      </c>
      <c r="K26" s="9">
        <f t="shared" si="4"/>
        <v>0.82927777777777778</v>
      </c>
      <c r="L26" s="7">
        <f t="shared" si="5"/>
        <v>3.5832704216762802E-2</v>
      </c>
      <c r="M26" s="7">
        <f t="shared" si="6"/>
        <v>2.1604786354293113</v>
      </c>
      <c r="N26" s="7">
        <f t="shared" si="7"/>
        <v>0.12878485826182517</v>
      </c>
      <c r="O26" s="7">
        <f t="shared" si="8"/>
        <v>180.08069411014924</v>
      </c>
      <c r="P26" s="7">
        <f t="shared" si="9"/>
        <v>27.966101694915253</v>
      </c>
      <c r="Q26" s="233"/>
    </row>
    <row r="27" spans="1:17" x14ac:dyDescent="0.25">
      <c r="A27" s="16" t="s">
        <v>51</v>
      </c>
      <c r="B27" s="56">
        <f>'Center of Gravity'!N4</f>
        <v>16</v>
      </c>
      <c r="C27" s="112" t="s">
        <v>1</v>
      </c>
      <c r="D27" s="233"/>
      <c r="E27" s="41">
        <f t="shared" si="0"/>
        <v>24</v>
      </c>
      <c r="F27" s="7">
        <f>IF((E27&lt;='Alternative 1'!$B$12),F26+1,"x")</f>
        <v>24</v>
      </c>
      <c r="G27" s="129">
        <f>IF(E27&lt;='Alternative 1'!$B$12,G26+1,0)</f>
        <v>23.5</v>
      </c>
      <c r="H27" s="39">
        <f t="shared" si="1"/>
        <v>1.668611111111111</v>
      </c>
      <c r="I27" s="38">
        <f t="shared" si="2"/>
        <v>0.82933333333333337</v>
      </c>
      <c r="J27" s="38">
        <f t="shared" si="3"/>
        <v>0.80933333333333335</v>
      </c>
      <c r="K27" s="9">
        <f t="shared" si="4"/>
        <v>0.81933333333333336</v>
      </c>
      <c r="L27" s="7">
        <f t="shared" si="5"/>
        <v>3.4559016375244507E-2</v>
      </c>
      <c r="M27" s="7">
        <f t="shared" si="6"/>
        <v>2.1089737211168891</v>
      </c>
      <c r="N27" s="7">
        <f t="shared" si="7"/>
        <v>0.1280103551223665</v>
      </c>
      <c r="O27" s="7">
        <f t="shared" si="8"/>
        <v>189.04720619567811</v>
      </c>
      <c r="P27" s="7">
        <f t="shared" si="9"/>
        <v>29.536208299430431</v>
      </c>
      <c r="Q27" s="233"/>
    </row>
    <row r="28" spans="1:17" x14ac:dyDescent="0.25">
      <c r="A28" s="16" t="s">
        <v>143</v>
      </c>
      <c r="B28" s="56">
        <f>ROUND(((B26-B27)/3+B27),2)</f>
        <v>22.67</v>
      </c>
      <c r="C28" s="112" t="s">
        <v>1</v>
      </c>
      <c r="D28" s="233"/>
      <c r="E28" s="41">
        <f t="shared" si="0"/>
        <v>25</v>
      </c>
      <c r="F28" s="7">
        <f>IF((E28&lt;='Alternative 1'!$B$12),F27+1,"x")</f>
        <v>25</v>
      </c>
      <c r="G28" s="129">
        <f>IF(E28&lt;='Alternative 1'!$B$12,G27+1,0)</f>
        <v>24.5</v>
      </c>
      <c r="H28" s="39">
        <f t="shared" si="1"/>
        <v>1.6487222222222222</v>
      </c>
      <c r="I28" s="38">
        <f t="shared" si="2"/>
        <v>0.81938888888888894</v>
      </c>
      <c r="J28" s="38">
        <f t="shared" si="3"/>
        <v>0.79938888888888893</v>
      </c>
      <c r="K28" s="9">
        <f t="shared" si="4"/>
        <v>0.80938888888888894</v>
      </c>
      <c r="L28" s="7">
        <f t="shared" si="5"/>
        <v>3.3315874398688806E-2</v>
      </c>
      <c r="M28" s="7">
        <f t="shared" si="6"/>
        <v>2.0580901634792381</v>
      </c>
      <c r="N28" s="7">
        <f t="shared" si="7"/>
        <v>0.12723113738228695</v>
      </c>
      <c r="O28" s="7">
        <f t="shared" si="8"/>
        <v>198.13022073040764</v>
      </c>
      <c r="P28" s="7">
        <f t="shared" si="9"/>
        <v>31.144896698469349</v>
      </c>
      <c r="Q28" s="233"/>
    </row>
    <row r="29" spans="1:17" x14ac:dyDescent="0.25">
      <c r="A29" s="16" t="s">
        <v>144</v>
      </c>
      <c r="B29" s="56">
        <f>ROUNDDOWN((2*(B26-B27)/3+B27),2)</f>
        <v>29.33</v>
      </c>
      <c r="C29" s="112" t="s">
        <v>1</v>
      </c>
      <c r="D29" s="233"/>
      <c r="E29" s="41">
        <f t="shared" si="0"/>
        <v>26</v>
      </c>
      <c r="F29" s="7">
        <f>IF((E29&lt;='Alternative 1'!$B$12),F28+1,"x")</f>
        <v>26</v>
      </c>
      <c r="G29" s="129">
        <f>IF(E29&lt;='Alternative 1'!$B$12,G28+1,0)</f>
        <v>25.5</v>
      </c>
      <c r="H29" s="39">
        <f t="shared" si="1"/>
        <v>1.6288333333333334</v>
      </c>
      <c r="I29" s="38">
        <f t="shared" si="2"/>
        <v>0.80944444444444441</v>
      </c>
      <c r="J29" s="38">
        <f t="shared" si="3"/>
        <v>0.78944444444444439</v>
      </c>
      <c r="K29" s="9">
        <f t="shared" si="4"/>
        <v>0.7994444444444444</v>
      </c>
      <c r="L29" s="7">
        <f t="shared" si="5"/>
        <v>3.2102907544633776E-2</v>
      </c>
      <c r="M29" s="7">
        <f t="shared" si="6"/>
        <v>2.007827962516358</v>
      </c>
      <c r="N29" s="7">
        <f t="shared" si="7"/>
        <v>0.12644711788184959</v>
      </c>
      <c r="O29" s="7">
        <f t="shared" si="8"/>
        <v>207.33305041529812</v>
      </c>
      <c r="P29" s="7">
        <f t="shared" si="9"/>
        <v>32.793606671299514</v>
      </c>
      <c r="Q29" s="233"/>
    </row>
    <row r="30" spans="1:17" x14ac:dyDescent="0.25">
      <c r="A30" s="16" t="s">
        <v>150</v>
      </c>
      <c r="B30" s="138">
        <f>'Alternative 1-Tilt Up'!N5</f>
        <v>5996068.2740079593</v>
      </c>
      <c r="C30" s="112" t="s">
        <v>28</v>
      </c>
      <c r="D30" s="233"/>
      <c r="E30" s="41">
        <f t="shared" si="0"/>
        <v>27</v>
      </c>
      <c r="F30" s="7">
        <f>IF((E30&lt;='Alternative 1'!$B$12),F29+1,"x")</f>
        <v>27</v>
      </c>
      <c r="G30" s="129">
        <f>IF(E30&lt;='Alternative 1'!$B$12,G29+1,0)</f>
        <v>26.5</v>
      </c>
      <c r="H30" s="39">
        <f t="shared" si="1"/>
        <v>1.6089444444444445</v>
      </c>
      <c r="I30" s="38">
        <f t="shared" si="2"/>
        <v>0.79949999999999999</v>
      </c>
      <c r="J30" s="38">
        <f t="shared" si="3"/>
        <v>0.77949999999999997</v>
      </c>
      <c r="K30" s="9">
        <f t="shared" si="4"/>
        <v>0.78949999999999998</v>
      </c>
      <c r="L30" s="7">
        <f t="shared" si="5"/>
        <v>3.0919745070617521E-2</v>
      </c>
      <c r="M30" s="7">
        <f t="shared" si="6"/>
        <v>1.9581871182282498</v>
      </c>
      <c r="N30" s="7">
        <f t="shared" si="7"/>
        <v>0.12565820674218758</v>
      </c>
      <c r="O30" s="7">
        <f t="shared" si="8"/>
        <v>216.65914790473985</v>
      </c>
      <c r="P30" s="7">
        <f t="shared" si="9"/>
        <v>34.483850538315387</v>
      </c>
      <c r="Q30" s="233"/>
    </row>
    <row r="31" spans="1:17" x14ac:dyDescent="0.25">
      <c r="A31" s="231" t="s">
        <v>151</v>
      </c>
      <c r="B31" s="231"/>
      <c r="C31" s="234"/>
      <c r="D31" s="233"/>
      <c r="E31" s="41">
        <f t="shared" si="0"/>
        <v>28</v>
      </c>
      <c r="F31" s="7">
        <f>IF((E31&lt;='Alternative 1'!$B$12),F30+1,"x")</f>
        <v>28</v>
      </c>
      <c r="G31" s="129">
        <f>IF(E31&lt;='Alternative 1'!$B$12,G30+1,0)</f>
        <v>27.5</v>
      </c>
      <c r="H31" s="39">
        <f t="shared" si="1"/>
        <v>1.5890555555555554</v>
      </c>
      <c r="I31" s="38">
        <f t="shared" si="2"/>
        <v>0.78955555555555557</v>
      </c>
      <c r="J31" s="38">
        <f t="shared" si="3"/>
        <v>0.76955555555555555</v>
      </c>
      <c r="K31" s="9">
        <f t="shared" si="4"/>
        <v>0.77955555555555556</v>
      </c>
      <c r="L31" s="7">
        <f t="shared" si="5"/>
        <v>2.9766016234178121E-2</v>
      </c>
      <c r="M31" s="7">
        <f t="shared" si="6"/>
        <v>1.9091676306149135</v>
      </c>
      <c r="N31" s="7">
        <f t="shared" si="7"/>
        <v>0.12486431124504048</v>
      </c>
      <c r="O31" s="7">
        <f t="shared" si="8"/>
        <v>226.11211363611108</v>
      </c>
      <c r="P31" s="7">
        <f t="shared" si="9"/>
        <v>36.217217787913341</v>
      </c>
      <c r="Q31" s="233"/>
    </row>
    <row r="32" spans="1:17" x14ac:dyDescent="0.25">
      <c r="A32" s="26" t="s">
        <v>33</v>
      </c>
      <c r="B32" s="139">
        <v>0.85</v>
      </c>
      <c r="C32" s="113" t="s">
        <v>43</v>
      </c>
      <c r="D32" s="233"/>
      <c r="E32" s="41">
        <f t="shared" si="0"/>
        <v>29</v>
      </c>
      <c r="F32" s="7">
        <f>IF((E32&lt;='Alternative 1'!$B$12),F31+1,"x")</f>
        <v>29</v>
      </c>
      <c r="G32" s="129">
        <f>IF(E32&lt;='Alternative 1'!$B$12,G31+1,0)</f>
        <v>28.5</v>
      </c>
      <c r="H32" s="39">
        <f t="shared" si="1"/>
        <v>1.5691666666666668</v>
      </c>
      <c r="I32" s="38">
        <f t="shared" si="2"/>
        <v>0.77961111111111103</v>
      </c>
      <c r="J32" s="38">
        <f t="shared" si="3"/>
        <v>0.75961111111111101</v>
      </c>
      <c r="K32" s="9">
        <f t="shared" si="4"/>
        <v>0.76961111111111102</v>
      </c>
      <c r="L32" s="7">
        <f t="shared" si="5"/>
        <v>2.8641350292853654E-2</v>
      </c>
      <c r="M32" s="7">
        <f t="shared" si="6"/>
        <v>1.8607694996763484</v>
      </c>
      <c r="N32" s="7">
        <f t="shared" si="7"/>
        <v>0.12406533570556415</v>
      </c>
      <c r="O32" s="7">
        <f t="shared" si="8"/>
        <v>235.69570420591882</v>
      </c>
      <c r="P32" s="7">
        <f t="shared" si="9"/>
        <v>37.995380062080422</v>
      </c>
      <c r="Q32" s="233"/>
    </row>
    <row r="33" spans="1:17" ht="18" x14ac:dyDescent="0.35">
      <c r="A33" s="26" t="s">
        <v>55</v>
      </c>
      <c r="B33" s="140">
        <v>0.7</v>
      </c>
      <c r="C33" s="113" t="s">
        <v>43</v>
      </c>
      <c r="D33" s="233"/>
      <c r="E33" s="41">
        <f t="shared" si="0"/>
        <v>30</v>
      </c>
      <c r="F33" s="7">
        <f>IF((E33&lt;='Alternative 1'!$B$12),F32+1,"x")</f>
        <v>30</v>
      </c>
      <c r="G33" s="129">
        <f>IF(E33&lt;='Alternative 1'!$B$12,G32+1,0)</f>
        <v>29.5</v>
      </c>
      <c r="H33" s="39">
        <f t="shared" si="1"/>
        <v>1.5492777777777778</v>
      </c>
      <c r="I33" s="38">
        <f t="shared" si="2"/>
        <v>0.76966666666666672</v>
      </c>
      <c r="J33" s="38">
        <f t="shared" si="3"/>
        <v>0.7496666666666667</v>
      </c>
      <c r="K33" s="9">
        <f t="shared" si="4"/>
        <v>0.75966666666666671</v>
      </c>
      <c r="L33" s="7">
        <f t="shared" si="5"/>
        <v>2.7545376504182238E-2</v>
      </c>
      <c r="M33" s="7">
        <f t="shared" si="6"/>
        <v>1.8129927254125557</v>
      </c>
      <c r="N33" s="7">
        <f t="shared" si="7"/>
        <v>0.12326118133772013</v>
      </c>
      <c r="O33" s="7">
        <f t="shared" si="8"/>
        <v>245.41384133840813</v>
      </c>
      <c r="P33" s="7">
        <f t="shared" si="9"/>
        <v>39.820096533567352</v>
      </c>
      <c r="Q33" s="233"/>
    </row>
    <row r="34" spans="1:17" ht="18" x14ac:dyDescent="0.35">
      <c r="A34" s="26" t="s">
        <v>57</v>
      </c>
      <c r="B34" s="141">
        <v>1</v>
      </c>
      <c r="C34" s="113" t="s">
        <v>43</v>
      </c>
      <c r="D34" s="233"/>
      <c r="E34" s="41">
        <f t="shared" si="0"/>
        <v>31</v>
      </c>
      <c r="F34" s="7">
        <f>IF((E34&lt;='Alternative 1'!$B$12),F33+1,"x")</f>
        <v>31</v>
      </c>
      <c r="G34" s="129">
        <f>IF(E34&lt;='Alternative 1'!$B$12,G33+1,0)</f>
        <v>30.5</v>
      </c>
      <c r="H34" s="39">
        <f t="shared" si="1"/>
        <v>1.5293888888888889</v>
      </c>
      <c r="I34" s="38">
        <f t="shared" si="2"/>
        <v>0.75972222222222219</v>
      </c>
      <c r="J34" s="38">
        <f t="shared" si="3"/>
        <v>0.73972222222222217</v>
      </c>
      <c r="K34" s="9">
        <f t="shared" si="4"/>
        <v>0.74972222222222218</v>
      </c>
      <c r="L34" s="7">
        <f t="shared" si="5"/>
        <v>2.6477724125701898E-2</v>
      </c>
      <c r="M34" s="7">
        <f t="shared" si="6"/>
        <v>1.7658373078235334</v>
      </c>
      <c r="N34" s="7">
        <f t="shared" si="7"/>
        <v>0.12245174611170846</v>
      </c>
      <c r="O34" s="7">
        <f t="shared" si="8"/>
        <v>255.27062149703806</v>
      </c>
      <c r="P34" s="7">
        <f t="shared" si="9"/>
        <v>41.693219711004076</v>
      </c>
      <c r="Q34" s="233"/>
    </row>
    <row r="35" spans="1:17" ht="18" x14ac:dyDescent="0.35">
      <c r="A35" s="26" t="s">
        <v>58</v>
      </c>
      <c r="B35" s="139">
        <v>0.95</v>
      </c>
      <c r="C35" s="113" t="s">
        <v>43</v>
      </c>
      <c r="D35" s="233"/>
      <c r="E35" s="41">
        <f t="shared" si="0"/>
        <v>32</v>
      </c>
      <c r="F35" s="7">
        <f>IF((E35&lt;='Alternative 1'!$B$12),F34+1,"x")</f>
        <v>32</v>
      </c>
      <c r="G35" s="129">
        <f>IF(E35&lt;='Alternative 1'!$B$12,G34+1,0)</f>
        <v>31.5</v>
      </c>
      <c r="H35" s="39">
        <f t="shared" si="1"/>
        <v>1.5095000000000001</v>
      </c>
      <c r="I35" s="38">
        <f t="shared" si="2"/>
        <v>0.74977777777777777</v>
      </c>
      <c r="J35" s="38">
        <f t="shared" si="3"/>
        <v>0.72977777777777775</v>
      </c>
      <c r="K35" s="9">
        <f t="shared" si="4"/>
        <v>0.73977777777777776</v>
      </c>
      <c r="L35" s="7">
        <f t="shared" si="5"/>
        <v>2.5438022414950787E-2</v>
      </c>
      <c r="M35" s="7">
        <f t="shared" si="6"/>
        <v>1.7193032469092839</v>
      </c>
      <c r="N35" s="7">
        <f t="shared" si="7"/>
        <v>0.12163692460286185</v>
      </c>
      <c r="O35" s="7">
        <f t="shared" si="8"/>
        <v>265.27032619425091</v>
      </c>
      <c r="P35" s="7">
        <f t="shared" si="9"/>
        <v>43.616701712225897</v>
      </c>
      <c r="Q35" s="233"/>
    </row>
    <row r="36" spans="1:17" ht="17.25" x14ac:dyDescent="0.25">
      <c r="A36" s="29" t="s">
        <v>59</v>
      </c>
      <c r="B36" s="139">
        <f>44.704^2</f>
        <v>1998.4476160000002</v>
      </c>
      <c r="C36" s="113" t="s">
        <v>43</v>
      </c>
      <c r="D36" s="233"/>
      <c r="E36" s="41">
        <f t="shared" si="0"/>
        <v>33</v>
      </c>
      <c r="F36" s="7">
        <f>IF((E36&lt;='Alternative 1'!$B$12),F35+1,"x")</f>
        <v>33</v>
      </c>
      <c r="G36" s="129">
        <f>IF(E36&lt;='Alternative 1'!$B$12,G35+1,0)</f>
        <v>32.5</v>
      </c>
      <c r="H36" s="39">
        <f t="shared" si="1"/>
        <v>1.489611111111111</v>
      </c>
      <c r="I36" s="38">
        <f t="shared" si="2"/>
        <v>0.73983333333333334</v>
      </c>
      <c r="J36" s="38">
        <f t="shared" si="3"/>
        <v>0.71983333333333333</v>
      </c>
      <c r="K36" s="9">
        <f t="shared" si="4"/>
        <v>0.72983333333333333</v>
      </c>
      <c r="L36" s="7">
        <f t="shared" si="5"/>
        <v>2.4425900629466941E-2</v>
      </c>
      <c r="M36" s="7">
        <f t="shared" si="6"/>
        <v>1.6733905426698055</v>
      </c>
      <c r="N36" s="7">
        <f t="shared" si="7"/>
        <v>0.12081660783136682</v>
      </c>
      <c r="O36" s="7">
        <f t="shared" si="8"/>
        <v>275.41743306056497</v>
      </c>
      <c r="P36" s="7">
        <f t="shared" si="9"/>
        <v>45.59260105046814</v>
      </c>
      <c r="Q36" s="233"/>
    </row>
    <row r="37" spans="1:17" x14ac:dyDescent="0.25">
      <c r="A37" s="231" t="s">
        <v>60</v>
      </c>
      <c r="B37" s="231"/>
      <c r="C37" s="234"/>
      <c r="D37" s="233"/>
      <c r="E37" s="41">
        <f t="shared" si="0"/>
        <v>34</v>
      </c>
      <c r="F37" s="7">
        <f>IF((E37&lt;='Alternative 1'!$B$12),F36+1,"x")</f>
        <v>34</v>
      </c>
      <c r="G37" s="129">
        <f>IF(E37&lt;='Alternative 1'!$B$12,G36+1,0)</f>
        <v>33.5</v>
      </c>
      <c r="H37" s="39">
        <f t="shared" si="1"/>
        <v>1.4697222222222222</v>
      </c>
      <c r="I37" s="38">
        <f t="shared" si="2"/>
        <v>0.72988888888888881</v>
      </c>
      <c r="J37" s="38">
        <f t="shared" si="3"/>
        <v>0.70988888888888879</v>
      </c>
      <c r="K37" s="9">
        <f t="shared" si="4"/>
        <v>0.7198888888888888</v>
      </c>
      <c r="L37" s="7">
        <f t="shared" si="5"/>
        <v>2.3440988026788467E-2</v>
      </c>
      <c r="M37" s="7">
        <f t="shared" si="6"/>
        <v>1.6280991951050983</v>
      </c>
      <c r="N37" s="7">
        <f t="shared" si="7"/>
        <v>0.11999068309212292</v>
      </c>
      <c r="O37" s="7">
        <f t="shared" si="8"/>
        <v>285.71662774027448</v>
      </c>
      <c r="P37" s="7">
        <f t="shared" si="9"/>
        <v>47.623089983022076</v>
      </c>
      <c r="Q37" s="233"/>
    </row>
    <row r="38" spans="1:17" x14ac:dyDescent="0.25">
      <c r="A38" s="29" t="s">
        <v>61</v>
      </c>
      <c r="B38" s="143">
        <f>B13/B12</f>
        <v>867.098421946705</v>
      </c>
      <c r="C38" s="114" t="s">
        <v>62</v>
      </c>
      <c r="D38" s="233"/>
      <c r="E38" s="41">
        <f t="shared" si="0"/>
        <v>35</v>
      </c>
      <c r="F38" s="7">
        <f>IF((E38&lt;='Alternative 1'!$B$12),F37+1,"x")</f>
        <v>35</v>
      </c>
      <c r="G38" s="129">
        <f>IF(E38&lt;='Alternative 1'!$B$12,G37+1,0)</f>
        <v>34.5</v>
      </c>
      <c r="H38" s="39">
        <f t="shared" si="1"/>
        <v>1.4498333333333333</v>
      </c>
      <c r="I38" s="38">
        <f t="shared" si="2"/>
        <v>0.7199444444444445</v>
      </c>
      <c r="J38" s="38">
        <f t="shared" si="3"/>
        <v>0.69994444444444448</v>
      </c>
      <c r="K38" s="9">
        <f t="shared" si="4"/>
        <v>0.70994444444444449</v>
      </c>
      <c r="L38" s="7">
        <f t="shared" si="5"/>
        <v>2.2482913864453471E-2</v>
      </c>
      <c r="M38" s="7">
        <f t="shared" si="6"/>
        <v>1.5834292042151636</v>
      </c>
      <c r="N38" s="7">
        <f t="shared" si="7"/>
        <v>0.11915903377398739</v>
      </c>
      <c r="O38" s="7">
        <f t="shared" si="8"/>
        <v>296.17281668803605</v>
      </c>
      <c r="P38" s="7">
        <f t="shared" si="9"/>
        <v>49.710462477502148</v>
      </c>
      <c r="Q38" s="233"/>
    </row>
    <row r="39" spans="1:17" x14ac:dyDescent="0.25">
      <c r="A39" s="29" t="s">
        <v>61</v>
      </c>
      <c r="B39" s="143">
        <f>B14/B12</f>
        <v>8503.3307395836546</v>
      </c>
      <c r="C39" s="114" t="s">
        <v>152</v>
      </c>
      <c r="D39" s="233"/>
      <c r="E39" s="41">
        <f t="shared" si="0"/>
        <v>36</v>
      </c>
      <c r="F39" s="7">
        <f>IF((E39&lt;='Alternative 1'!$B$12),F38+1,"x")</f>
        <v>36</v>
      </c>
      <c r="G39" s="129">
        <f>IF(E39&lt;='Alternative 1'!$B$12,G38+1,0)</f>
        <v>35.5</v>
      </c>
      <c r="H39" s="39">
        <f t="shared" si="1"/>
        <v>1.4299444444444442</v>
      </c>
      <c r="I39" s="38">
        <f t="shared" si="2"/>
        <v>0.71</v>
      </c>
      <c r="J39" s="38">
        <f t="shared" si="3"/>
        <v>0.69</v>
      </c>
      <c r="K39" s="9">
        <f t="shared" si="4"/>
        <v>0.7</v>
      </c>
      <c r="L39" s="7">
        <f t="shared" si="5"/>
        <v>2.1551307399999994E-2</v>
      </c>
      <c r="M39" s="7">
        <f t="shared" si="6"/>
        <v>1.5393805699999998</v>
      </c>
      <c r="N39" s="7">
        <f t="shared" si="7"/>
        <v>0.11832153916758457</v>
      </c>
      <c r="O39" s="7">
        <f t="shared" si="8"/>
        <v>306.79114094845011</v>
      </c>
      <c r="P39" s="7">
        <f t="shared" si="9"/>
        <v>51.857142857142854</v>
      </c>
      <c r="Q39" s="233"/>
    </row>
    <row r="40" spans="1:17" x14ac:dyDescent="0.25">
      <c r="A40" s="29" t="s">
        <v>64</v>
      </c>
      <c r="B40" s="57">
        <v>1.1000000000000001</v>
      </c>
      <c r="C40" s="113" t="s">
        <v>43</v>
      </c>
      <c r="D40" s="233"/>
      <c r="E40" s="41">
        <f t="shared" si="0"/>
        <v>37</v>
      </c>
      <c r="F40" s="7" t="str">
        <f>IF((E40&lt;='Alternative 1'!$B$12),F39+1,"x")</f>
        <v>x</v>
      </c>
      <c r="G40" s="129">
        <f>IF(E40&lt;='Alternative 1'!$B$12,G39+1,0)</f>
        <v>0</v>
      </c>
      <c r="H40" s="39">
        <f t="shared" si="1"/>
        <v>2.1360000000000001</v>
      </c>
      <c r="I40" s="38" t="e">
        <f t="shared" si="2"/>
        <v>#VALUE!</v>
      </c>
      <c r="J40" s="38" t="e">
        <f t="shared" si="3"/>
        <v>#VALUE!</v>
      </c>
      <c r="K40" s="9" t="e">
        <f t="shared" si="4"/>
        <v>#VALUE!</v>
      </c>
      <c r="L40" s="7" t="e">
        <f t="shared" si="5"/>
        <v>#VALUE!</v>
      </c>
      <c r="M40" s="7" t="e">
        <f t="shared" si="6"/>
        <v>#VALUE!</v>
      </c>
      <c r="N40" s="7" t="e">
        <f t="shared" si="7"/>
        <v>#VALUE!</v>
      </c>
      <c r="O40" s="7" t="e">
        <f t="shared" si="8"/>
        <v>#VALUE!</v>
      </c>
      <c r="P40" s="7" t="e">
        <f t="shared" si="9"/>
        <v>#VALUE!</v>
      </c>
      <c r="Q40" s="233"/>
    </row>
    <row r="41" spans="1:17" ht="30" x14ac:dyDescent="0.25">
      <c r="A41" s="34" t="s">
        <v>93</v>
      </c>
      <c r="B41" s="143">
        <f>'Dynamic Loading'!I3</f>
        <v>19615.019341482042</v>
      </c>
      <c r="C41" s="115" t="s">
        <v>28</v>
      </c>
      <c r="D41" s="233"/>
      <c r="E41" s="41">
        <f t="shared" si="0"/>
        <v>38</v>
      </c>
      <c r="F41" s="7" t="str">
        <f>IF((E41&lt;='Alternative 1'!$B$12),F40+1,"x")</f>
        <v>x</v>
      </c>
      <c r="G41" s="129">
        <f>IF(E41&lt;='Alternative 1'!$B$12,G40+1,0)</f>
        <v>0</v>
      </c>
      <c r="H41" s="39">
        <f t="shared" si="1"/>
        <v>2.1360000000000001</v>
      </c>
      <c r="I41" s="38" t="e">
        <f t="shared" si="2"/>
        <v>#VALUE!</v>
      </c>
      <c r="J41" s="38" t="e">
        <f t="shared" si="3"/>
        <v>#VALUE!</v>
      </c>
      <c r="K41" s="9" t="e">
        <f t="shared" si="4"/>
        <v>#VALUE!</v>
      </c>
      <c r="L41" s="7" t="e">
        <f t="shared" si="5"/>
        <v>#VALUE!</v>
      </c>
      <c r="M41" s="7" t="e">
        <f t="shared" si="6"/>
        <v>#VALUE!</v>
      </c>
      <c r="N41" s="7" t="e">
        <f t="shared" si="7"/>
        <v>#VALUE!</v>
      </c>
      <c r="O41" s="7" t="e">
        <f t="shared" si="8"/>
        <v>#VALUE!</v>
      </c>
      <c r="P41" s="7" t="e">
        <f t="shared" si="9"/>
        <v>#VALUE!</v>
      </c>
      <c r="Q41" s="233"/>
    </row>
    <row r="42" spans="1:17" x14ac:dyDescent="0.25">
      <c r="A42" s="29" t="s">
        <v>65</v>
      </c>
      <c r="B42" s="47">
        <v>13.4</v>
      </c>
      <c r="C42" s="115" t="s">
        <v>20</v>
      </c>
      <c r="D42" s="233"/>
      <c r="E42" s="41">
        <f t="shared" si="0"/>
        <v>39</v>
      </c>
      <c r="F42" s="7" t="str">
        <f>IF((E42&lt;='Alternative 1'!$B$12),F41+1,"x")</f>
        <v>x</v>
      </c>
      <c r="G42" s="129">
        <f>IF(E42&lt;='Alternative 1'!$B$12,G41+1,0)</f>
        <v>0</v>
      </c>
      <c r="H42" s="39">
        <f t="shared" si="1"/>
        <v>2.1360000000000001</v>
      </c>
      <c r="I42" s="38" t="e">
        <f t="shared" si="2"/>
        <v>#VALUE!</v>
      </c>
      <c r="J42" s="38" t="e">
        <f t="shared" si="3"/>
        <v>#VALUE!</v>
      </c>
      <c r="K42" s="9" t="e">
        <f t="shared" si="4"/>
        <v>#VALUE!</v>
      </c>
      <c r="L42" s="7" t="e">
        <f t="shared" si="5"/>
        <v>#VALUE!</v>
      </c>
      <c r="M42" s="7" t="e">
        <f t="shared" si="6"/>
        <v>#VALUE!</v>
      </c>
      <c r="N42" s="7" t="e">
        <f t="shared" si="7"/>
        <v>#VALUE!</v>
      </c>
      <c r="O42" s="7" t="e">
        <f t="shared" si="8"/>
        <v>#VALUE!</v>
      </c>
      <c r="P42" s="7" t="e">
        <f t="shared" si="9"/>
        <v>#VALUE!</v>
      </c>
      <c r="Q42" s="233"/>
    </row>
    <row r="43" spans="1:17" x14ac:dyDescent="0.25">
      <c r="A43" s="29" t="s">
        <v>66</v>
      </c>
      <c r="B43" s="47">
        <v>12</v>
      </c>
      <c r="C43" s="115" t="s">
        <v>20</v>
      </c>
      <c r="D43" s="233"/>
      <c r="E43" s="41">
        <f t="shared" si="0"/>
        <v>40</v>
      </c>
      <c r="F43" s="7" t="str">
        <f>IF((E43&lt;='Alternative 1'!$B$12),F42+1,"x")</f>
        <v>x</v>
      </c>
      <c r="G43" s="129">
        <f>IF(E43&lt;='Alternative 1'!$B$12,G42+1,0)</f>
        <v>0</v>
      </c>
      <c r="H43" s="39">
        <f t="shared" si="1"/>
        <v>2.1360000000000001</v>
      </c>
      <c r="I43" s="38" t="e">
        <f t="shared" si="2"/>
        <v>#VALUE!</v>
      </c>
      <c r="J43" s="38" t="e">
        <f t="shared" si="3"/>
        <v>#VALUE!</v>
      </c>
      <c r="K43" s="9" t="e">
        <f t="shared" si="4"/>
        <v>#VALUE!</v>
      </c>
      <c r="L43" s="7" t="e">
        <f t="shared" si="5"/>
        <v>#VALUE!</v>
      </c>
      <c r="M43" s="7" t="e">
        <f t="shared" si="6"/>
        <v>#VALUE!</v>
      </c>
      <c r="N43" s="7" t="e">
        <f t="shared" si="7"/>
        <v>#VALUE!</v>
      </c>
      <c r="O43" s="7" t="e">
        <f t="shared" si="8"/>
        <v>#VALUE!</v>
      </c>
      <c r="P43" s="7" t="e">
        <f t="shared" si="9"/>
        <v>#VALUE!</v>
      </c>
      <c r="Q43" s="233"/>
    </row>
    <row r="44" spans="1:17" x14ac:dyDescent="0.25">
      <c r="A44" s="29" t="s">
        <v>67</v>
      </c>
      <c r="B44" s="47">
        <v>7.5</v>
      </c>
      <c r="C44" s="115" t="s">
        <v>20</v>
      </c>
      <c r="D44" s="233"/>
      <c r="E44" s="41">
        <f t="shared" si="0"/>
        <v>41</v>
      </c>
      <c r="F44" s="7" t="str">
        <f>IF((E44&lt;='Alternative 1'!$B$12),F43+1,"x")</f>
        <v>x</v>
      </c>
      <c r="G44" s="129">
        <f>IF(E44&lt;='Alternative 1'!$B$12,G43+1,0)</f>
        <v>0</v>
      </c>
      <c r="H44" s="39">
        <f t="shared" si="1"/>
        <v>2.1360000000000001</v>
      </c>
      <c r="I44" s="38" t="e">
        <f t="shared" si="2"/>
        <v>#VALUE!</v>
      </c>
      <c r="J44" s="38" t="e">
        <f t="shared" si="3"/>
        <v>#VALUE!</v>
      </c>
      <c r="K44" s="9" t="e">
        <f t="shared" si="4"/>
        <v>#VALUE!</v>
      </c>
      <c r="L44" s="7" t="e">
        <f t="shared" si="5"/>
        <v>#VALUE!</v>
      </c>
      <c r="M44" s="7" t="e">
        <f t="shared" si="6"/>
        <v>#VALUE!</v>
      </c>
      <c r="N44" s="7" t="e">
        <f t="shared" si="7"/>
        <v>#VALUE!</v>
      </c>
      <c r="O44" s="7" t="e">
        <f t="shared" si="8"/>
        <v>#VALUE!</v>
      </c>
      <c r="P44" s="7" t="e">
        <f t="shared" si="9"/>
        <v>#VALUE!</v>
      </c>
      <c r="Q44" s="233"/>
    </row>
    <row r="45" spans="1:17" x14ac:dyDescent="0.25">
      <c r="A45" s="29" t="s">
        <v>68</v>
      </c>
      <c r="B45" s="47">
        <v>3</v>
      </c>
      <c r="C45" s="115" t="s">
        <v>20</v>
      </c>
      <c r="D45" s="233"/>
      <c r="E45" s="41">
        <f t="shared" si="0"/>
        <v>42</v>
      </c>
      <c r="F45" s="7" t="str">
        <f>IF((E45&lt;='Alternative 1'!$B$12),F44+1,"x")</f>
        <v>x</v>
      </c>
      <c r="G45" s="129">
        <f>IF(E45&lt;='Alternative 1'!$B$12,G44+1,0)</f>
        <v>0</v>
      </c>
      <c r="H45" s="39">
        <f t="shared" si="1"/>
        <v>2.1360000000000001</v>
      </c>
      <c r="I45" s="38" t="e">
        <f t="shared" si="2"/>
        <v>#VALUE!</v>
      </c>
      <c r="J45" s="38" t="e">
        <f t="shared" si="3"/>
        <v>#VALUE!</v>
      </c>
      <c r="K45" s="9" t="e">
        <f t="shared" si="4"/>
        <v>#VALUE!</v>
      </c>
      <c r="L45" s="7" t="e">
        <f t="shared" si="5"/>
        <v>#VALUE!</v>
      </c>
      <c r="M45" s="7" t="e">
        <f t="shared" si="6"/>
        <v>#VALUE!</v>
      </c>
      <c r="N45" s="7" t="e">
        <f t="shared" si="7"/>
        <v>#VALUE!</v>
      </c>
      <c r="O45" s="7" t="e">
        <f t="shared" si="8"/>
        <v>#VALUE!</v>
      </c>
      <c r="P45" s="7" t="e">
        <f t="shared" si="9"/>
        <v>#VALUE!</v>
      </c>
      <c r="Q45" s="233"/>
    </row>
    <row r="46" spans="1:17" x14ac:dyDescent="0.25">
      <c r="A46" s="29" t="s">
        <v>69</v>
      </c>
      <c r="B46" s="57">
        <v>4.2</v>
      </c>
      <c r="C46" s="113" t="s">
        <v>43</v>
      </c>
      <c r="D46" s="233"/>
      <c r="E46" s="41">
        <f t="shared" si="0"/>
        <v>43</v>
      </c>
      <c r="F46" s="7" t="str">
        <f>IF((E46&lt;='Alternative 1'!$B$12),F45+1,"x")</f>
        <v>x</v>
      </c>
      <c r="G46" s="129">
        <f>IF(E46&lt;='Alternative 1'!$B$12,G45+1,0)</f>
        <v>0</v>
      </c>
      <c r="H46" s="39">
        <f t="shared" si="1"/>
        <v>2.1360000000000001</v>
      </c>
      <c r="I46" s="38" t="e">
        <f t="shared" si="2"/>
        <v>#VALUE!</v>
      </c>
      <c r="J46" s="38" t="e">
        <f t="shared" si="3"/>
        <v>#VALUE!</v>
      </c>
      <c r="K46" s="9" t="e">
        <f t="shared" si="4"/>
        <v>#VALUE!</v>
      </c>
      <c r="L46" s="7" t="e">
        <f t="shared" si="5"/>
        <v>#VALUE!</v>
      </c>
      <c r="M46" s="7" t="e">
        <f t="shared" si="6"/>
        <v>#VALUE!</v>
      </c>
      <c r="N46" s="7" t="e">
        <f t="shared" si="7"/>
        <v>#VALUE!</v>
      </c>
      <c r="O46" s="7" t="e">
        <f t="shared" si="8"/>
        <v>#VALUE!</v>
      </c>
      <c r="P46" s="7" t="e">
        <f t="shared" si="9"/>
        <v>#VALUE!</v>
      </c>
      <c r="Q46" s="233"/>
    </row>
    <row r="47" spans="1:17" ht="18" x14ac:dyDescent="0.35">
      <c r="A47" s="29" t="s">
        <v>70</v>
      </c>
      <c r="B47" s="57">
        <v>0.56000000000000005</v>
      </c>
      <c r="C47" s="113" t="s">
        <v>43</v>
      </c>
      <c r="D47" s="233"/>
      <c r="E47" s="41">
        <f t="shared" si="0"/>
        <v>44</v>
      </c>
      <c r="F47" s="7" t="str">
        <f>IF((E47&lt;='Alternative 1'!$B$12),F46+1,"x")</f>
        <v>x</v>
      </c>
      <c r="G47" s="129">
        <f>IF(E47&lt;='Alternative 1'!$B$12,G46+1,0)</f>
        <v>0</v>
      </c>
      <c r="H47" s="39">
        <f t="shared" si="1"/>
        <v>2.1360000000000001</v>
      </c>
      <c r="I47" s="38" t="e">
        <f t="shared" si="2"/>
        <v>#VALUE!</v>
      </c>
      <c r="J47" s="38" t="e">
        <f t="shared" si="3"/>
        <v>#VALUE!</v>
      </c>
      <c r="K47" s="9" t="e">
        <f t="shared" si="4"/>
        <v>#VALUE!</v>
      </c>
      <c r="L47" s="7" t="e">
        <f t="shared" si="5"/>
        <v>#VALUE!</v>
      </c>
      <c r="M47" s="7" t="e">
        <f t="shared" si="6"/>
        <v>#VALUE!</v>
      </c>
      <c r="N47" s="7" t="e">
        <f t="shared" si="7"/>
        <v>#VALUE!</v>
      </c>
      <c r="O47" s="7" t="e">
        <f t="shared" si="8"/>
        <v>#VALUE!</v>
      </c>
      <c r="P47" s="7" t="e">
        <f t="shared" si="9"/>
        <v>#VALUE!</v>
      </c>
      <c r="Q47" s="233"/>
    </row>
    <row r="48" spans="1:17" x14ac:dyDescent="0.25">
      <c r="A48" s="29" t="s">
        <v>71</v>
      </c>
      <c r="B48" s="57">
        <v>1.2250000000000001</v>
      </c>
      <c r="C48" s="115" t="s">
        <v>72</v>
      </c>
      <c r="D48" s="233"/>
      <c r="E48" s="41">
        <f t="shared" si="0"/>
        <v>45</v>
      </c>
      <c r="F48" s="7" t="str">
        <f>IF((E48&lt;='Alternative 1'!$B$12),F47+1,"x")</f>
        <v>x</v>
      </c>
      <c r="G48" s="129">
        <f>IF(E48&lt;='Alternative 1'!$B$12,G47+1,0)</f>
        <v>0</v>
      </c>
      <c r="H48" s="39">
        <f t="shared" si="1"/>
        <v>2.1360000000000001</v>
      </c>
      <c r="I48" s="38" t="e">
        <f t="shared" si="2"/>
        <v>#VALUE!</v>
      </c>
      <c r="J48" s="38" t="e">
        <f t="shared" si="3"/>
        <v>#VALUE!</v>
      </c>
      <c r="K48" s="9" t="e">
        <f t="shared" si="4"/>
        <v>#VALUE!</v>
      </c>
      <c r="L48" s="7" t="e">
        <f t="shared" si="5"/>
        <v>#VALUE!</v>
      </c>
      <c r="M48" s="7" t="e">
        <f t="shared" si="6"/>
        <v>#VALUE!</v>
      </c>
      <c r="N48" s="7" t="e">
        <f t="shared" si="7"/>
        <v>#VALUE!</v>
      </c>
      <c r="O48" s="7" t="e">
        <f t="shared" si="8"/>
        <v>#VALUE!</v>
      </c>
      <c r="P48" s="7" t="e">
        <f t="shared" si="9"/>
        <v>#VALUE!</v>
      </c>
      <c r="Q48" s="233"/>
    </row>
    <row r="49" spans="1:17" x14ac:dyDescent="0.25">
      <c r="A49" s="50" t="s">
        <v>73</v>
      </c>
      <c r="B49" s="144">
        <f>PI()*(B9/2)^2</f>
        <v>289.52917895483534</v>
      </c>
      <c r="C49" s="116" t="s">
        <v>74</v>
      </c>
      <c r="D49" s="233"/>
      <c r="E49" s="41">
        <f t="shared" si="0"/>
        <v>46</v>
      </c>
      <c r="F49" s="7" t="str">
        <f>IF((E49&lt;='Alternative 1'!$B$12),F48+1,"x")</f>
        <v>x</v>
      </c>
      <c r="G49" s="129">
        <f>IF(E49&lt;='Alternative 1'!$B$12,G48+1,0)</f>
        <v>0</v>
      </c>
      <c r="H49" s="39">
        <f t="shared" si="1"/>
        <v>2.1360000000000001</v>
      </c>
      <c r="I49" s="38" t="e">
        <f t="shared" si="2"/>
        <v>#VALUE!</v>
      </c>
      <c r="J49" s="38" t="e">
        <f t="shared" si="3"/>
        <v>#VALUE!</v>
      </c>
      <c r="K49" s="9" t="e">
        <f t="shared" si="4"/>
        <v>#VALUE!</v>
      </c>
      <c r="L49" s="7" t="e">
        <f t="shared" si="5"/>
        <v>#VALUE!</v>
      </c>
      <c r="M49" s="7" t="e">
        <f t="shared" si="6"/>
        <v>#VALUE!</v>
      </c>
      <c r="N49" s="7" t="e">
        <f t="shared" si="7"/>
        <v>#VALUE!</v>
      </c>
      <c r="O49" s="7" t="e">
        <f t="shared" si="8"/>
        <v>#VALUE!</v>
      </c>
      <c r="P49" s="7" t="e">
        <f t="shared" si="9"/>
        <v>#VALUE!</v>
      </c>
      <c r="Q49" s="233"/>
    </row>
    <row r="50" spans="1:17" x14ac:dyDescent="0.25">
      <c r="A50" s="51"/>
      <c r="B50" s="52"/>
      <c r="C50" s="52"/>
      <c r="D50" s="233"/>
      <c r="E50" s="41">
        <f t="shared" si="0"/>
        <v>47</v>
      </c>
      <c r="F50" s="7" t="str">
        <f>IF((E50&lt;='Alternative 1'!$B$12),F49+1,"x")</f>
        <v>x</v>
      </c>
      <c r="G50" s="129">
        <f>IF(E50&lt;='Alternative 1'!$B$12,G49+1,0)</f>
        <v>0</v>
      </c>
      <c r="H50" s="39">
        <f t="shared" si="1"/>
        <v>2.1360000000000001</v>
      </c>
      <c r="I50" s="38" t="e">
        <f t="shared" si="2"/>
        <v>#VALUE!</v>
      </c>
      <c r="J50" s="38" t="e">
        <f t="shared" si="3"/>
        <v>#VALUE!</v>
      </c>
      <c r="K50" s="9" t="e">
        <f t="shared" si="4"/>
        <v>#VALUE!</v>
      </c>
      <c r="L50" s="7" t="e">
        <f t="shared" si="5"/>
        <v>#VALUE!</v>
      </c>
      <c r="M50" s="7" t="e">
        <f t="shared" si="6"/>
        <v>#VALUE!</v>
      </c>
      <c r="N50" s="7" t="e">
        <f t="shared" si="7"/>
        <v>#VALUE!</v>
      </c>
      <c r="O50" s="7" t="e">
        <f t="shared" si="8"/>
        <v>#VALUE!</v>
      </c>
      <c r="P50" s="7" t="e">
        <f t="shared" si="9"/>
        <v>#VALUE!</v>
      </c>
      <c r="Q50" s="233"/>
    </row>
    <row r="51" spans="1:17" x14ac:dyDescent="0.25">
      <c r="A51" s="10"/>
      <c r="B51" s="10"/>
      <c r="C51" s="10"/>
      <c r="D51" s="233"/>
      <c r="E51" s="41">
        <f t="shared" si="0"/>
        <v>48</v>
      </c>
      <c r="F51" s="7" t="str">
        <f>IF((E51&lt;='Alternative 1'!$B$12),F50+1,"x")</f>
        <v>x</v>
      </c>
      <c r="G51" s="129">
        <f>IF(E51&lt;='Alternative 1'!$B$12,G50+1,0)</f>
        <v>0</v>
      </c>
      <c r="H51" s="39">
        <f t="shared" si="1"/>
        <v>2.1360000000000001</v>
      </c>
      <c r="I51" s="38" t="e">
        <f t="shared" si="2"/>
        <v>#VALUE!</v>
      </c>
      <c r="J51" s="38" t="e">
        <f t="shared" si="3"/>
        <v>#VALUE!</v>
      </c>
      <c r="K51" s="9" t="e">
        <f t="shared" si="4"/>
        <v>#VALUE!</v>
      </c>
      <c r="L51" s="7" t="e">
        <f t="shared" si="5"/>
        <v>#VALUE!</v>
      </c>
      <c r="M51" s="7" t="e">
        <f t="shared" si="6"/>
        <v>#VALUE!</v>
      </c>
      <c r="N51" s="7" t="e">
        <f t="shared" si="7"/>
        <v>#VALUE!</v>
      </c>
      <c r="O51" s="7" t="e">
        <f t="shared" si="8"/>
        <v>#VALUE!</v>
      </c>
      <c r="P51" s="7" t="e">
        <f t="shared" si="9"/>
        <v>#VALUE!</v>
      </c>
      <c r="Q51" s="233"/>
    </row>
    <row r="52" spans="1:17" x14ac:dyDescent="0.25">
      <c r="A52" s="10"/>
      <c r="B52" s="10"/>
      <c r="C52" s="10"/>
      <c r="D52" s="233"/>
      <c r="E52" s="41">
        <f t="shared" si="0"/>
        <v>49</v>
      </c>
      <c r="F52" s="7" t="str">
        <f>IF((E52&lt;='Alternative 1'!$B$12),F51+1,"x")</f>
        <v>x</v>
      </c>
      <c r="G52" s="129">
        <f>IF(E52&lt;='Alternative 1'!$B$12,G51+1,0)</f>
        <v>0</v>
      </c>
      <c r="H52" s="39">
        <f t="shared" si="1"/>
        <v>2.1360000000000001</v>
      </c>
      <c r="I52" s="38" t="e">
        <f t="shared" si="2"/>
        <v>#VALUE!</v>
      </c>
      <c r="J52" s="38" t="e">
        <f t="shared" si="3"/>
        <v>#VALUE!</v>
      </c>
      <c r="K52" s="9" t="e">
        <f t="shared" si="4"/>
        <v>#VALUE!</v>
      </c>
      <c r="L52" s="7" t="e">
        <f t="shared" si="5"/>
        <v>#VALUE!</v>
      </c>
      <c r="M52" s="7" t="e">
        <f t="shared" si="6"/>
        <v>#VALUE!</v>
      </c>
      <c r="N52" s="7" t="e">
        <f t="shared" si="7"/>
        <v>#VALUE!</v>
      </c>
      <c r="O52" s="7" t="e">
        <f t="shared" si="8"/>
        <v>#VALUE!</v>
      </c>
      <c r="P52" s="7" t="e">
        <f t="shared" si="9"/>
        <v>#VALUE!</v>
      </c>
      <c r="Q52" s="233"/>
    </row>
    <row r="53" spans="1:17" x14ac:dyDescent="0.25">
      <c r="A53" s="10"/>
      <c r="B53" s="10"/>
      <c r="C53" s="10"/>
      <c r="D53" s="233"/>
      <c r="E53" s="41">
        <f t="shared" si="0"/>
        <v>50</v>
      </c>
      <c r="F53" s="7" t="str">
        <f>IF((E53&lt;='Alternative 1'!$B$12),F52+1,"x")</f>
        <v>x</v>
      </c>
      <c r="G53" s="129">
        <f>IF(E53&lt;='Alternative 1'!$B$12,G52+1,0)</f>
        <v>0</v>
      </c>
      <c r="H53" s="39">
        <f t="shared" si="1"/>
        <v>2.1360000000000001</v>
      </c>
      <c r="I53" s="38" t="e">
        <f t="shared" si="2"/>
        <v>#VALUE!</v>
      </c>
      <c r="J53" s="38" t="e">
        <f t="shared" si="3"/>
        <v>#VALUE!</v>
      </c>
      <c r="K53" s="9" t="e">
        <f t="shared" si="4"/>
        <v>#VALUE!</v>
      </c>
      <c r="L53" s="7" t="e">
        <f t="shared" si="5"/>
        <v>#VALUE!</v>
      </c>
      <c r="M53" s="7" t="e">
        <f t="shared" si="6"/>
        <v>#VALUE!</v>
      </c>
      <c r="N53" s="7" t="e">
        <f t="shared" si="7"/>
        <v>#VALUE!</v>
      </c>
      <c r="O53" s="7" t="e">
        <f t="shared" si="8"/>
        <v>#VALUE!</v>
      </c>
      <c r="P53" s="7" t="e">
        <f t="shared" si="9"/>
        <v>#VALUE!</v>
      </c>
      <c r="Q53" s="233"/>
    </row>
    <row r="54" spans="1:17" x14ac:dyDescent="0.25">
      <c r="A54" s="10"/>
      <c r="B54" s="10"/>
      <c r="C54" s="10"/>
      <c r="D54" s="233"/>
      <c r="E54" s="41">
        <f t="shared" si="0"/>
        <v>51</v>
      </c>
      <c r="F54" s="7" t="str">
        <f>IF((E54&lt;='Alternative 1'!$B$12),F53+1,"x")</f>
        <v>x</v>
      </c>
      <c r="G54" s="129">
        <f>IF(E54&lt;='Alternative 1'!$B$12,G53+1,0)</f>
        <v>0</v>
      </c>
      <c r="H54" s="39">
        <f t="shared" si="1"/>
        <v>2.1360000000000001</v>
      </c>
      <c r="I54" s="38" t="e">
        <f t="shared" si="2"/>
        <v>#VALUE!</v>
      </c>
      <c r="J54" s="38" t="e">
        <f t="shared" si="3"/>
        <v>#VALUE!</v>
      </c>
      <c r="K54" s="9" t="e">
        <f t="shared" si="4"/>
        <v>#VALUE!</v>
      </c>
      <c r="L54" s="7" t="e">
        <f t="shared" si="5"/>
        <v>#VALUE!</v>
      </c>
      <c r="M54" s="7" t="e">
        <f t="shared" si="6"/>
        <v>#VALUE!</v>
      </c>
      <c r="N54" s="7" t="e">
        <f t="shared" si="7"/>
        <v>#VALUE!</v>
      </c>
      <c r="O54" s="7" t="e">
        <f t="shared" si="8"/>
        <v>#VALUE!</v>
      </c>
      <c r="P54" s="7" t="e">
        <f t="shared" si="9"/>
        <v>#VALUE!</v>
      </c>
      <c r="Q54" s="233"/>
    </row>
    <row r="55" spans="1:17" x14ac:dyDescent="0.25">
      <c r="A55" s="10"/>
      <c r="B55" s="10"/>
      <c r="C55" s="10"/>
      <c r="D55" s="233"/>
      <c r="E55" s="41">
        <f t="shared" si="0"/>
        <v>52</v>
      </c>
      <c r="F55" s="7" t="str">
        <f>IF((E55&lt;='Alternative 1'!$B$12),F54+1,"x")</f>
        <v>x</v>
      </c>
      <c r="G55" s="129">
        <f>IF(E55&lt;='Alternative 1'!$B$12,G54+1,0)</f>
        <v>0</v>
      </c>
      <c r="H55" s="39">
        <f t="shared" si="1"/>
        <v>2.1360000000000001</v>
      </c>
      <c r="I55" s="38" t="e">
        <f t="shared" si="2"/>
        <v>#VALUE!</v>
      </c>
      <c r="J55" s="38" t="e">
        <f t="shared" si="3"/>
        <v>#VALUE!</v>
      </c>
      <c r="K55" s="9" t="e">
        <f t="shared" si="4"/>
        <v>#VALUE!</v>
      </c>
      <c r="L55" s="7" t="e">
        <f t="shared" si="5"/>
        <v>#VALUE!</v>
      </c>
      <c r="M55" s="7" t="e">
        <f t="shared" si="6"/>
        <v>#VALUE!</v>
      </c>
      <c r="N55" s="7" t="e">
        <f t="shared" si="7"/>
        <v>#VALUE!</v>
      </c>
      <c r="O55" s="7" t="e">
        <f t="shared" si="8"/>
        <v>#VALUE!</v>
      </c>
      <c r="P55" s="7" t="e">
        <f t="shared" si="9"/>
        <v>#VALUE!</v>
      </c>
      <c r="Q55" s="233"/>
    </row>
    <row r="56" spans="1:17" x14ac:dyDescent="0.25">
      <c r="A56" s="10"/>
      <c r="B56" s="10"/>
      <c r="C56" s="10"/>
      <c r="D56" s="233"/>
      <c r="E56" s="41">
        <f t="shared" si="0"/>
        <v>53</v>
      </c>
      <c r="F56" s="7" t="str">
        <f>IF((E56&lt;='Alternative 1'!$B$12),F55+1,"x")</f>
        <v>x</v>
      </c>
      <c r="G56" s="129">
        <f>IF(E56&lt;='Alternative 1'!$B$12,G55+1,0)</f>
        <v>0</v>
      </c>
      <c r="H56" s="39">
        <f t="shared" si="1"/>
        <v>2.1360000000000001</v>
      </c>
      <c r="I56" s="38" t="e">
        <f t="shared" si="2"/>
        <v>#VALUE!</v>
      </c>
      <c r="J56" s="38" t="e">
        <f t="shared" si="3"/>
        <v>#VALUE!</v>
      </c>
      <c r="K56" s="9" t="e">
        <f t="shared" si="4"/>
        <v>#VALUE!</v>
      </c>
      <c r="L56" s="7" t="e">
        <f t="shared" si="5"/>
        <v>#VALUE!</v>
      </c>
      <c r="M56" s="7" t="e">
        <f t="shared" si="6"/>
        <v>#VALUE!</v>
      </c>
      <c r="N56" s="7" t="e">
        <f t="shared" si="7"/>
        <v>#VALUE!</v>
      </c>
      <c r="O56" s="7" t="e">
        <f t="shared" si="8"/>
        <v>#VALUE!</v>
      </c>
      <c r="P56" s="7" t="e">
        <f t="shared" si="9"/>
        <v>#VALUE!</v>
      </c>
      <c r="Q56" s="233"/>
    </row>
    <row r="57" spans="1:17" x14ac:dyDescent="0.25">
      <c r="A57" s="10"/>
      <c r="B57" s="10"/>
      <c r="C57" s="10"/>
      <c r="D57" s="233"/>
      <c r="E57" s="41">
        <f t="shared" si="0"/>
        <v>54</v>
      </c>
      <c r="F57" s="7" t="str">
        <f>IF((E57&lt;='Alternative 1'!$B$12),F56+1,"x")</f>
        <v>x</v>
      </c>
      <c r="G57" s="129">
        <f>IF(E57&lt;='Alternative 1'!$B$12,G56+1,0)</f>
        <v>0</v>
      </c>
      <c r="H57" s="39">
        <f t="shared" si="1"/>
        <v>2.1360000000000001</v>
      </c>
      <c r="I57" s="38" t="e">
        <f t="shared" si="2"/>
        <v>#VALUE!</v>
      </c>
      <c r="J57" s="38" t="e">
        <f t="shared" si="3"/>
        <v>#VALUE!</v>
      </c>
      <c r="K57" s="9" t="e">
        <f t="shared" si="4"/>
        <v>#VALUE!</v>
      </c>
      <c r="L57" s="7" t="e">
        <f t="shared" si="5"/>
        <v>#VALUE!</v>
      </c>
      <c r="M57" s="7" t="e">
        <f t="shared" si="6"/>
        <v>#VALUE!</v>
      </c>
      <c r="N57" s="7" t="e">
        <f t="shared" si="7"/>
        <v>#VALUE!</v>
      </c>
      <c r="O57" s="7" t="e">
        <f t="shared" si="8"/>
        <v>#VALUE!</v>
      </c>
      <c r="P57" s="7" t="e">
        <f t="shared" si="9"/>
        <v>#VALUE!</v>
      </c>
      <c r="Q57" s="233"/>
    </row>
    <row r="58" spans="1:17" x14ac:dyDescent="0.25">
      <c r="A58" s="10"/>
      <c r="B58" s="10"/>
      <c r="C58" s="10"/>
      <c r="D58" s="233"/>
      <c r="E58" s="41">
        <f t="shared" si="0"/>
        <v>55</v>
      </c>
      <c r="F58" s="7" t="str">
        <f>IF((E58&lt;='Alternative 1'!$B$12),F57+1,"x")</f>
        <v>x</v>
      </c>
      <c r="G58" s="129">
        <f>IF(E58&lt;='Alternative 1'!$B$12,G57+1,0)</f>
        <v>0</v>
      </c>
      <c r="H58" s="39">
        <f t="shared" si="1"/>
        <v>2.1360000000000001</v>
      </c>
      <c r="I58" s="38" t="e">
        <f t="shared" si="2"/>
        <v>#VALUE!</v>
      </c>
      <c r="J58" s="38" t="e">
        <f t="shared" si="3"/>
        <v>#VALUE!</v>
      </c>
      <c r="K58" s="9" t="e">
        <f t="shared" si="4"/>
        <v>#VALUE!</v>
      </c>
      <c r="L58" s="7" t="e">
        <f t="shared" si="5"/>
        <v>#VALUE!</v>
      </c>
      <c r="M58" s="7" t="e">
        <f t="shared" si="6"/>
        <v>#VALUE!</v>
      </c>
      <c r="N58" s="7" t="e">
        <f t="shared" si="7"/>
        <v>#VALUE!</v>
      </c>
      <c r="O58" s="7" t="e">
        <f t="shared" si="8"/>
        <v>#VALUE!</v>
      </c>
      <c r="P58" s="7" t="e">
        <f t="shared" si="9"/>
        <v>#VALUE!</v>
      </c>
      <c r="Q58" s="233"/>
    </row>
    <row r="59" spans="1:17" x14ac:dyDescent="0.25">
      <c r="A59" s="10"/>
      <c r="B59" s="10"/>
      <c r="C59" s="10"/>
      <c r="D59" s="233"/>
      <c r="E59" s="41">
        <f t="shared" si="0"/>
        <v>56</v>
      </c>
      <c r="F59" s="7" t="str">
        <f>IF((E59&lt;='Alternative 1'!$B$12),F58+1,"x")</f>
        <v>x</v>
      </c>
      <c r="G59" s="129">
        <f>IF(E59&lt;='Alternative 1'!$B$12,G58+1,0)</f>
        <v>0</v>
      </c>
      <c r="H59" s="39">
        <f t="shared" si="1"/>
        <v>2.1360000000000001</v>
      </c>
      <c r="I59" s="38" t="e">
        <f t="shared" si="2"/>
        <v>#VALUE!</v>
      </c>
      <c r="J59" s="38" t="e">
        <f t="shared" si="3"/>
        <v>#VALUE!</v>
      </c>
      <c r="K59" s="9" t="e">
        <f t="shared" si="4"/>
        <v>#VALUE!</v>
      </c>
      <c r="L59" s="7" t="e">
        <f t="shared" si="5"/>
        <v>#VALUE!</v>
      </c>
      <c r="M59" s="7" t="e">
        <f t="shared" si="6"/>
        <v>#VALUE!</v>
      </c>
      <c r="N59" s="7" t="e">
        <f t="shared" si="7"/>
        <v>#VALUE!</v>
      </c>
      <c r="O59" s="7" t="e">
        <f t="shared" si="8"/>
        <v>#VALUE!</v>
      </c>
      <c r="P59" s="7" t="e">
        <f t="shared" si="9"/>
        <v>#VALUE!</v>
      </c>
      <c r="Q59" s="233"/>
    </row>
    <row r="60" spans="1:17" x14ac:dyDescent="0.25">
      <c r="A60" s="10"/>
      <c r="B60" s="10"/>
      <c r="C60" s="10"/>
      <c r="D60" s="233"/>
      <c r="E60" s="41">
        <f t="shared" si="0"/>
        <v>57</v>
      </c>
      <c r="F60" s="7" t="str">
        <f>IF((E60&lt;='Alternative 1'!$B$12),F59+1,"x")</f>
        <v>x</v>
      </c>
      <c r="G60" s="129">
        <f>IF(E60&lt;='Alternative 1'!$B$12,G59+1,0)</f>
        <v>0</v>
      </c>
      <c r="H60" s="39">
        <f t="shared" si="1"/>
        <v>2.1360000000000001</v>
      </c>
      <c r="I60" s="38" t="e">
        <f t="shared" si="2"/>
        <v>#VALUE!</v>
      </c>
      <c r="J60" s="38" t="e">
        <f t="shared" si="3"/>
        <v>#VALUE!</v>
      </c>
      <c r="K60" s="9" t="e">
        <f t="shared" si="4"/>
        <v>#VALUE!</v>
      </c>
      <c r="L60" s="7" t="e">
        <f t="shared" si="5"/>
        <v>#VALUE!</v>
      </c>
      <c r="M60" s="7" t="e">
        <f t="shared" si="6"/>
        <v>#VALUE!</v>
      </c>
      <c r="N60" s="7" t="e">
        <f t="shared" si="7"/>
        <v>#VALUE!</v>
      </c>
      <c r="O60" s="7" t="e">
        <f t="shared" si="8"/>
        <v>#VALUE!</v>
      </c>
      <c r="P60" s="7" t="e">
        <f t="shared" si="9"/>
        <v>#VALUE!</v>
      </c>
      <c r="Q60" s="233"/>
    </row>
    <row r="61" spans="1:17" x14ac:dyDescent="0.25">
      <c r="A61" s="10"/>
      <c r="B61" s="10"/>
      <c r="C61" s="10"/>
      <c r="D61" s="233"/>
      <c r="E61" s="41">
        <f t="shared" si="0"/>
        <v>58</v>
      </c>
      <c r="F61" s="7" t="str">
        <f>IF((E61&lt;='Alternative 1'!$B$12),F60+1,"x")</f>
        <v>x</v>
      </c>
      <c r="G61" s="129">
        <f>IF(E61&lt;='Alternative 1'!$B$12,G60+1,0)</f>
        <v>0</v>
      </c>
      <c r="H61" s="39">
        <f t="shared" si="1"/>
        <v>2.1360000000000001</v>
      </c>
      <c r="I61" s="38" t="e">
        <f t="shared" si="2"/>
        <v>#VALUE!</v>
      </c>
      <c r="J61" s="38" t="e">
        <f t="shared" si="3"/>
        <v>#VALUE!</v>
      </c>
      <c r="K61" s="9" t="e">
        <f t="shared" si="4"/>
        <v>#VALUE!</v>
      </c>
      <c r="L61" s="7" t="e">
        <f t="shared" si="5"/>
        <v>#VALUE!</v>
      </c>
      <c r="M61" s="7" t="e">
        <f t="shared" si="6"/>
        <v>#VALUE!</v>
      </c>
      <c r="N61" s="7" t="e">
        <f t="shared" si="7"/>
        <v>#VALUE!</v>
      </c>
      <c r="O61" s="7" t="e">
        <f t="shared" si="8"/>
        <v>#VALUE!</v>
      </c>
      <c r="P61" s="7" t="e">
        <f t="shared" si="9"/>
        <v>#VALUE!</v>
      </c>
      <c r="Q61" s="233"/>
    </row>
    <row r="62" spans="1:17" x14ac:dyDescent="0.25">
      <c r="A62" s="10"/>
      <c r="B62" s="10"/>
      <c r="C62" s="10"/>
      <c r="D62" s="233"/>
      <c r="E62" s="41">
        <f t="shared" si="0"/>
        <v>59</v>
      </c>
      <c r="F62" s="7" t="str">
        <f>IF((E62&lt;='Alternative 1'!$B$12),F61+1,"x")</f>
        <v>x</v>
      </c>
      <c r="G62" s="129">
        <f>IF(E62&lt;='Alternative 1'!$B$12,G61+1,0)</f>
        <v>0</v>
      </c>
      <c r="H62" s="39">
        <f t="shared" si="1"/>
        <v>2.1360000000000001</v>
      </c>
      <c r="I62" s="38" t="e">
        <f t="shared" si="2"/>
        <v>#VALUE!</v>
      </c>
      <c r="J62" s="38" t="e">
        <f t="shared" si="3"/>
        <v>#VALUE!</v>
      </c>
      <c r="K62" s="9" t="e">
        <f t="shared" si="4"/>
        <v>#VALUE!</v>
      </c>
      <c r="L62" s="7" t="e">
        <f t="shared" si="5"/>
        <v>#VALUE!</v>
      </c>
      <c r="M62" s="7" t="e">
        <f t="shared" si="6"/>
        <v>#VALUE!</v>
      </c>
      <c r="N62" s="7" t="e">
        <f t="shared" si="7"/>
        <v>#VALUE!</v>
      </c>
      <c r="O62" s="7" t="e">
        <f t="shared" si="8"/>
        <v>#VALUE!</v>
      </c>
      <c r="P62" s="7" t="e">
        <f t="shared" si="9"/>
        <v>#VALUE!</v>
      </c>
      <c r="Q62" s="233"/>
    </row>
    <row r="63" spans="1:17" x14ac:dyDescent="0.25">
      <c r="A63" s="10"/>
      <c r="B63" s="10"/>
      <c r="C63" s="10"/>
      <c r="D63" s="233"/>
      <c r="E63" s="41">
        <f t="shared" si="0"/>
        <v>60</v>
      </c>
      <c r="F63" s="7" t="str">
        <f>IF((E63&lt;='Alternative 1'!$B$12),F62+1,"x")</f>
        <v>x</v>
      </c>
      <c r="G63" s="129">
        <f>IF(E63&lt;='Alternative 1'!$B$12,G62+1,0)</f>
        <v>0</v>
      </c>
      <c r="H63" s="39">
        <f t="shared" si="1"/>
        <v>2.1360000000000001</v>
      </c>
      <c r="I63" s="38" t="e">
        <f t="shared" si="2"/>
        <v>#VALUE!</v>
      </c>
      <c r="J63" s="38" t="e">
        <f t="shared" si="3"/>
        <v>#VALUE!</v>
      </c>
      <c r="K63" s="9" t="e">
        <f t="shared" si="4"/>
        <v>#VALUE!</v>
      </c>
      <c r="L63" s="7" t="e">
        <f t="shared" si="5"/>
        <v>#VALUE!</v>
      </c>
      <c r="M63" s="7" t="e">
        <f t="shared" si="6"/>
        <v>#VALUE!</v>
      </c>
      <c r="N63" s="7" t="e">
        <f t="shared" si="7"/>
        <v>#VALUE!</v>
      </c>
      <c r="O63" s="7" t="e">
        <f t="shared" si="8"/>
        <v>#VALUE!</v>
      </c>
      <c r="P63" s="7" t="e">
        <f t="shared" si="9"/>
        <v>#VALUE!</v>
      </c>
      <c r="Q63" s="233"/>
    </row>
    <row r="64" spans="1:17" x14ac:dyDescent="0.25">
      <c r="A64" s="10"/>
      <c r="B64" s="10"/>
      <c r="C64" s="10"/>
      <c r="D64" s="233"/>
      <c r="E64" s="41">
        <f t="shared" si="0"/>
        <v>61</v>
      </c>
      <c r="F64" s="7" t="str">
        <f>IF((E64&lt;='Alternative 1'!$B$12),F63+1,"x")</f>
        <v>x</v>
      </c>
      <c r="G64" s="129">
        <f>IF(E64&lt;='Alternative 1'!$B$12,G63+1,0)</f>
        <v>0</v>
      </c>
      <c r="H64" s="39">
        <f t="shared" si="1"/>
        <v>2.1360000000000001</v>
      </c>
      <c r="I64" s="38" t="e">
        <f t="shared" si="2"/>
        <v>#VALUE!</v>
      </c>
      <c r="J64" s="38" t="e">
        <f t="shared" si="3"/>
        <v>#VALUE!</v>
      </c>
      <c r="K64" s="9" t="e">
        <f t="shared" si="4"/>
        <v>#VALUE!</v>
      </c>
      <c r="L64" s="7" t="e">
        <f t="shared" si="5"/>
        <v>#VALUE!</v>
      </c>
      <c r="M64" s="7" t="e">
        <f t="shared" si="6"/>
        <v>#VALUE!</v>
      </c>
      <c r="N64" s="7" t="e">
        <f t="shared" si="7"/>
        <v>#VALUE!</v>
      </c>
      <c r="O64" s="7" t="e">
        <f t="shared" si="8"/>
        <v>#VALUE!</v>
      </c>
      <c r="P64" s="7" t="e">
        <f t="shared" si="9"/>
        <v>#VALUE!</v>
      </c>
      <c r="Q64" s="233"/>
    </row>
    <row r="65" spans="1:17" x14ac:dyDescent="0.25">
      <c r="A65" s="10"/>
      <c r="B65" s="10"/>
      <c r="C65" s="10"/>
      <c r="D65" s="233"/>
      <c r="E65" s="41">
        <f t="shared" si="0"/>
        <v>62</v>
      </c>
      <c r="F65" s="7" t="str">
        <f>IF((E65&lt;='Alternative 1'!$B$12),F64+1,"x")</f>
        <v>x</v>
      </c>
      <c r="G65" s="129">
        <f>IF(E65&lt;='Alternative 1'!$B$12,G64+1,0)</f>
        <v>0</v>
      </c>
      <c r="H65" s="39">
        <f t="shared" si="1"/>
        <v>2.1360000000000001</v>
      </c>
      <c r="I65" s="38" t="e">
        <f t="shared" si="2"/>
        <v>#VALUE!</v>
      </c>
      <c r="J65" s="38" t="e">
        <f t="shared" si="3"/>
        <v>#VALUE!</v>
      </c>
      <c r="K65" s="9" t="e">
        <f t="shared" si="4"/>
        <v>#VALUE!</v>
      </c>
      <c r="L65" s="7" t="e">
        <f t="shared" si="5"/>
        <v>#VALUE!</v>
      </c>
      <c r="M65" s="7" t="e">
        <f t="shared" si="6"/>
        <v>#VALUE!</v>
      </c>
      <c r="N65" s="7" t="e">
        <f t="shared" si="7"/>
        <v>#VALUE!</v>
      </c>
      <c r="O65" s="7" t="e">
        <f t="shared" si="8"/>
        <v>#VALUE!</v>
      </c>
      <c r="P65" s="7" t="e">
        <f t="shared" si="9"/>
        <v>#VALUE!</v>
      </c>
      <c r="Q65" s="233"/>
    </row>
    <row r="66" spans="1:17" x14ac:dyDescent="0.25">
      <c r="A66" s="10"/>
      <c r="B66" s="10"/>
      <c r="C66" s="10"/>
      <c r="D66" s="233"/>
      <c r="E66" s="41">
        <f t="shared" si="0"/>
        <v>63</v>
      </c>
      <c r="F66" s="7" t="str">
        <f>IF((E66&lt;='Alternative 1'!$B$12),F65+1,"x")</f>
        <v>x</v>
      </c>
      <c r="G66" s="129">
        <f>IF(E66&lt;='Alternative 1'!$B$12,G65+1,0)</f>
        <v>0</v>
      </c>
      <c r="H66" s="39">
        <f t="shared" si="1"/>
        <v>2.1360000000000001</v>
      </c>
      <c r="I66" s="38" t="e">
        <f t="shared" si="2"/>
        <v>#VALUE!</v>
      </c>
      <c r="J66" s="38" t="e">
        <f t="shared" si="3"/>
        <v>#VALUE!</v>
      </c>
      <c r="K66" s="9" t="e">
        <f t="shared" si="4"/>
        <v>#VALUE!</v>
      </c>
      <c r="L66" s="7" t="e">
        <f t="shared" si="5"/>
        <v>#VALUE!</v>
      </c>
      <c r="M66" s="7" t="e">
        <f t="shared" si="6"/>
        <v>#VALUE!</v>
      </c>
      <c r="N66" s="7" t="e">
        <f t="shared" si="7"/>
        <v>#VALUE!</v>
      </c>
      <c r="O66" s="7" t="e">
        <f t="shared" si="8"/>
        <v>#VALUE!</v>
      </c>
      <c r="P66" s="7" t="e">
        <f t="shared" si="9"/>
        <v>#VALUE!</v>
      </c>
      <c r="Q66" s="233"/>
    </row>
    <row r="67" spans="1:17" x14ac:dyDescent="0.25">
      <c r="A67" s="10"/>
      <c r="B67" s="10"/>
      <c r="C67" s="10"/>
      <c r="D67" s="233"/>
      <c r="E67" s="41">
        <f t="shared" si="0"/>
        <v>64</v>
      </c>
      <c r="F67" s="7" t="str">
        <f>IF((E67&lt;='Alternative 1'!$B$12),F66+1,"x")</f>
        <v>x</v>
      </c>
      <c r="G67" s="129">
        <f>IF(E67&lt;='Alternative 1'!$B$12,G66+1,0)</f>
        <v>0</v>
      </c>
      <c r="H67" s="39">
        <f t="shared" si="1"/>
        <v>2.1360000000000001</v>
      </c>
      <c r="I67" s="38" t="e">
        <f t="shared" si="2"/>
        <v>#VALUE!</v>
      </c>
      <c r="J67" s="38" t="e">
        <f t="shared" si="3"/>
        <v>#VALUE!</v>
      </c>
      <c r="K67" s="9" t="e">
        <f t="shared" si="4"/>
        <v>#VALUE!</v>
      </c>
      <c r="L67" s="7" t="e">
        <f t="shared" si="5"/>
        <v>#VALUE!</v>
      </c>
      <c r="M67" s="7" t="e">
        <f t="shared" si="6"/>
        <v>#VALUE!</v>
      </c>
      <c r="N67" s="7" t="e">
        <f t="shared" si="7"/>
        <v>#VALUE!</v>
      </c>
      <c r="O67" s="7" t="e">
        <f t="shared" si="8"/>
        <v>#VALUE!</v>
      </c>
      <c r="P67" s="7" t="e">
        <f t="shared" si="9"/>
        <v>#VALUE!</v>
      </c>
      <c r="Q67" s="233"/>
    </row>
    <row r="68" spans="1:17" x14ac:dyDescent="0.25">
      <c r="A68" s="10"/>
      <c r="B68" s="10"/>
      <c r="C68" s="10"/>
      <c r="D68" s="233"/>
      <c r="E68" s="41">
        <f t="shared" si="0"/>
        <v>65</v>
      </c>
      <c r="F68" s="7" t="str">
        <f>IF((E68&lt;='Alternative 1'!$B$12),F67+1,"x")</f>
        <v>x</v>
      </c>
      <c r="G68" s="129">
        <f>IF(E68&lt;='Alternative 1'!$B$12,G67+1,0)</f>
        <v>0</v>
      </c>
      <c r="H68" s="39">
        <f t="shared" si="1"/>
        <v>2.1360000000000001</v>
      </c>
      <c r="I68" s="38" t="e">
        <f t="shared" si="2"/>
        <v>#VALUE!</v>
      </c>
      <c r="J68" s="38" t="e">
        <f t="shared" si="3"/>
        <v>#VALUE!</v>
      </c>
      <c r="K68" s="9" t="e">
        <f t="shared" si="4"/>
        <v>#VALUE!</v>
      </c>
      <c r="L68" s="7" t="e">
        <f t="shared" si="5"/>
        <v>#VALUE!</v>
      </c>
      <c r="M68" s="7" t="e">
        <f t="shared" si="6"/>
        <v>#VALUE!</v>
      </c>
      <c r="N68" s="7" t="e">
        <f t="shared" si="7"/>
        <v>#VALUE!</v>
      </c>
      <c r="O68" s="7" t="e">
        <f t="shared" si="8"/>
        <v>#VALUE!</v>
      </c>
      <c r="P68" s="7" t="e">
        <f t="shared" si="9"/>
        <v>#VALUE!</v>
      </c>
      <c r="Q68" s="233"/>
    </row>
    <row r="69" spans="1:17" x14ac:dyDescent="0.25">
      <c r="A69" s="10"/>
      <c r="B69" s="10"/>
      <c r="C69" s="10"/>
      <c r="D69" s="233"/>
      <c r="E69" s="41">
        <f t="shared" ref="E69:E78" si="10">E68+1</f>
        <v>66</v>
      </c>
      <c r="F69" s="7" t="str">
        <f>IF((E69&lt;='Alternative 1'!$B$12),F68+1,"x")</f>
        <v>x</v>
      </c>
      <c r="G69" s="129">
        <f>IF(E69&lt;='Alternative 1'!$B$12,G68+1,0)</f>
        <v>0</v>
      </c>
      <c r="H69" s="39">
        <f t="shared" ref="H69:H93" si="11">IF(F69&gt;0,(($B$16)-((($B$16)-($B$15))/$B$12)*G69),0)</f>
        <v>2.1360000000000001</v>
      </c>
      <c r="I69" s="38" t="e">
        <f t="shared" ref="I69:I93" si="12">IF(F69&gt;0,(($B$16/2)-((($B$16/2)-($B$15/2))/$B$12)*F69),0)</f>
        <v>#VALUE!</v>
      </c>
      <c r="J69" s="38" t="e">
        <f t="shared" ref="J69:J93" si="13">IF(F69&gt;0,I69-$B$17,0)</f>
        <v>#VALUE!</v>
      </c>
      <c r="K69" s="9" t="e">
        <f t="shared" ref="K69:K93" si="14">AVERAGE(I69:J69)</f>
        <v>#VALUE!</v>
      </c>
      <c r="L69" s="7" t="e">
        <f t="shared" ref="L69:L93" si="15">3.14159*(K69^3)*($B$17)</f>
        <v>#VALUE!</v>
      </c>
      <c r="M69" s="7" t="e">
        <f t="shared" ref="M69:M93" si="16">(3.141593)*(K69^2)</f>
        <v>#VALUE!</v>
      </c>
      <c r="N69" s="7" t="e">
        <f t="shared" ref="N69:N93" si="17">SQRT(L69/M69)</f>
        <v>#VALUE!</v>
      </c>
      <c r="O69" s="7" t="e">
        <f t="shared" ref="O69:O93" si="18">($I$9*F69)/N69</f>
        <v>#VALUE!</v>
      </c>
      <c r="P69" s="7" t="e">
        <f t="shared" ref="P69:P93" si="19">($I$9*F69)/K69</f>
        <v>#VALUE!</v>
      </c>
      <c r="Q69" s="233"/>
    </row>
    <row r="70" spans="1:17" x14ac:dyDescent="0.25">
      <c r="A70" s="10"/>
      <c r="B70" s="10"/>
      <c r="C70" s="10"/>
      <c r="D70" s="233"/>
      <c r="E70" s="41">
        <f t="shared" si="10"/>
        <v>67</v>
      </c>
      <c r="F70" s="7" t="str">
        <f>IF((E70&lt;='Alternative 1'!$B$12),F69+1,"x")</f>
        <v>x</v>
      </c>
      <c r="G70" s="129">
        <f>IF(E70&lt;='Alternative 1'!$B$12,G69+1,0)</f>
        <v>0</v>
      </c>
      <c r="H70" s="39">
        <f t="shared" si="11"/>
        <v>2.1360000000000001</v>
      </c>
      <c r="I70" s="38" t="e">
        <f t="shared" si="12"/>
        <v>#VALUE!</v>
      </c>
      <c r="J70" s="38" t="e">
        <f t="shared" si="13"/>
        <v>#VALUE!</v>
      </c>
      <c r="K70" s="9" t="e">
        <f t="shared" si="14"/>
        <v>#VALUE!</v>
      </c>
      <c r="L70" s="7" t="e">
        <f t="shared" si="15"/>
        <v>#VALUE!</v>
      </c>
      <c r="M70" s="7" t="e">
        <f t="shared" si="16"/>
        <v>#VALUE!</v>
      </c>
      <c r="N70" s="7" t="e">
        <f t="shared" si="17"/>
        <v>#VALUE!</v>
      </c>
      <c r="O70" s="7" t="e">
        <f t="shared" si="18"/>
        <v>#VALUE!</v>
      </c>
      <c r="P70" s="7" t="e">
        <f t="shared" si="19"/>
        <v>#VALUE!</v>
      </c>
      <c r="Q70" s="233"/>
    </row>
    <row r="71" spans="1:17" x14ac:dyDescent="0.25">
      <c r="A71" s="10"/>
      <c r="B71" s="10"/>
      <c r="C71" s="10"/>
      <c r="D71" s="233"/>
      <c r="E71" s="41">
        <f t="shared" si="10"/>
        <v>68</v>
      </c>
      <c r="F71" s="7" t="str">
        <f>IF((E71&lt;='Alternative 1'!$B$12),F70+1,"x")</f>
        <v>x</v>
      </c>
      <c r="G71" s="129">
        <f>IF(E71&lt;='Alternative 1'!$B$12,G70+1,0)</f>
        <v>0</v>
      </c>
      <c r="H71" s="39">
        <f t="shared" si="11"/>
        <v>2.1360000000000001</v>
      </c>
      <c r="I71" s="38" t="e">
        <f t="shared" si="12"/>
        <v>#VALUE!</v>
      </c>
      <c r="J71" s="38" t="e">
        <f t="shared" si="13"/>
        <v>#VALUE!</v>
      </c>
      <c r="K71" s="9" t="e">
        <f t="shared" si="14"/>
        <v>#VALUE!</v>
      </c>
      <c r="L71" s="7" t="e">
        <f t="shared" si="15"/>
        <v>#VALUE!</v>
      </c>
      <c r="M71" s="7" t="e">
        <f t="shared" si="16"/>
        <v>#VALUE!</v>
      </c>
      <c r="N71" s="7" t="e">
        <f t="shared" si="17"/>
        <v>#VALUE!</v>
      </c>
      <c r="O71" s="7" t="e">
        <f t="shared" si="18"/>
        <v>#VALUE!</v>
      </c>
      <c r="P71" s="7" t="e">
        <f t="shared" si="19"/>
        <v>#VALUE!</v>
      </c>
      <c r="Q71" s="233"/>
    </row>
    <row r="72" spans="1:17" x14ac:dyDescent="0.25">
      <c r="A72" s="10"/>
      <c r="B72" s="10"/>
      <c r="C72" s="10"/>
      <c r="D72" s="233"/>
      <c r="E72" s="41">
        <f t="shared" si="10"/>
        <v>69</v>
      </c>
      <c r="F72" s="7" t="str">
        <f>IF((E72&lt;='Alternative 1'!$B$12),F71+1,"x")</f>
        <v>x</v>
      </c>
      <c r="G72" s="129">
        <f>IF(E72&lt;='Alternative 1'!$B$12,G71+1,0)</f>
        <v>0</v>
      </c>
      <c r="H72" s="39">
        <f t="shared" si="11"/>
        <v>2.1360000000000001</v>
      </c>
      <c r="I72" s="38" t="e">
        <f t="shared" si="12"/>
        <v>#VALUE!</v>
      </c>
      <c r="J72" s="38" t="e">
        <f t="shared" si="13"/>
        <v>#VALUE!</v>
      </c>
      <c r="K72" s="9" t="e">
        <f t="shared" si="14"/>
        <v>#VALUE!</v>
      </c>
      <c r="L72" s="7" t="e">
        <f t="shared" si="15"/>
        <v>#VALUE!</v>
      </c>
      <c r="M72" s="7" t="e">
        <f t="shared" si="16"/>
        <v>#VALUE!</v>
      </c>
      <c r="N72" s="7" t="e">
        <f t="shared" si="17"/>
        <v>#VALUE!</v>
      </c>
      <c r="O72" s="7" t="e">
        <f t="shared" si="18"/>
        <v>#VALUE!</v>
      </c>
      <c r="P72" s="7" t="e">
        <f t="shared" si="19"/>
        <v>#VALUE!</v>
      </c>
      <c r="Q72" s="233"/>
    </row>
    <row r="73" spans="1:17" x14ac:dyDescent="0.25">
      <c r="A73" s="10"/>
      <c r="B73" s="10"/>
      <c r="C73" s="10"/>
      <c r="D73" s="233"/>
      <c r="E73" s="41">
        <f t="shared" si="10"/>
        <v>70</v>
      </c>
      <c r="F73" s="7" t="str">
        <f>IF((E73&lt;='Alternative 1'!$B$12),F72+1,"x")</f>
        <v>x</v>
      </c>
      <c r="G73" s="129">
        <f>IF(E73&lt;='Alternative 1'!$B$12,G72+1,0)</f>
        <v>0</v>
      </c>
      <c r="H73" s="39">
        <f t="shared" si="11"/>
        <v>2.1360000000000001</v>
      </c>
      <c r="I73" s="38" t="e">
        <f t="shared" si="12"/>
        <v>#VALUE!</v>
      </c>
      <c r="J73" s="38" t="e">
        <f t="shared" si="13"/>
        <v>#VALUE!</v>
      </c>
      <c r="K73" s="9" t="e">
        <f t="shared" si="14"/>
        <v>#VALUE!</v>
      </c>
      <c r="L73" s="7" t="e">
        <f t="shared" si="15"/>
        <v>#VALUE!</v>
      </c>
      <c r="M73" s="7" t="e">
        <f t="shared" si="16"/>
        <v>#VALUE!</v>
      </c>
      <c r="N73" s="7" t="e">
        <f t="shared" si="17"/>
        <v>#VALUE!</v>
      </c>
      <c r="O73" s="7" t="e">
        <f t="shared" si="18"/>
        <v>#VALUE!</v>
      </c>
      <c r="P73" s="7" t="e">
        <f t="shared" si="19"/>
        <v>#VALUE!</v>
      </c>
      <c r="Q73" s="233"/>
    </row>
    <row r="74" spans="1:17" x14ac:dyDescent="0.25">
      <c r="A74" s="10"/>
      <c r="B74" s="10"/>
      <c r="C74" s="10"/>
      <c r="D74" s="233"/>
      <c r="E74" s="41">
        <f t="shared" si="10"/>
        <v>71</v>
      </c>
      <c r="F74" s="7" t="str">
        <f>IF((E74&lt;='Alternative 1'!$B$12),F73+1,"x")</f>
        <v>x</v>
      </c>
      <c r="G74" s="129">
        <f>IF(E74&lt;='Alternative 1'!$B$12,G73+1,0)</f>
        <v>0</v>
      </c>
      <c r="H74" s="39">
        <f t="shared" si="11"/>
        <v>2.1360000000000001</v>
      </c>
      <c r="I74" s="38" t="e">
        <f t="shared" si="12"/>
        <v>#VALUE!</v>
      </c>
      <c r="J74" s="38" t="e">
        <f t="shared" si="13"/>
        <v>#VALUE!</v>
      </c>
      <c r="K74" s="9" t="e">
        <f t="shared" si="14"/>
        <v>#VALUE!</v>
      </c>
      <c r="L74" s="7" t="e">
        <f t="shared" si="15"/>
        <v>#VALUE!</v>
      </c>
      <c r="M74" s="7" t="e">
        <f t="shared" si="16"/>
        <v>#VALUE!</v>
      </c>
      <c r="N74" s="7" t="e">
        <f t="shared" si="17"/>
        <v>#VALUE!</v>
      </c>
      <c r="O74" s="7" t="e">
        <f t="shared" si="18"/>
        <v>#VALUE!</v>
      </c>
      <c r="P74" s="7" t="e">
        <f t="shared" si="19"/>
        <v>#VALUE!</v>
      </c>
      <c r="Q74" s="233"/>
    </row>
    <row r="75" spans="1:17" x14ac:dyDescent="0.25">
      <c r="A75" s="10"/>
      <c r="B75" s="10"/>
      <c r="C75" s="10"/>
      <c r="E75" s="41">
        <f t="shared" si="10"/>
        <v>72</v>
      </c>
      <c r="F75" s="7" t="str">
        <f>IF((E75&lt;='Alternative 1'!$B$12),F74+1,"x")</f>
        <v>x</v>
      </c>
      <c r="G75" s="129">
        <f>IF(E75&lt;='Alternative 1'!$B$12,G74+1,0)</f>
        <v>0</v>
      </c>
      <c r="H75" s="39">
        <f t="shared" si="11"/>
        <v>2.1360000000000001</v>
      </c>
      <c r="I75" s="38" t="e">
        <f t="shared" si="12"/>
        <v>#VALUE!</v>
      </c>
      <c r="J75" s="38" t="e">
        <f t="shared" si="13"/>
        <v>#VALUE!</v>
      </c>
      <c r="K75" s="9" t="e">
        <f t="shared" si="14"/>
        <v>#VALUE!</v>
      </c>
      <c r="L75" s="7" t="e">
        <f t="shared" si="15"/>
        <v>#VALUE!</v>
      </c>
      <c r="M75" s="7" t="e">
        <f t="shared" si="16"/>
        <v>#VALUE!</v>
      </c>
      <c r="N75" s="7" t="e">
        <f t="shared" si="17"/>
        <v>#VALUE!</v>
      </c>
      <c r="O75" s="7" t="e">
        <f t="shared" si="18"/>
        <v>#VALUE!</v>
      </c>
      <c r="P75" s="7" t="e">
        <f t="shared" si="19"/>
        <v>#VALUE!</v>
      </c>
    </row>
    <row r="76" spans="1:17" x14ac:dyDescent="0.25">
      <c r="A76" s="10"/>
      <c r="B76" s="10"/>
      <c r="C76" s="10"/>
      <c r="E76" s="41">
        <f t="shared" si="10"/>
        <v>73</v>
      </c>
      <c r="F76" s="7" t="str">
        <f>IF((E76&lt;='Alternative 1'!$B$12),F75+1,"x")</f>
        <v>x</v>
      </c>
      <c r="G76" s="129">
        <f>IF(E76&lt;='Alternative 1'!$B$12,G75+1,0)</f>
        <v>0</v>
      </c>
      <c r="H76" s="39">
        <f t="shared" si="11"/>
        <v>2.1360000000000001</v>
      </c>
      <c r="I76" s="38" t="e">
        <f t="shared" si="12"/>
        <v>#VALUE!</v>
      </c>
      <c r="J76" s="38" t="e">
        <f t="shared" si="13"/>
        <v>#VALUE!</v>
      </c>
      <c r="K76" s="9" t="e">
        <f t="shared" si="14"/>
        <v>#VALUE!</v>
      </c>
      <c r="L76" s="7" t="e">
        <f t="shared" si="15"/>
        <v>#VALUE!</v>
      </c>
      <c r="M76" s="7" t="e">
        <f t="shared" si="16"/>
        <v>#VALUE!</v>
      </c>
      <c r="N76" s="7" t="e">
        <f t="shared" si="17"/>
        <v>#VALUE!</v>
      </c>
      <c r="O76" s="7" t="e">
        <f t="shared" si="18"/>
        <v>#VALUE!</v>
      </c>
      <c r="P76" s="7" t="e">
        <f t="shared" si="19"/>
        <v>#VALUE!</v>
      </c>
    </row>
    <row r="77" spans="1:17" x14ac:dyDescent="0.25">
      <c r="A77" s="10"/>
      <c r="B77" s="10"/>
      <c r="C77" s="10"/>
      <c r="E77" s="41">
        <f t="shared" si="10"/>
        <v>74</v>
      </c>
      <c r="F77" s="7" t="str">
        <f>IF((E77&lt;='Alternative 1'!$B$12),F76+1,"x")</f>
        <v>x</v>
      </c>
      <c r="G77" s="129">
        <f>IF(E77&lt;='Alternative 1'!$B$12,G76+1,0)</f>
        <v>0</v>
      </c>
      <c r="H77" s="39">
        <f t="shared" si="11"/>
        <v>2.1360000000000001</v>
      </c>
      <c r="I77" s="38" t="e">
        <f t="shared" si="12"/>
        <v>#VALUE!</v>
      </c>
      <c r="J77" s="38" t="e">
        <f t="shared" si="13"/>
        <v>#VALUE!</v>
      </c>
      <c r="K77" s="9" t="e">
        <f t="shared" si="14"/>
        <v>#VALUE!</v>
      </c>
      <c r="L77" s="7" t="e">
        <f t="shared" si="15"/>
        <v>#VALUE!</v>
      </c>
      <c r="M77" s="7" t="e">
        <f t="shared" si="16"/>
        <v>#VALUE!</v>
      </c>
      <c r="N77" s="7" t="e">
        <f t="shared" si="17"/>
        <v>#VALUE!</v>
      </c>
      <c r="O77" s="7" t="e">
        <f t="shared" si="18"/>
        <v>#VALUE!</v>
      </c>
      <c r="P77" s="7" t="e">
        <f t="shared" si="19"/>
        <v>#VALUE!</v>
      </c>
    </row>
    <row r="78" spans="1:17" x14ac:dyDescent="0.25">
      <c r="A78" s="10"/>
      <c r="B78" s="10"/>
      <c r="C78" s="10"/>
      <c r="E78" s="41">
        <f t="shared" si="10"/>
        <v>75</v>
      </c>
      <c r="F78" s="7" t="str">
        <f>IF((E78&lt;='Alternative 1'!$B$12),F77+1,"x")</f>
        <v>x</v>
      </c>
      <c r="G78" s="129">
        <f>IF(E78&lt;='Alternative 1'!$B$12,G77+1,0)</f>
        <v>0</v>
      </c>
      <c r="H78" s="39">
        <f t="shared" si="11"/>
        <v>2.1360000000000001</v>
      </c>
      <c r="I78" s="38" t="e">
        <f t="shared" si="12"/>
        <v>#VALUE!</v>
      </c>
      <c r="J78" s="38" t="e">
        <f t="shared" si="13"/>
        <v>#VALUE!</v>
      </c>
      <c r="K78" s="9" t="e">
        <f t="shared" si="14"/>
        <v>#VALUE!</v>
      </c>
      <c r="L78" s="7" t="e">
        <f t="shared" si="15"/>
        <v>#VALUE!</v>
      </c>
      <c r="M78" s="7" t="e">
        <f t="shared" si="16"/>
        <v>#VALUE!</v>
      </c>
      <c r="N78" s="7" t="e">
        <f t="shared" si="17"/>
        <v>#VALUE!</v>
      </c>
      <c r="O78" s="7" t="e">
        <f t="shared" si="18"/>
        <v>#VALUE!</v>
      </c>
      <c r="P78" s="7" t="e">
        <f t="shared" si="19"/>
        <v>#VALUE!</v>
      </c>
    </row>
    <row r="79" spans="1:17" x14ac:dyDescent="0.25">
      <c r="A79" s="10"/>
      <c r="B79" s="10"/>
      <c r="C79" s="10"/>
      <c r="E79" s="41">
        <f>E78+1</f>
        <v>76</v>
      </c>
      <c r="F79" s="7" t="str">
        <f>IF((E79&lt;='Alternative 1'!$B$12),F78+1,"x")</f>
        <v>x</v>
      </c>
      <c r="G79" s="129">
        <f>IF(E79&lt;='Alternative 1'!$B$12,G78+1,0)</f>
        <v>0</v>
      </c>
      <c r="H79" s="39">
        <f t="shared" si="11"/>
        <v>2.1360000000000001</v>
      </c>
      <c r="I79" s="38" t="e">
        <f t="shared" si="12"/>
        <v>#VALUE!</v>
      </c>
      <c r="J79" s="38" t="e">
        <f t="shared" si="13"/>
        <v>#VALUE!</v>
      </c>
      <c r="K79" s="9" t="e">
        <f t="shared" si="14"/>
        <v>#VALUE!</v>
      </c>
      <c r="L79" s="7" t="e">
        <f t="shared" si="15"/>
        <v>#VALUE!</v>
      </c>
      <c r="M79" s="7" t="e">
        <f t="shared" si="16"/>
        <v>#VALUE!</v>
      </c>
      <c r="N79" s="7" t="e">
        <f t="shared" si="17"/>
        <v>#VALUE!</v>
      </c>
      <c r="O79" s="7" t="e">
        <f t="shared" si="18"/>
        <v>#VALUE!</v>
      </c>
      <c r="P79" s="7" t="e">
        <f t="shared" si="19"/>
        <v>#VALUE!</v>
      </c>
    </row>
    <row r="80" spans="1:17" x14ac:dyDescent="0.25">
      <c r="E80" s="41">
        <f t="shared" ref="E80:E92" si="20">E79+1</f>
        <v>77</v>
      </c>
      <c r="F80" s="7" t="str">
        <f>IF((E80&lt;='Alternative 1'!$B$12),F79+1,"x")</f>
        <v>x</v>
      </c>
      <c r="G80" s="129">
        <f>IF(E80&lt;='Alternative 1'!$B$12,G79+1,0)</f>
        <v>0</v>
      </c>
      <c r="H80" s="39">
        <f t="shared" si="11"/>
        <v>2.1360000000000001</v>
      </c>
      <c r="I80" s="38" t="e">
        <f t="shared" si="12"/>
        <v>#VALUE!</v>
      </c>
      <c r="J80" s="38" t="e">
        <f t="shared" si="13"/>
        <v>#VALUE!</v>
      </c>
      <c r="K80" s="9" t="e">
        <f t="shared" si="14"/>
        <v>#VALUE!</v>
      </c>
      <c r="L80" s="7" t="e">
        <f t="shared" si="15"/>
        <v>#VALUE!</v>
      </c>
      <c r="M80" s="7" t="e">
        <f t="shared" si="16"/>
        <v>#VALUE!</v>
      </c>
      <c r="N80" s="7" t="e">
        <f t="shared" si="17"/>
        <v>#VALUE!</v>
      </c>
      <c r="O80" s="7" t="e">
        <f t="shared" si="18"/>
        <v>#VALUE!</v>
      </c>
      <c r="P80" s="7" t="e">
        <f t="shared" si="19"/>
        <v>#VALUE!</v>
      </c>
    </row>
    <row r="81" spans="5:16" x14ac:dyDescent="0.25">
      <c r="E81" s="41">
        <f t="shared" si="20"/>
        <v>78</v>
      </c>
      <c r="F81" s="7" t="str">
        <f>IF((E81&lt;='Alternative 1'!$B$12),F80+1,"x")</f>
        <v>x</v>
      </c>
      <c r="G81" s="129">
        <f>IF(E81&lt;='Alternative 1'!$B$12,G80+1,0)</f>
        <v>0</v>
      </c>
      <c r="H81" s="39">
        <f t="shared" si="11"/>
        <v>2.1360000000000001</v>
      </c>
      <c r="I81" s="38" t="e">
        <f t="shared" si="12"/>
        <v>#VALUE!</v>
      </c>
      <c r="J81" s="38" t="e">
        <f t="shared" si="13"/>
        <v>#VALUE!</v>
      </c>
      <c r="K81" s="9" t="e">
        <f t="shared" si="14"/>
        <v>#VALUE!</v>
      </c>
      <c r="L81" s="7" t="e">
        <f t="shared" si="15"/>
        <v>#VALUE!</v>
      </c>
      <c r="M81" s="7" t="e">
        <f t="shared" si="16"/>
        <v>#VALUE!</v>
      </c>
      <c r="N81" s="7" t="e">
        <f t="shared" si="17"/>
        <v>#VALUE!</v>
      </c>
      <c r="O81" s="7" t="e">
        <f t="shared" si="18"/>
        <v>#VALUE!</v>
      </c>
      <c r="P81" s="7" t="e">
        <f t="shared" si="19"/>
        <v>#VALUE!</v>
      </c>
    </row>
    <row r="82" spans="5:16" x14ac:dyDescent="0.25">
      <c r="E82" s="41">
        <f t="shared" si="20"/>
        <v>79</v>
      </c>
      <c r="F82" s="7" t="str">
        <f>IF((E82&lt;='Alternative 1'!$B$12),F81+1,"x")</f>
        <v>x</v>
      </c>
      <c r="G82" s="129">
        <f>IF(E82&lt;='Alternative 1'!$B$12,G81+1,0)</f>
        <v>0</v>
      </c>
      <c r="H82" s="39">
        <f t="shared" si="11"/>
        <v>2.1360000000000001</v>
      </c>
      <c r="I82" s="38" t="e">
        <f t="shared" si="12"/>
        <v>#VALUE!</v>
      </c>
      <c r="J82" s="38" t="e">
        <f t="shared" si="13"/>
        <v>#VALUE!</v>
      </c>
      <c r="K82" s="9" t="e">
        <f t="shared" si="14"/>
        <v>#VALUE!</v>
      </c>
      <c r="L82" s="7" t="e">
        <f t="shared" si="15"/>
        <v>#VALUE!</v>
      </c>
      <c r="M82" s="7" t="e">
        <f t="shared" si="16"/>
        <v>#VALUE!</v>
      </c>
      <c r="N82" s="7" t="e">
        <f t="shared" si="17"/>
        <v>#VALUE!</v>
      </c>
      <c r="O82" s="7" t="e">
        <f t="shared" si="18"/>
        <v>#VALUE!</v>
      </c>
      <c r="P82" s="7" t="e">
        <f t="shared" si="19"/>
        <v>#VALUE!</v>
      </c>
    </row>
    <row r="83" spans="5:16" x14ac:dyDescent="0.25">
      <c r="E83" s="41">
        <f t="shared" si="20"/>
        <v>80</v>
      </c>
      <c r="F83" s="7" t="str">
        <f>IF((E83&lt;='Alternative 1'!$B$12),F82+1,"x")</f>
        <v>x</v>
      </c>
      <c r="G83" s="129">
        <f>IF(E83&lt;='Alternative 1'!$B$12,G82+1,0)</f>
        <v>0</v>
      </c>
      <c r="H83" s="39">
        <f t="shared" si="11"/>
        <v>2.1360000000000001</v>
      </c>
      <c r="I83" s="38" t="e">
        <f t="shared" si="12"/>
        <v>#VALUE!</v>
      </c>
      <c r="J83" s="38" t="e">
        <f t="shared" si="13"/>
        <v>#VALUE!</v>
      </c>
      <c r="K83" s="9" t="e">
        <f t="shared" si="14"/>
        <v>#VALUE!</v>
      </c>
      <c r="L83" s="7" t="e">
        <f t="shared" si="15"/>
        <v>#VALUE!</v>
      </c>
      <c r="M83" s="7" t="e">
        <f t="shared" si="16"/>
        <v>#VALUE!</v>
      </c>
      <c r="N83" s="7" t="e">
        <f t="shared" si="17"/>
        <v>#VALUE!</v>
      </c>
      <c r="O83" s="7" t="e">
        <f t="shared" si="18"/>
        <v>#VALUE!</v>
      </c>
      <c r="P83" s="7" t="e">
        <f t="shared" si="19"/>
        <v>#VALUE!</v>
      </c>
    </row>
    <row r="84" spans="5:16" x14ac:dyDescent="0.25">
      <c r="E84" s="41">
        <f t="shared" si="20"/>
        <v>81</v>
      </c>
      <c r="F84" s="7" t="str">
        <f>IF((E84&lt;='Alternative 1'!$B$12),F83+1,"x")</f>
        <v>x</v>
      </c>
      <c r="G84" s="129">
        <f>IF(E84&lt;='Alternative 1'!$B$12,G83+1,0)</f>
        <v>0</v>
      </c>
      <c r="H84" s="39">
        <f t="shared" si="11"/>
        <v>2.1360000000000001</v>
      </c>
      <c r="I84" s="38" t="e">
        <f t="shared" si="12"/>
        <v>#VALUE!</v>
      </c>
      <c r="J84" s="38" t="e">
        <f t="shared" si="13"/>
        <v>#VALUE!</v>
      </c>
      <c r="K84" s="9" t="e">
        <f t="shared" si="14"/>
        <v>#VALUE!</v>
      </c>
      <c r="L84" s="7" t="e">
        <f t="shared" si="15"/>
        <v>#VALUE!</v>
      </c>
      <c r="M84" s="7" t="e">
        <f t="shared" si="16"/>
        <v>#VALUE!</v>
      </c>
      <c r="N84" s="7" t="e">
        <f t="shared" si="17"/>
        <v>#VALUE!</v>
      </c>
      <c r="O84" s="7" t="e">
        <f t="shared" si="18"/>
        <v>#VALUE!</v>
      </c>
      <c r="P84" s="7" t="e">
        <f t="shared" si="19"/>
        <v>#VALUE!</v>
      </c>
    </row>
    <row r="85" spans="5:16" x14ac:dyDescent="0.25">
      <c r="E85" s="41">
        <f t="shared" si="20"/>
        <v>82</v>
      </c>
      <c r="F85" s="7" t="str">
        <f>IF((E85&lt;='Alternative 1'!$B$12),F84+1,"x")</f>
        <v>x</v>
      </c>
      <c r="G85" s="129">
        <f>IF(E85&lt;='Alternative 1'!$B$12,G84+1,0)</f>
        <v>0</v>
      </c>
      <c r="H85" s="39">
        <f t="shared" si="11"/>
        <v>2.1360000000000001</v>
      </c>
      <c r="I85" s="38" t="e">
        <f t="shared" si="12"/>
        <v>#VALUE!</v>
      </c>
      <c r="J85" s="38" t="e">
        <f t="shared" si="13"/>
        <v>#VALUE!</v>
      </c>
      <c r="K85" s="9" t="e">
        <f t="shared" si="14"/>
        <v>#VALUE!</v>
      </c>
      <c r="L85" s="7" t="e">
        <f t="shared" si="15"/>
        <v>#VALUE!</v>
      </c>
      <c r="M85" s="7" t="e">
        <f t="shared" si="16"/>
        <v>#VALUE!</v>
      </c>
      <c r="N85" s="7" t="e">
        <f t="shared" si="17"/>
        <v>#VALUE!</v>
      </c>
      <c r="O85" s="7" t="e">
        <f t="shared" si="18"/>
        <v>#VALUE!</v>
      </c>
      <c r="P85" s="7" t="e">
        <f t="shared" si="19"/>
        <v>#VALUE!</v>
      </c>
    </row>
    <row r="86" spans="5:16" x14ac:dyDescent="0.25">
      <c r="E86" s="41">
        <f t="shared" si="20"/>
        <v>83</v>
      </c>
      <c r="F86" s="7" t="str">
        <f>IF((E86&lt;='Alternative 1'!$B$12),F85+1,"x")</f>
        <v>x</v>
      </c>
      <c r="G86" s="129">
        <f>IF(E86&lt;='Alternative 1'!$B$12,G85+1,0)</f>
        <v>0</v>
      </c>
      <c r="H86" s="39">
        <f t="shared" si="11"/>
        <v>2.1360000000000001</v>
      </c>
      <c r="I86" s="38" t="e">
        <f t="shared" si="12"/>
        <v>#VALUE!</v>
      </c>
      <c r="J86" s="38" t="e">
        <f t="shared" si="13"/>
        <v>#VALUE!</v>
      </c>
      <c r="K86" s="9" t="e">
        <f t="shared" si="14"/>
        <v>#VALUE!</v>
      </c>
      <c r="L86" s="7" t="e">
        <f t="shared" si="15"/>
        <v>#VALUE!</v>
      </c>
      <c r="M86" s="7" t="e">
        <f t="shared" si="16"/>
        <v>#VALUE!</v>
      </c>
      <c r="N86" s="7" t="e">
        <f t="shared" si="17"/>
        <v>#VALUE!</v>
      </c>
      <c r="O86" s="7" t="e">
        <f t="shared" si="18"/>
        <v>#VALUE!</v>
      </c>
      <c r="P86" s="7" t="e">
        <f t="shared" si="19"/>
        <v>#VALUE!</v>
      </c>
    </row>
    <row r="87" spans="5:16" x14ac:dyDescent="0.25">
      <c r="E87" s="41">
        <f t="shared" si="20"/>
        <v>84</v>
      </c>
      <c r="F87" s="7" t="str">
        <f>IF((E87&lt;='Alternative 1'!$B$12),F86+1,"x")</f>
        <v>x</v>
      </c>
      <c r="G87" s="129">
        <f>IF(E87&lt;='Alternative 1'!$B$12,G86+1,0)</f>
        <v>0</v>
      </c>
      <c r="H87" s="39">
        <f t="shared" si="11"/>
        <v>2.1360000000000001</v>
      </c>
      <c r="I87" s="38" t="e">
        <f t="shared" si="12"/>
        <v>#VALUE!</v>
      </c>
      <c r="J87" s="38" t="e">
        <f t="shared" si="13"/>
        <v>#VALUE!</v>
      </c>
      <c r="K87" s="9" t="e">
        <f t="shared" si="14"/>
        <v>#VALUE!</v>
      </c>
      <c r="L87" s="7" t="e">
        <f t="shared" si="15"/>
        <v>#VALUE!</v>
      </c>
      <c r="M87" s="7" t="e">
        <f t="shared" si="16"/>
        <v>#VALUE!</v>
      </c>
      <c r="N87" s="7" t="e">
        <f t="shared" si="17"/>
        <v>#VALUE!</v>
      </c>
      <c r="O87" s="7" t="e">
        <f t="shared" si="18"/>
        <v>#VALUE!</v>
      </c>
      <c r="P87" s="7" t="e">
        <f t="shared" si="19"/>
        <v>#VALUE!</v>
      </c>
    </row>
    <row r="88" spans="5:16" x14ac:dyDescent="0.25">
      <c r="E88" s="41">
        <f t="shared" si="20"/>
        <v>85</v>
      </c>
      <c r="F88" s="7" t="str">
        <f>IF((E88&lt;='Alternative 1'!$B$12),F87+1,"x")</f>
        <v>x</v>
      </c>
      <c r="G88" s="129">
        <f>IF(E88&lt;='Alternative 1'!$B$12,G87+1,0)</f>
        <v>0</v>
      </c>
      <c r="H88" s="39">
        <f t="shared" si="11"/>
        <v>2.1360000000000001</v>
      </c>
      <c r="I88" s="38" t="e">
        <f t="shared" si="12"/>
        <v>#VALUE!</v>
      </c>
      <c r="J88" s="38" t="e">
        <f t="shared" si="13"/>
        <v>#VALUE!</v>
      </c>
      <c r="K88" s="9" t="e">
        <f t="shared" si="14"/>
        <v>#VALUE!</v>
      </c>
      <c r="L88" s="7" t="e">
        <f t="shared" si="15"/>
        <v>#VALUE!</v>
      </c>
      <c r="M88" s="7" t="e">
        <f t="shared" si="16"/>
        <v>#VALUE!</v>
      </c>
      <c r="N88" s="7" t="e">
        <f t="shared" si="17"/>
        <v>#VALUE!</v>
      </c>
      <c r="O88" s="7" t="e">
        <f t="shared" si="18"/>
        <v>#VALUE!</v>
      </c>
      <c r="P88" s="7" t="e">
        <f t="shared" si="19"/>
        <v>#VALUE!</v>
      </c>
    </row>
    <row r="89" spans="5:16" x14ac:dyDescent="0.25">
      <c r="E89" s="41">
        <f t="shared" si="20"/>
        <v>86</v>
      </c>
      <c r="F89" s="7" t="str">
        <f>IF((E89&lt;='Alternative 1'!$B$12),F88+1,"x")</f>
        <v>x</v>
      </c>
      <c r="G89" s="129">
        <f>IF(E89&lt;='Alternative 1'!$B$12,G88+1,0)</f>
        <v>0</v>
      </c>
      <c r="H89" s="39">
        <f t="shared" si="11"/>
        <v>2.1360000000000001</v>
      </c>
      <c r="I89" s="38" t="e">
        <f t="shared" si="12"/>
        <v>#VALUE!</v>
      </c>
      <c r="J89" s="38" t="e">
        <f t="shared" si="13"/>
        <v>#VALUE!</v>
      </c>
      <c r="K89" s="9" t="e">
        <f t="shared" si="14"/>
        <v>#VALUE!</v>
      </c>
      <c r="L89" s="7" t="e">
        <f t="shared" si="15"/>
        <v>#VALUE!</v>
      </c>
      <c r="M89" s="7" t="e">
        <f t="shared" si="16"/>
        <v>#VALUE!</v>
      </c>
      <c r="N89" s="7" t="e">
        <f t="shared" si="17"/>
        <v>#VALUE!</v>
      </c>
      <c r="O89" s="7" t="e">
        <f t="shared" si="18"/>
        <v>#VALUE!</v>
      </c>
      <c r="P89" s="7" t="e">
        <f t="shared" si="19"/>
        <v>#VALUE!</v>
      </c>
    </row>
    <row r="90" spans="5:16" x14ac:dyDescent="0.25">
      <c r="E90" s="41">
        <f t="shared" si="20"/>
        <v>87</v>
      </c>
      <c r="F90" s="7" t="str">
        <f>IF((E90&lt;='Alternative 1'!$B$12),F89+1,"x")</f>
        <v>x</v>
      </c>
      <c r="G90" s="129">
        <f>IF(E90&lt;='Alternative 1'!$B$12,G89+1,0)</f>
        <v>0</v>
      </c>
      <c r="H90" s="39">
        <f t="shared" si="11"/>
        <v>2.1360000000000001</v>
      </c>
      <c r="I90" s="38" t="e">
        <f t="shared" si="12"/>
        <v>#VALUE!</v>
      </c>
      <c r="J90" s="38" t="e">
        <f t="shared" si="13"/>
        <v>#VALUE!</v>
      </c>
      <c r="K90" s="9" t="e">
        <f t="shared" si="14"/>
        <v>#VALUE!</v>
      </c>
      <c r="L90" s="7" t="e">
        <f t="shared" si="15"/>
        <v>#VALUE!</v>
      </c>
      <c r="M90" s="7" t="e">
        <f t="shared" si="16"/>
        <v>#VALUE!</v>
      </c>
      <c r="N90" s="7" t="e">
        <f t="shared" si="17"/>
        <v>#VALUE!</v>
      </c>
      <c r="O90" s="7" t="e">
        <f t="shared" si="18"/>
        <v>#VALUE!</v>
      </c>
      <c r="P90" s="7" t="e">
        <f t="shared" si="19"/>
        <v>#VALUE!</v>
      </c>
    </row>
    <row r="91" spans="5:16" x14ac:dyDescent="0.25">
      <c r="E91" s="41">
        <f t="shared" si="20"/>
        <v>88</v>
      </c>
      <c r="F91" s="7" t="str">
        <f>IF((E91&lt;='Alternative 1'!$B$12),F90+1,"x")</f>
        <v>x</v>
      </c>
      <c r="G91" s="129">
        <f>IF(E91&lt;='Alternative 1'!$B$12,G90+1,0)</f>
        <v>0</v>
      </c>
      <c r="H91" s="39">
        <f t="shared" si="11"/>
        <v>2.1360000000000001</v>
      </c>
      <c r="I91" s="38" t="e">
        <f t="shared" si="12"/>
        <v>#VALUE!</v>
      </c>
      <c r="J91" s="38" t="e">
        <f t="shared" si="13"/>
        <v>#VALUE!</v>
      </c>
      <c r="K91" s="9" t="e">
        <f t="shared" si="14"/>
        <v>#VALUE!</v>
      </c>
      <c r="L91" s="7" t="e">
        <f t="shared" si="15"/>
        <v>#VALUE!</v>
      </c>
      <c r="M91" s="7" t="e">
        <f t="shared" si="16"/>
        <v>#VALUE!</v>
      </c>
      <c r="N91" s="7" t="e">
        <f t="shared" si="17"/>
        <v>#VALUE!</v>
      </c>
      <c r="O91" s="7" t="e">
        <f t="shared" si="18"/>
        <v>#VALUE!</v>
      </c>
      <c r="P91" s="7" t="e">
        <f t="shared" si="19"/>
        <v>#VALUE!</v>
      </c>
    </row>
    <row r="92" spans="5:16" x14ac:dyDescent="0.25">
      <c r="E92" s="41">
        <f t="shared" si="20"/>
        <v>89</v>
      </c>
      <c r="F92" s="7" t="str">
        <f>IF((E92&lt;='Alternative 1'!$B$12),F91+1,"x")</f>
        <v>x</v>
      </c>
      <c r="G92" s="129">
        <f>IF(E92&lt;='Alternative 1'!$B$12,G91+1,0)</f>
        <v>0</v>
      </c>
      <c r="H92" s="39">
        <f t="shared" si="11"/>
        <v>2.1360000000000001</v>
      </c>
      <c r="I92" s="38" t="e">
        <f t="shared" si="12"/>
        <v>#VALUE!</v>
      </c>
      <c r="J92" s="38" t="e">
        <f t="shared" si="13"/>
        <v>#VALUE!</v>
      </c>
      <c r="K92" s="9" t="e">
        <f t="shared" si="14"/>
        <v>#VALUE!</v>
      </c>
      <c r="L92" s="7" t="e">
        <f t="shared" si="15"/>
        <v>#VALUE!</v>
      </c>
      <c r="M92" s="7" t="e">
        <f t="shared" si="16"/>
        <v>#VALUE!</v>
      </c>
      <c r="N92" s="7" t="e">
        <f t="shared" si="17"/>
        <v>#VALUE!</v>
      </c>
      <c r="O92" s="7" t="e">
        <f t="shared" si="18"/>
        <v>#VALUE!</v>
      </c>
      <c r="P92" s="7" t="e">
        <f t="shared" si="19"/>
        <v>#VALUE!</v>
      </c>
    </row>
    <row r="93" spans="5:16" x14ac:dyDescent="0.25">
      <c r="E93" s="41">
        <f>E92+1</f>
        <v>90</v>
      </c>
      <c r="F93" s="7" t="str">
        <f>IF((E93&lt;='Alternative 1'!$B$12),F92+1,"x")</f>
        <v>x</v>
      </c>
      <c r="G93" s="129">
        <f>IF(E93&lt;='Alternative 1'!$B$12,G92+1,0)</f>
        <v>0</v>
      </c>
      <c r="H93" s="39">
        <f t="shared" si="11"/>
        <v>2.1360000000000001</v>
      </c>
      <c r="I93" s="38" t="e">
        <f t="shared" si="12"/>
        <v>#VALUE!</v>
      </c>
      <c r="J93" s="38" t="e">
        <f t="shared" si="13"/>
        <v>#VALUE!</v>
      </c>
      <c r="K93" s="9" t="e">
        <f t="shared" si="14"/>
        <v>#VALUE!</v>
      </c>
      <c r="L93" s="7" t="e">
        <f t="shared" si="15"/>
        <v>#VALUE!</v>
      </c>
      <c r="M93" s="7" t="e">
        <f t="shared" si="16"/>
        <v>#VALUE!</v>
      </c>
      <c r="N93" s="7" t="e">
        <f t="shared" si="17"/>
        <v>#VALUE!</v>
      </c>
      <c r="O93" s="7" t="e">
        <f t="shared" si="18"/>
        <v>#VALUE!</v>
      </c>
      <c r="P93" s="7" t="e">
        <f t="shared" si="19"/>
        <v>#VALUE!</v>
      </c>
    </row>
  </sheetData>
  <customSheetViews>
    <customSheetView guid="{73608749-DAD6-470A-871E-DA0A326E9E7B}" scale="70" topLeftCell="A7">
      <selection activeCell="J22" sqref="J22"/>
      <pageMargins left="0.7" right="0.7" top="0.75" bottom="0.75" header="0.3" footer="0.3"/>
    </customSheetView>
  </customSheetViews>
  <mergeCells count="13">
    <mergeCell ref="A11:C11"/>
    <mergeCell ref="A18:C18"/>
    <mergeCell ref="D1:D74"/>
    <mergeCell ref="A24:C24"/>
    <mergeCell ref="A31:C31"/>
    <mergeCell ref="A37:C37"/>
    <mergeCell ref="A1:C1"/>
    <mergeCell ref="R1:T1"/>
    <mergeCell ref="S2:T2"/>
    <mergeCell ref="S3:T3"/>
    <mergeCell ref="S4:T4"/>
    <mergeCell ref="F1:P1"/>
    <mergeCell ref="Q1:Q74"/>
  </mergeCells>
  <conditionalFormatting sqref="F1:F1048576">
    <cfRule type="cellIs" dxfId="18" priority="17" operator="equal">
      <formula>$B$12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T93"/>
  <sheetViews>
    <sheetView zoomScale="80" zoomScaleNormal="80" workbookViewId="0">
      <selection activeCell="B19" sqref="B19"/>
    </sheetView>
  </sheetViews>
  <sheetFormatPr defaultRowHeight="15" x14ac:dyDescent="0.25"/>
  <cols>
    <col min="1" max="1" width="18.7109375" bestFit="1" customWidth="1"/>
    <col min="2" max="2" width="15.140625" bestFit="1" customWidth="1"/>
    <col min="3" max="3" width="5.42578125" bestFit="1" customWidth="1"/>
    <col min="4" max="4" width="2.7109375" customWidth="1"/>
    <col min="5" max="5" width="7" style="40" hidden="1" customWidth="1"/>
    <col min="7" max="8" width="9.140625" style="2"/>
    <col min="9" max="9" width="9.140625" style="44"/>
    <col min="12" max="12" width="13" customWidth="1"/>
    <col min="14" max="14" width="13.7109375" customWidth="1"/>
    <col min="15" max="15" width="11.42578125" customWidth="1"/>
    <col min="16" max="16" width="15.42578125" customWidth="1"/>
    <col min="17" max="17" width="2.7109375" customWidth="1"/>
    <col min="18" max="18" width="13.140625" customWidth="1"/>
    <col min="20" max="20" width="20.42578125" customWidth="1"/>
  </cols>
  <sheetData>
    <row r="1" spans="1:20" x14ac:dyDescent="0.25">
      <c r="A1" s="231" t="s">
        <v>8</v>
      </c>
      <c r="B1" s="231"/>
      <c r="C1" s="234"/>
      <c r="D1" s="233"/>
      <c r="E1" s="41"/>
      <c r="F1" s="231" t="s">
        <v>44</v>
      </c>
      <c r="G1" s="231"/>
      <c r="H1" s="231"/>
      <c r="I1" s="232"/>
      <c r="J1" s="232"/>
      <c r="K1" s="232"/>
      <c r="L1" s="232"/>
      <c r="M1" s="232"/>
      <c r="N1" s="232"/>
      <c r="O1" s="232"/>
      <c r="P1" s="232"/>
      <c r="Q1" s="233"/>
      <c r="R1" s="228" t="s">
        <v>177</v>
      </c>
      <c r="S1" s="228"/>
      <c r="T1" s="228"/>
    </row>
    <row r="2" spans="1:20" ht="45" x14ac:dyDescent="0.25">
      <c r="A2" s="18" t="s">
        <v>12</v>
      </c>
      <c r="B2" s="49">
        <v>944</v>
      </c>
      <c r="C2" s="110" t="s">
        <v>2</v>
      </c>
      <c r="D2" s="233"/>
      <c r="E2" s="41" t="s">
        <v>36</v>
      </c>
      <c r="F2" s="21" t="s">
        <v>4</v>
      </c>
      <c r="G2" s="21" t="s">
        <v>53</v>
      </c>
      <c r="H2" s="21" t="s">
        <v>56</v>
      </c>
      <c r="I2" s="42" t="s">
        <v>25</v>
      </c>
      <c r="J2" s="21" t="s">
        <v>26</v>
      </c>
      <c r="K2" s="21" t="s">
        <v>45</v>
      </c>
      <c r="L2" s="21" t="s">
        <v>5</v>
      </c>
      <c r="M2" s="21" t="s">
        <v>6</v>
      </c>
      <c r="N2" s="21" t="s">
        <v>46</v>
      </c>
      <c r="O2" s="21" t="s">
        <v>7</v>
      </c>
      <c r="P2" s="21" t="s">
        <v>24</v>
      </c>
      <c r="Q2" s="233"/>
      <c r="R2" s="117"/>
      <c r="S2" s="229" t="s">
        <v>179</v>
      </c>
      <c r="T2" s="230"/>
    </row>
    <row r="3" spans="1:20" x14ac:dyDescent="0.25">
      <c r="A3" s="18" t="s">
        <v>12</v>
      </c>
      <c r="B3" s="135">
        <f>B2*9.80665</f>
        <v>9257.4776000000002</v>
      </c>
      <c r="C3" s="110" t="s">
        <v>28</v>
      </c>
      <c r="D3" s="233"/>
      <c r="E3" s="41">
        <v>0</v>
      </c>
      <c r="F3" s="8">
        <v>0</v>
      </c>
      <c r="G3" s="28" t="s">
        <v>43</v>
      </c>
      <c r="H3" s="39">
        <f>B16</f>
        <v>2.1360000000000001</v>
      </c>
      <c r="I3" s="43">
        <f>B16/2</f>
        <v>1.0680000000000001</v>
      </c>
      <c r="J3" s="38">
        <f>I3-$B$17</f>
        <v>1.048</v>
      </c>
      <c r="K3" s="9">
        <f>AVERAGE(I3:J3)</f>
        <v>1.0580000000000001</v>
      </c>
      <c r="L3" s="7">
        <f t="shared" ref="L3:L4" si="0">3.14159*(K3^3)*($B$17)</f>
        <v>7.4410890963761606E-2</v>
      </c>
      <c r="M3" s="7">
        <f>(3.141593)*(K3^2)</f>
        <v>3.5165861068519999</v>
      </c>
      <c r="N3" s="7">
        <f>SQRT(L3/M3)</f>
        <v>0.14546470291342384</v>
      </c>
      <c r="O3" s="7">
        <f>($I$10*F3)/N3</f>
        <v>0</v>
      </c>
      <c r="P3" s="7">
        <f>($I$10*F3)/K3</f>
        <v>0</v>
      </c>
      <c r="Q3" s="233"/>
      <c r="R3" s="118"/>
      <c r="S3" s="229" t="s">
        <v>180</v>
      </c>
      <c r="T3" s="230"/>
    </row>
    <row r="4" spans="1:20" x14ac:dyDescent="0.25">
      <c r="A4" s="18" t="s">
        <v>13</v>
      </c>
      <c r="B4" s="48">
        <v>564</v>
      </c>
      <c r="C4" s="110" t="s">
        <v>2</v>
      </c>
      <c r="D4" s="233"/>
      <c r="E4" s="41">
        <f>E3+1</f>
        <v>1</v>
      </c>
      <c r="F4" s="7">
        <f>IF((E4&lt;='Alternative 2'!$B$12),F3+1,"x")</f>
        <v>1</v>
      </c>
      <c r="G4" s="1">
        <v>0.5</v>
      </c>
      <c r="H4" s="39">
        <f>IF(F4&gt;0,(($B$16)-((($B$16)-($B$15))/$B$12)*G4),0)</f>
        <v>2.1260555555555558</v>
      </c>
      <c r="I4" s="43">
        <f>IF(F4&gt;0,(($B$16/2)-((($B$16/2)-($B$15/2))/$B$12)*F4),0)</f>
        <v>1.0580555555555555</v>
      </c>
      <c r="J4" s="38">
        <f>IF(F4&gt;0,I4-$B$17,0)</f>
        <v>1.0380555555555555</v>
      </c>
      <c r="K4" s="9">
        <f>AVERAGE(I4:J4)</f>
        <v>1.0480555555555555</v>
      </c>
      <c r="L4" s="7">
        <f t="shared" si="0"/>
        <v>7.2332323308615387E-2</v>
      </c>
      <c r="M4" s="7">
        <f>(3.141593)*(K4^2)</f>
        <v>3.4507899890198299</v>
      </c>
      <c r="N4" s="7">
        <f>SQRT(L4/M4)</f>
        <v>0.14477945674275283</v>
      </c>
      <c r="O4" s="7">
        <f>($I$10*F4)/N4</f>
        <v>6.8959292385165343</v>
      </c>
      <c r="P4" s="7">
        <f>($I$10*F4)/K4</f>
        <v>0.9526106546514711</v>
      </c>
      <c r="Q4" s="233"/>
      <c r="R4" s="119"/>
      <c r="S4" s="229" t="s">
        <v>178</v>
      </c>
      <c r="T4" s="230"/>
    </row>
    <row r="5" spans="1:20" x14ac:dyDescent="0.25">
      <c r="A5" s="18" t="s">
        <v>13</v>
      </c>
      <c r="B5" s="135">
        <f>B4*9.80665</f>
        <v>5530.9506000000001</v>
      </c>
      <c r="C5" s="110" t="s">
        <v>28</v>
      </c>
      <c r="D5" s="233"/>
      <c r="E5" s="41">
        <f t="shared" ref="E5:E68" si="1">E4+1</f>
        <v>2</v>
      </c>
      <c r="F5" s="7">
        <f>IF((E5&lt;='Alternative 2'!$B$12),F4+1,"x")</f>
        <v>2</v>
      </c>
      <c r="G5" s="129">
        <f>IF(E5&lt;='Alternative 2'!$B$12,G4+1,0)</f>
        <v>1.5</v>
      </c>
      <c r="H5" s="39">
        <f t="shared" ref="H5:H68" si="2">IF(F5&gt;0,(($B$16)-((($B$16)-($B$15))/$B$12)*G5),0)</f>
        <v>2.1061666666666667</v>
      </c>
      <c r="I5" s="43">
        <f t="shared" ref="I5:I68" si="3">IF(F5&gt;0,(($B$16/2)-((($B$16/2)-($B$15/2))/$B$12)*F5),0)</f>
        <v>1.0481111111111112</v>
      </c>
      <c r="J5" s="38">
        <f t="shared" ref="J5:J68" si="4">IF(F5&gt;0,I5-$B$17,0)</f>
        <v>1.0281111111111112</v>
      </c>
      <c r="K5" s="9">
        <f t="shared" ref="K5:K68" si="5">AVERAGE(I5:J5)</f>
        <v>1.0381111111111112</v>
      </c>
      <c r="L5" s="7">
        <f t="shared" ref="L5:L68" si="6">3.14159*(K5^3)*($B$17)</f>
        <v>7.0292828595055867E-2</v>
      </c>
      <c r="M5" s="7">
        <f t="shared" ref="M5:M68" si="7">(3.141593)*(K5^2)</f>
        <v>3.3856152278624325</v>
      </c>
      <c r="N5" s="7">
        <f t="shared" ref="N5:N68" si="8">SQRT(L5/M5)</f>
        <v>0.14409095181781068</v>
      </c>
      <c r="O5" s="7">
        <f t="shared" ref="O5:O68" si="9">($I$10*F5)/N5</f>
        <v>13.857759648242965</v>
      </c>
      <c r="P5" s="7">
        <f t="shared" ref="P5:P68" si="10">($I$10*F5)/K5</f>
        <v>1.923472118163331</v>
      </c>
      <c r="Q5" s="233"/>
    </row>
    <row r="6" spans="1:20" x14ac:dyDescent="0.25">
      <c r="A6" s="18" t="s">
        <v>16</v>
      </c>
      <c r="B6" s="48">
        <v>37</v>
      </c>
      <c r="C6" s="110" t="s">
        <v>1</v>
      </c>
      <c r="D6" s="233"/>
      <c r="E6" s="41">
        <f t="shared" si="1"/>
        <v>3</v>
      </c>
      <c r="F6" s="7">
        <f>IF((E6&lt;='Alternative 2'!$B$12),F5+1,"x")</f>
        <v>3</v>
      </c>
      <c r="G6" s="129">
        <f>IF(E6&lt;='Alternative 2'!$B$12,G5+1,0)</f>
        <v>2.5</v>
      </c>
      <c r="H6" s="39">
        <f t="shared" si="2"/>
        <v>2.0862777777777777</v>
      </c>
      <c r="I6" s="43">
        <f t="shared" si="3"/>
        <v>1.0381666666666667</v>
      </c>
      <c r="J6" s="38">
        <f t="shared" si="4"/>
        <v>1.0181666666666667</v>
      </c>
      <c r="K6" s="9">
        <f t="shared" si="5"/>
        <v>1.0281666666666667</v>
      </c>
      <c r="L6" s="7">
        <f t="shared" si="6"/>
        <v>6.8292036080620955E-2</v>
      </c>
      <c r="M6" s="7">
        <f t="shared" si="7"/>
        <v>3.3210618233798055</v>
      </c>
      <c r="N6" s="7">
        <f t="shared" si="8"/>
        <v>0.14339914119965511</v>
      </c>
      <c r="O6" s="7">
        <f t="shared" si="9"/>
        <v>20.886921927213542</v>
      </c>
      <c r="P6" s="7">
        <f t="shared" si="10"/>
        <v>2.9131139568811806</v>
      </c>
      <c r="Q6" s="233"/>
    </row>
    <row r="7" spans="1:20" x14ac:dyDescent="0.25">
      <c r="A7" s="18" t="s">
        <v>17</v>
      </c>
      <c r="B7" s="48">
        <v>9.5</v>
      </c>
      <c r="C7" s="110" t="s">
        <v>20</v>
      </c>
      <c r="D7" s="233"/>
      <c r="E7" s="41">
        <f t="shared" si="1"/>
        <v>4</v>
      </c>
      <c r="F7" s="7">
        <f>IF((E7&lt;='Alternative 2'!$B$12),F6+1,"x")</f>
        <v>4</v>
      </c>
      <c r="G7" s="129">
        <f>IF(E7&lt;='Alternative 2'!$B$12,G6+1,0)</f>
        <v>3.5</v>
      </c>
      <c r="H7" s="39">
        <f t="shared" si="2"/>
        <v>2.0663888888888891</v>
      </c>
      <c r="I7" s="43">
        <f t="shared" si="3"/>
        <v>1.0282222222222224</v>
      </c>
      <c r="J7" s="38">
        <f t="shared" si="4"/>
        <v>1.0082222222222224</v>
      </c>
      <c r="K7" s="9">
        <f t="shared" si="5"/>
        <v>1.0182222222222224</v>
      </c>
      <c r="L7" s="7">
        <f t="shared" si="6"/>
        <v>6.6329575022848891E-2</v>
      </c>
      <c r="M7" s="7">
        <f t="shared" si="7"/>
        <v>3.2571297755719515</v>
      </c>
      <c r="N7" s="7">
        <f t="shared" si="8"/>
        <v>0.14270397681156125</v>
      </c>
      <c r="O7" s="7">
        <f t="shared" si="9"/>
        <v>27.984893236920751</v>
      </c>
      <c r="P7" s="7">
        <f t="shared" si="10"/>
        <v>3.9220864251418592</v>
      </c>
      <c r="Q7" s="233"/>
    </row>
    <row r="8" spans="1:20" x14ac:dyDescent="0.25">
      <c r="A8" s="18" t="s">
        <v>14</v>
      </c>
      <c r="B8" s="48">
        <v>3</v>
      </c>
      <c r="C8" s="110" t="s">
        <v>3</v>
      </c>
      <c r="D8" s="233"/>
      <c r="E8" s="41">
        <f t="shared" si="1"/>
        <v>5</v>
      </c>
      <c r="F8" s="7">
        <f>IF((E8&lt;='Alternative 2'!$B$12),F7+1,"x")</f>
        <v>5</v>
      </c>
      <c r="G8" s="129">
        <f>IF(E8&lt;='Alternative 2'!$B$12,G7+1,0)</f>
        <v>4.5</v>
      </c>
      <c r="H8" s="39">
        <f t="shared" si="2"/>
        <v>2.0465</v>
      </c>
      <c r="I8" s="43">
        <f t="shared" si="3"/>
        <v>1.0182777777777778</v>
      </c>
      <c r="J8" s="38">
        <f t="shared" si="4"/>
        <v>0.99827777777777782</v>
      </c>
      <c r="K8" s="9">
        <f t="shared" si="5"/>
        <v>1.0082777777777778</v>
      </c>
      <c r="L8" s="7">
        <f t="shared" si="6"/>
        <v>6.4405074679277641E-2</v>
      </c>
      <c r="M8" s="7">
        <f t="shared" si="7"/>
        <v>3.1938190844388674</v>
      </c>
      <c r="N8" s="7">
        <f t="shared" si="8"/>
        <v>0.14200540940003165</v>
      </c>
      <c r="O8" s="7">
        <f t="shared" si="9"/>
        <v>35.153199202306816</v>
      </c>
      <c r="P8" s="7">
        <f t="shared" si="10"/>
        <v>4.9509614854812938</v>
      </c>
      <c r="Q8" s="233"/>
    </row>
    <row r="9" spans="1:20" x14ac:dyDescent="0.25">
      <c r="A9" s="18" t="s">
        <v>15</v>
      </c>
      <c r="B9" s="48">
        <v>19.2</v>
      </c>
      <c r="C9" s="110" t="s">
        <v>1</v>
      </c>
      <c r="D9" s="233"/>
      <c r="E9" s="41">
        <f t="shared" si="1"/>
        <v>6</v>
      </c>
      <c r="F9" s="7">
        <f>IF((E9&lt;='Alternative 2'!$B$12),F8+1,"x")</f>
        <v>6</v>
      </c>
      <c r="G9" s="129">
        <f>IF(E9&lt;='Alternative 2'!$B$12,G8+1,0)</f>
        <v>5.5</v>
      </c>
      <c r="H9" s="39">
        <f t="shared" si="2"/>
        <v>2.0266111111111114</v>
      </c>
      <c r="I9" s="43">
        <f t="shared" si="3"/>
        <v>1.0083333333333333</v>
      </c>
      <c r="J9" s="38">
        <f t="shared" si="4"/>
        <v>0.98833333333333329</v>
      </c>
      <c r="K9" s="9">
        <f t="shared" si="5"/>
        <v>0.99833333333333329</v>
      </c>
      <c r="L9" s="7">
        <f t="shared" si="6"/>
        <v>6.2518164307445362E-2</v>
      </c>
      <c r="M9" s="7">
        <f t="shared" si="7"/>
        <v>3.131129749980555</v>
      </c>
      <c r="N9" s="7">
        <f t="shared" si="8"/>
        <v>0.14130338849407181</v>
      </c>
      <c r="O9" s="7">
        <f t="shared" si="9"/>
        <v>42.393416019069143</v>
      </c>
      <c r="P9" s="7">
        <f t="shared" si="10"/>
        <v>6.0003338898163614</v>
      </c>
      <c r="Q9" s="233"/>
    </row>
    <row r="10" spans="1:20" x14ac:dyDescent="0.25">
      <c r="A10" s="18" t="s">
        <v>18</v>
      </c>
      <c r="B10" s="48">
        <v>0.05</v>
      </c>
      <c r="C10" s="110" t="s">
        <v>19</v>
      </c>
      <c r="D10" s="233"/>
      <c r="E10" s="41">
        <f t="shared" si="1"/>
        <v>7</v>
      </c>
      <c r="F10" s="7">
        <f>IF((E10&lt;='Alternative 2'!$B$12),F9+1,"x")</f>
        <v>7</v>
      </c>
      <c r="G10" s="129">
        <f>IF(E10&lt;='Alternative 2'!$B$12,G9+1,0)</f>
        <v>6.5</v>
      </c>
      <c r="H10" s="39">
        <f t="shared" si="2"/>
        <v>2.0067222222222223</v>
      </c>
      <c r="I10" s="43">
        <f t="shared" si="3"/>
        <v>0.99838888888888899</v>
      </c>
      <c r="J10" s="38">
        <f t="shared" si="4"/>
        <v>0.97838888888888897</v>
      </c>
      <c r="K10" s="9">
        <f t="shared" si="5"/>
        <v>0.98838888888888898</v>
      </c>
      <c r="L10" s="7">
        <f t="shared" si="6"/>
        <v>6.0668473164890165E-2</v>
      </c>
      <c r="M10" s="7">
        <f t="shared" si="7"/>
        <v>3.0690617721970161</v>
      </c>
      <c r="N10" s="7">
        <f t="shared" si="8"/>
        <v>0.14059786236263544</v>
      </c>
      <c r="O10" s="7">
        <f t="shared" si="9"/>
        <v>49.707172675190755</v>
      </c>
      <c r="P10" s="7">
        <f t="shared" si="10"/>
        <v>7.0708223258951159</v>
      </c>
      <c r="Q10" s="233"/>
    </row>
    <row r="11" spans="1:20" x14ac:dyDescent="0.25">
      <c r="A11" s="231" t="s">
        <v>9</v>
      </c>
      <c r="B11" s="231"/>
      <c r="C11" s="234"/>
      <c r="D11" s="233"/>
      <c r="E11" s="41">
        <f t="shared" si="1"/>
        <v>8</v>
      </c>
      <c r="F11" s="7">
        <f>IF((E11&lt;='Alternative 2'!$B$12),F10+1,"x")</f>
        <v>8</v>
      </c>
      <c r="G11" s="129">
        <f>IF(E11&lt;='Alternative 2'!$B$12,G10+1,0)</f>
        <v>7.5</v>
      </c>
      <c r="H11" s="39">
        <f t="shared" si="2"/>
        <v>1.9868333333333335</v>
      </c>
      <c r="I11" s="43">
        <f t="shared" si="3"/>
        <v>0.98844444444444446</v>
      </c>
      <c r="J11" s="38">
        <f t="shared" si="4"/>
        <v>0.96844444444444444</v>
      </c>
      <c r="K11" s="9">
        <f t="shared" si="5"/>
        <v>0.97844444444444445</v>
      </c>
      <c r="L11" s="7">
        <f t="shared" si="6"/>
        <v>5.8855630509150048E-2</v>
      </c>
      <c r="M11" s="7">
        <f t="shared" si="7"/>
        <v>3.0076151510882467</v>
      </c>
      <c r="N11" s="7">
        <f t="shared" si="8"/>
        <v>0.13988877797013799</v>
      </c>
      <c r="O11" s="7">
        <f t="shared" si="9"/>
        <v>57.09615329412712</v>
      </c>
      <c r="P11" s="7">
        <f t="shared" si="10"/>
        <v>8.1630706336588705</v>
      </c>
      <c r="Q11" s="233"/>
    </row>
    <row r="12" spans="1:20" x14ac:dyDescent="0.25">
      <c r="A12" s="18" t="s">
        <v>10</v>
      </c>
      <c r="B12" s="48">
        <v>36</v>
      </c>
      <c r="C12" s="110" t="s">
        <v>1</v>
      </c>
      <c r="D12" s="233"/>
      <c r="E12" s="41">
        <f t="shared" si="1"/>
        <v>9</v>
      </c>
      <c r="F12" s="7">
        <f>IF((E12&lt;='Alternative 2'!$B$12),F11+1,"x")</f>
        <v>9</v>
      </c>
      <c r="G12" s="129">
        <f>IF(E12&lt;='Alternative 2'!$B$12,G11+1,0)</f>
        <v>8.5</v>
      </c>
      <c r="H12" s="39">
        <f t="shared" si="2"/>
        <v>1.9669444444444446</v>
      </c>
      <c r="I12" s="43">
        <f t="shared" si="3"/>
        <v>0.97850000000000004</v>
      </c>
      <c r="J12" s="38">
        <f t="shared" si="4"/>
        <v>0.95850000000000002</v>
      </c>
      <c r="K12" s="9">
        <f t="shared" si="5"/>
        <v>0.96850000000000003</v>
      </c>
      <c r="L12" s="7">
        <f t="shared" si="6"/>
        <v>5.7079265597763183E-2</v>
      </c>
      <c r="M12" s="7">
        <f t="shared" si="7"/>
        <v>2.9467898866542503</v>
      </c>
      <c r="N12" s="7">
        <f t="shared" si="8"/>
        <v>0.13917608092993047</v>
      </c>
      <c r="O12" s="7">
        <f t="shared" si="9"/>
        <v>64.562099607646218</v>
      </c>
      <c r="P12" s="7">
        <f t="shared" si="10"/>
        <v>9.2777490965410436</v>
      </c>
      <c r="Q12" s="233"/>
    </row>
    <row r="13" spans="1:20" x14ac:dyDescent="0.25">
      <c r="A13" s="18" t="s">
        <v>11</v>
      </c>
      <c r="B13" s="135">
        <f>'Center of Gravity'!AC6</f>
        <v>31215.543190081382</v>
      </c>
      <c r="C13" s="110" t="s">
        <v>2</v>
      </c>
      <c r="D13" s="233"/>
      <c r="E13" s="41">
        <f t="shared" si="1"/>
        <v>10</v>
      </c>
      <c r="F13" s="7">
        <f>IF((E13&lt;='Alternative 2'!$B$12),F12+1,"x")</f>
        <v>10</v>
      </c>
      <c r="G13" s="129">
        <f>IF(E13&lt;='Alternative 2'!$B$12,G12+1,0)</f>
        <v>9.5</v>
      </c>
      <c r="H13" s="39">
        <f t="shared" si="2"/>
        <v>1.9470555555555555</v>
      </c>
      <c r="I13" s="43">
        <f t="shared" si="3"/>
        <v>0.96855555555555561</v>
      </c>
      <c r="J13" s="38">
        <f t="shared" si="4"/>
        <v>0.9485555555555556</v>
      </c>
      <c r="K13" s="9">
        <f t="shared" si="5"/>
        <v>0.95855555555555561</v>
      </c>
      <c r="L13" s="7">
        <f t="shared" si="6"/>
        <v>5.5339007688267605E-2</v>
      </c>
      <c r="M13" s="7">
        <f t="shared" si="7"/>
        <v>2.8865859788950248</v>
      </c>
      <c r="N13" s="7">
        <f t="shared" si="8"/>
        <v>0.13845971545561744</v>
      </c>
      <c r="O13" s="7">
        <f t="shared" si="9"/>
        <v>72.106813566933653</v>
      </c>
      <c r="P13" s="7">
        <f t="shared" si="10"/>
        <v>10.415555813144779</v>
      </c>
      <c r="Q13" s="233"/>
    </row>
    <row r="14" spans="1:20" x14ac:dyDescent="0.25">
      <c r="A14" s="18" t="s">
        <v>11</v>
      </c>
      <c r="B14" s="135">
        <f>B13*9.80665</f>
        <v>306119.90662501159</v>
      </c>
      <c r="C14" s="110" t="s">
        <v>28</v>
      </c>
      <c r="D14" s="233"/>
      <c r="E14" s="41">
        <f t="shared" si="1"/>
        <v>11</v>
      </c>
      <c r="F14" s="7">
        <f>IF((E14&lt;='Alternative 2'!$B$12),F13+1,"x")</f>
        <v>11</v>
      </c>
      <c r="G14" s="129">
        <f>IF(E14&lt;='Alternative 2'!$B$12,G13+1,0)</f>
        <v>10.5</v>
      </c>
      <c r="H14" s="39">
        <f t="shared" si="2"/>
        <v>1.9271666666666667</v>
      </c>
      <c r="I14" s="43">
        <f t="shared" si="3"/>
        <v>0.95861111111111119</v>
      </c>
      <c r="J14" s="38">
        <f t="shared" si="4"/>
        <v>0.93861111111111117</v>
      </c>
      <c r="K14" s="9">
        <f t="shared" si="5"/>
        <v>0.94861111111111118</v>
      </c>
      <c r="L14" s="7">
        <f t="shared" si="6"/>
        <v>5.3634486038201423E-2</v>
      </c>
      <c r="M14" s="7">
        <f t="shared" si="7"/>
        <v>2.8270034278105713</v>
      </c>
      <c r="N14" s="7">
        <f t="shared" si="8"/>
        <v>0.13773962431009651</v>
      </c>
      <c r="O14" s="7">
        <f t="shared" si="9"/>
        <v>79.732160101243736</v>
      </c>
      <c r="P14" s="7">
        <f t="shared" si="10"/>
        <v>11.577218155197658</v>
      </c>
      <c r="Q14" s="233"/>
    </row>
    <row r="15" spans="1:20" x14ac:dyDescent="0.25">
      <c r="A15" s="18" t="s">
        <v>117</v>
      </c>
      <c r="B15" s="48">
        <v>1.42</v>
      </c>
      <c r="C15" s="110" t="s">
        <v>1</v>
      </c>
      <c r="D15" s="233"/>
      <c r="E15" s="41">
        <f t="shared" si="1"/>
        <v>12</v>
      </c>
      <c r="F15" s="7">
        <f>IF((E15&lt;='Alternative 2'!$B$12),F14+1,"x")</f>
        <v>12</v>
      </c>
      <c r="G15" s="129">
        <f>IF(E15&lt;='Alternative 2'!$B$12,G14+1,0)</f>
        <v>11.5</v>
      </c>
      <c r="H15" s="39">
        <f t="shared" si="2"/>
        <v>1.9072777777777778</v>
      </c>
      <c r="I15" s="43">
        <f t="shared" si="3"/>
        <v>0.94866666666666666</v>
      </c>
      <c r="J15" s="38">
        <f t="shared" si="4"/>
        <v>0.92866666666666664</v>
      </c>
      <c r="K15" s="9">
        <f t="shared" si="5"/>
        <v>0.93866666666666665</v>
      </c>
      <c r="L15" s="7">
        <f t="shared" si="6"/>
        <v>5.1965329905102692E-2</v>
      </c>
      <c r="M15" s="7">
        <f t="shared" si="7"/>
        <v>2.7680422334008887</v>
      </c>
      <c r="N15" s="7">
        <f t="shared" si="8"/>
        <v>0.13701574875218731</v>
      </c>
      <c r="O15" s="7">
        <f t="shared" si="9"/>
        <v>87.440070034105545</v>
      </c>
      <c r="P15" s="7">
        <f t="shared" si="10"/>
        <v>12.76349431818182</v>
      </c>
      <c r="Q15" s="233"/>
    </row>
    <row r="16" spans="1:20" x14ac:dyDescent="0.25">
      <c r="A16" s="18" t="s">
        <v>118</v>
      </c>
      <c r="B16" s="48">
        <v>2.1360000000000001</v>
      </c>
      <c r="C16" s="110" t="s">
        <v>1</v>
      </c>
      <c r="D16" s="233"/>
      <c r="E16" s="41">
        <f t="shared" si="1"/>
        <v>13</v>
      </c>
      <c r="F16" s="7">
        <f>IF((E16&lt;='Alternative 2'!$B$12),F15+1,"x")</f>
        <v>13</v>
      </c>
      <c r="G16" s="129">
        <f>IF(E16&lt;='Alternative 2'!$B$12,G15+1,0)</f>
        <v>12.5</v>
      </c>
      <c r="H16" s="39">
        <f t="shared" si="2"/>
        <v>1.887388888888889</v>
      </c>
      <c r="I16" s="43">
        <f t="shared" si="3"/>
        <v>0.93872222222222224</v>
      </c>
      <c r="J16" s="38">
        <f t="shared" si="4"/>
        <v>0.91872222222222222</v>
      </c>
      <c r="K16" s="9">
        <f t="shared" si="5"/>
        <v>0.92872222222222223</v>
      </c>
      <c r="L16" s="7">
        <f t="shared" si="6"/>
        <v>5.0331168546509548E-2</v>
      </c>
      <c r="M16" s="7">
        <f t="shared" si="7"/>
        <v>2.7097023956659783</v>
      </c>
      <c r="N16" s="7">
        <f t="shared" si="8"/>
        <v>0.13628802848070887</v>
      </c>
      <c r="O16" s="7">
        <f t="shared" si="9"/>
        <v>95.23254316788875</v>
      </c>
      <c r="P16" s="7">
        <f t="shared" si="10"/>
        <v>13.975174971585814</v>
      </c>
      <c r="Q16" s="233"/>
    </row>
    <row r="17" spans="1:17" x14ac:dyDescent="0.25">
      <c r="A17" s="18" t="s">
        <v>119</v>
      </c>
      <c r="B17" s="48">
        <v>0.02</v>
      </c>
      <c r="C17" s="110" t="s">
        <v>1</v>
      </c>
      <c r="D17" s="233"/>
      <c r="E17" s="41">
        <f t="shared" si="1"/>
        <v>14</v>
      </c>
      <c r="F17" s="7">
        <f>IF((E17&lt;='Alternative 2'!$B$12),F16+1,"x")</f>
        <v>14</v>
      </c>
      <c r="G17" s="129">
        <f>IF(E17&lt;='Alternative 2'!$B$12,G16+1,0)</f>
        <v>13.5</v>
      </c>
      <c r="H17" s="39">
        <f t="shared" si="2"/>
        <v>1.8675000000000002</v>
      </c>
      <c r="I17" s="43">
        <f t="shared" si="3"/>
        <v>0.92877777777777781</v>
      </c>
      <c r="J17" s="38">
        <f t="shared" si="4"/>
        <v>0.9087777777777778</v>
      </c>
      <c r="K17" s="9">
        <f t="shared" si="5"/>
        <v>0.9187777777777778</v>
      </c>
      <c r="L17" s="7">
        <f t="shared" si="6"/>
        <v>4.8731631219960034E-2</v>
      </c>
      <c r="M17" s="7">
        <f t="shared" si="7"/>
        <v>2.6519839146058395</v>
      </c>
      <c r="N17" s="7">
        <f t="shared" si="8"/>
        <v>0.13555640157585513</v>
      </c>
      <c r="O17" s="7">
        <f t="shared" si="9"/>
        <v>103.11165154839919</v>
      </c>
      <c r="P17" s="7">
        <f t="shared" si="10"/>
        <v>15.213085016326039</v>
      </c>
      <c r="Q17" s="233"/>
    </row>
    <row r="18" spans="1:17" x14ac:dyDescent="0.25">
      <c r="A18" s="231" t="s">
        <v>37</v>
      </c>
      <c r="B18" s="231"/>
      <c r="C18" s="234"/>
      <c r="D18" s="233"/>
      <c r="E18" s="41">
        <f t="shared" si="1"/>
        <v>15</v>
      </c>
      <c r="F18" s="7">
        <f>IF((E18&lt;='Alternative 2'!$B$12),F17+1,"x")</f>
        <v>15</v>
      </c>
      <c r="G18" s="129">
        <f>IF(E18&lt;='Alternative 2'!$B$12,G17+1,0)</f>
        <v>14.5</v>
      </c>
      <c r="H18" s="39">
        <f t="shared" si="2"/>
        <v>1.8476111111111111</v>
      </c>
      <c r="I18" s="43">
        <f t="shared" si="3"/>
        <v>0.91883333333333339</v>
      </c>
      <c r="J18" s="38">
        <f t="shared" si="4"/>
        <v>0.89883333333333337</v>
      </c>
      <c r="K18" s="9">
        <f t="shared" si="5"/>
        <v>0.90883333333333338</v>
      </c>
      <c r="L18" s="7">
        <f t="shared" si="6"/>
        <v>4.7166347182992265E-2</v>
      </c>
      <c r="M18" s="7">
        <f t="shared" si="7"/>
        <v>2.5948867902204724</v>
      </c>
      <c r="N18" s="7">
        <f t="shared" si="8"/>
        <v>0.13482080443770719</v>
      </c>
      <c r="O18" s="7">
        <f t="shared" si="9"/>
        <v>111.07954292212216</v>
      </c>
      <c r="P18" s="7">
        <f t="shared" si="10"/>
        <v>16.478085457546303</v>
      </c>
      <c r="Q18" s="233"/>
    </row>
    <row r="19" spans="1:17" x14ac:dyDescent="0.25">
      <c r="A19" s="16" t="s">
        <v>38</v>
      </c>
      <c r="B19" s="137">
        <f>'Column Buckling'!F18</f>
        <v>2.3660469038622698</v>
      </c>
      <c r="C19" s="111" t="s">
        <v>43</v>
      </c>
      <c r="D19" s="233"/>
      <c r="E19" s="41">
        <f t="shared" si="1"/>
        <v>16</v>
      </c>
      <c r="F19" s="7">
        <f>IF((E19&lt;='Alternative 2'!$B$12),F18+1,"x")</f>
        <v>16</v>
      </c>
      <c r="G19" s="129">
        <f>IF(E19&lt;='Alternative 2'!$B$12,G18+1,0)</f>
        <v>15.5</v>
      </c>
      <c r="H19" s="39">
        <f t="shared" si="2"/>
        <v>1.8277222222222222</v>
      </c>
      <c r="I19" s="43">
        <f t="shared" si="3"/>
        <v>0.90888888888888886</v>
      </c>
      <c r="J19" s="38">
        <f t="shared" si="4"/>
        <v>0.88888888888888884</v>
      </c>
      <c r="K19" s="9">
        <f t="shared" si="5"/>
        <v>0.89888888888888885</v>
      </c>
      <c r="L19" s="7">
        <f t="shared" si="6"/>
        <v>4.5634945693144295E-2</v>
      </c>
      <c r="M19" s="7">
        <f t="shared" si="7"/>
        <v>2.5384110225098762</v>
      </c>
      <c r="N19" s="7">
        <f t="shared" si="8"/>
        <v>0.13408117172170922</v>
      </c>
      <c r="O19" s="7">
        <f t="shared" si="9"/>
        <v>119.13844439976521</v>
      </c>
      <c r="P19" s="7">
        <f t="shared" si="10"/>
        <v>17.771075401730535</v>
      </c>
      <c r="Q19" s="233"/>
    </row>
    <row r="20" spans="1:17" x14ac:dyDescent="0.25">
      <c r="A20" s="16" t="s">
        <v>39</v>
      </c>
      <c r="B20" s="58">
        <v>250</v>
      </c>
      <c r="C20" s="110" t="s">
        <v>0</v>
      </c>
      <c r="D20" s="233"/>
      <c r="E20" s="41">
        <f t="shared" si="1"/>
        <v>17</v>
      </c>
      <c r="F20" s="7">
        <f>IF((E20&lt;='Alternative 2'!$B$12),F19+1,"x")</f>
        <v>17</v>
      </c>
      <c r="G20" s="129">
        <f>IF(E20&lt;='Alternative 2'!$B$12,G19+1,0)</f>
        <v>16.5</v>
      </c>
      <c r="H20" s="39">
        <f t="shared" si="2"/>
        <v>1.8078333333333334</v>
      </c>
      <c r="I20" s="43">
        <f t="shared" si="3"/>
        <v>0.89894444444444443</v>
      </c>
      <c r="J20" s="38">
        <f t="shared" si="4"/>
        <v>0.87894444444444442</v>
      </c>
      <c r="K20" s="9">
        <f t="shared" si="5"/>
        <v>0.88894444444444443</v>
      </c>
      <c r="L20" s="7">
        <f t="shared" si="6"/>
        <v>4.4137056007954249E-2</v>
      </c>
      <c r="M20" s="7">
        <f t="shared" si="7"/>
        <v>2.482556611474052</v>
      </c>
      <c r="N20" s="7">
        <f t="shared" si="8"/>
        <v>0.13333743627092304</v>
      </c>
      <c r="O20" s="7">
        <f t="shared" si="9"/>
        <v>127.29066634088524</v>
      </c>
      <c r="P20" s="7">
        <f t="shared" si="10"/>
        <v>19.092994187863262</v>
      </c>
      <c r="Q20" s="233"/>
    </row>
    <row r="21" spans="1:17" x14ac:dyDescent="0.25">
      <c r="A21" s="16" t="s">
        <v>39</v>
      </c>
      <c r="B21" s="58">
        <v>50</v>
      </c>
      <c r="C21" s="110" t="s">
        <v>40</v>
      </c>
      <c r="D21" s="233"/>
      <c r="E21" s="41">
        <f t="shared" si="1"/>
        <v>18</v>
      </c>
      <c r="F21" s="7">
        <f>IF((E21&lt;='Alternative 2'!$B$12),F20+1,"x")</f>
        <v>18</v>
      </c>
      <c r="G21" s="129">
        <f>IF(E21&lt;='Alternative 2'!$B$12,G20+1,0)</f>
        <v>17.5</v>
      </c>
      <c r="H21" s="39">
        <f t="shared" si="2"/>
        <v>1.7879444444444446</v>
      </c>
      <c r="I21" s="43">
        <f t="shared" si="3"/>
        <v>0.88900000000000001</v>
      </c>
      <c r="J21" s="38">
        <f t="shared" si="4"/>
        <v>0.86899999999999999</v>
      </c>
      <c r="K21" s="9">
        <f t="shared" si="5"/>
        <v>0.879</v>
      </c>
      <c r="L21" s="7">
        <f t="shared" si="6"/>
        <v>4.2672307384960195E-2</v>
      </c>
      <c r="M21" s="7">
        <f t="shared" si="7"/>
        <v>2.4273235571130001</v>
      </c>
      <c r="N21" s="7">
        <f t="shared" si="8"/>
        <v>0.13258952904486257</v>
      </c>
      <c r="O21" s="7">
        <f t="shared" si="9"/>
        <v>135.53860647562442</v>
      </c>
      <c r="P21" s="7">
        <f t="shared" si="10"/>
        <v>20.4448236632537</v>
      </c>
      <c r="Q21" s="233"/>
    </row>
    <row r="22" spans="1:17" x14ac:dyDescent="0.25">
      <c r="A22" s="16" t="s">
        <v>41</v>
      </c>
      <c r="B22" s="58">
        <v>200000</v>
      </c>
      <c r="C22" s="110" t="s">
        <v>0</v>
      </c>
      <c r="D22" s="233"/>
      <c r="E22" s="41">
        <f t="shared" si="1"/>
        <v>19</v>
      </c>
      <c r="F22" s="7">
        <f>IF((E22&lt;='Alternative 2'!$B$12),F21+1,"x")</f>
        <v>19</v>
      </c>
      <c r="G22" s="129">
        <f>IF(E22&lt;='Alternative 2'!$B$12,G21+1,0)</f>
        <v>18.5</v>
      </c>
      <c r="H22" s="39">
        <f t="shared" si="2"/>
        <v>1.7680555555555557</v>
      </c>
      <c r="I22" s="43">
        <f t="shared" si="3"/>
        <v>0.87905555555555559</v>
      </c>
      <c r="J22" s="38">
        <f t="shared" si="4"/>
        <v>0.85905555555555557</v>
      </c>
      <c r="K22" s="9">
        <f t="shared" si="5"/>
        <v>0.86905555555555558</v>
      </c>
      <c r="L22" s="7">
        <f t="shared" si="6"/>
        <v>4.1240329081700222E-2</v>
      </c>
      <c r="M22" s="7">
        <f t="shared" si="7"/>
        <v>2.3727118594267189</v>
      </c>
      <c r="N22" s="7">
        <f t="shared" si="8"/>
        <v>0.13183737904469447</v>
      </c>
      <c r="O22" s="7">
        <f t="shared" si="9"/>
        <v>143.88475428093906</v>
      </c>
      <c r="P22" s="7">
        <f t="shared" si="10"/>
        <v>21.827590615610816</v>
      </c>
      <c r="Q22" s="233"/>
    </row>
    <row r="23" spans="1:17" x14ac:dyDescent="0.25">
      <c r="A23" s="16" t="s">
        <v>42</v>
      </c>
      <c r="B23" s="58">
        <v>1.67</v>
      </c>
      <c r="C23" s="111" t="s">
        <v>43</v>
      </c>
      <c r="D23" s="233"/>
      <c r="E23" s="41">
        <f t="shared" si="1"/>
        <v>20</v>
      </c>
      <c r="F23" s="7">
        <f>IF((E23&lt;='Alternative 2'!$B$12),F22+1,"x")</f>
        <v>20</v>
      </c>
      <c r="G23" s="129">
        <f>IF(E23&lt;='Alternative 2'!$B$12,G22+1,0)</f>
        <v>19.5</v>
      </c>
      <c r="H23" s="39">
        <f t="shared" si="2"/>
        <v>1.7481666666666666</v>
      </c>
      <c r="I23" s="43">
        <f t="shared" si="3"/>
        <v>0.86911111111111117</v>
      </c>
      <c r="J23" s="38">
        <f t="shared" si="4"/>
        <v>0.84911111111111115</v>
      </c>
      <c r="K23" s="9">
        <f t="shared" si="5"/>
        <v>0.85911111111111116</v>
      </c>
      <c r="L23" s="7">
        <f t="shared" si="6"/>
        <v>3.9840750355712412E-2</v>
      </c>
      <c r="M23" s="7">
        <f t="shared" si="7"/>
        <v>2.3187215184152099</v>
      </c>
      <c r="N23" s="7">
        <f t="shared" si="8"/>
        <v>0.13108091323457596</v>
      </c>
      <c r="O23" s="7">
        <f t="shared" si="9"/>
        <v>152.33169563019771</v>
      </c>
      <c r="P23" s="7">
        <f t="shared" si="10"/>
        <v>23.242369374030005</v>
      </c>
      <c r="Q23" s="233"/>
    </row>
    <row r="24" spans="1:17" x14ac:dyDescent="0.25">
      <c r="A24" s="231" t="s">
        <v>48</v>
      </c>
      <c r="B24" s="231"/>
      <c r="C24" s="234"/>
      <c r="D24" s="233"/>
      <c r="E24" s="41">
        <f t="shared" si="1"/>
        <v>21</v>
      </c>
      <c r="F24" s="7">
        <f>IF((E24&lt;='Alternative 2'!$B$12),F23+1,"x")</f>
        <v>21</v>
      </c>
      <c r="G24" s="129">
        <f>IF(E24&lt;='Alternative 2'!$B$12,G23+1,0)</f>
        <v>20.5</v>
      </c>
      <c r="H24" s="39">
        <f t="shared" si="2"/>
        <v>1.7282777777777778</v>
      </c>
      <c r="I24" s="43">
        <f t="shared" si="3"/>
        <v>0.85916666666666663</v>
      </c>
      <c r="J24" s="38">
        <f t="shared" si="4"/>
        <v>0.83916666666666662</v>
      </c>
      <c r="K24" s="9">
        <f t="shared" si="5"/>
        <v>0.84916666666666663</v>
      </c>
      <c r="L24" s="7">
        <f t="shared" si="6"/>
        <v>3.8473200464534833E-2</v>
      </c>
      <c r="M24" s="7">
        <f t="shared" si="7"/>
        <v>2.2653525340784717</v>
      </c>
      <c r="N24" s="7">
        <f t="shared" si="8"/>
        <v>0.13032005645888287</v>
      </c>
      <c r="O24" s="7">
        <f t="shared" si="9"/>
        <v>160.88211773666382</v>
      </c>
      <c r="P24" s="7">
        <f t="shared" si="10"/>
        <v>24.690284592737981</v>
      </c>
      <c r="Q24" s="233"/>
    </row>
    <row r="25" spans="1:17" s="10" customFormat="1" x14ac:dyDescent="0.25">
      <c r="A25" s="16" t="s">
        <v>49</v>
      </c>
      <c r="B25" s="135">
        <f>B13</f>
        <v>31215.543190081382</v>
      </c>
      <c r="C25" s="112" t="s">
        <v>2</v>
      </c>
      <c r="D25" s="233"/>
      <c r="E25" s="41">
        <f t="shared" si="1"/>
        <v>22</v>
      </c>
      <c r="F25" s="7">
        <f>IF((E25&lt;='Alternative 2'!$B$12),F24+1,"x")</f>
        <v>22</v>
      </c>
      <c r="G25" s="129">
        <f>IF(E25&lt;='Alternative 2'!$B$12,G24+1,0)</f>
        <v>21.5</v>
      </c>
      <c r="H25" s="39">
        <f t="shared" si="2"/>
        <v>1.708388888888889</v>
      </c>
      <c r="I25" s="43">
        <f t="shared" si="3"/>
        <v>0.84922222222222221</v>
      </c>
      <c r="J25" s="38">
        <f t="shared" si="4"/>
        <v>0.82922222222222219</v>
      </c>
      <c r="K25" s="9">
        <f t="shared" si="5"/>
        <v>0.8392222222222222</v>
      </c>
      <c r="L25" s="7">
        <f t="shared" si="6"/>
        <v>3.713730866570561E-2</v>
      </c>
      <c r="M25" s="7">
        <f t="shared" si="7"/>
        <v>2.2126049064165061</v>
      </c>
      <c r="N25" s="7">
        <f t="shared" si="8"/>
        <v>0.12955473135506249</v>
      </c>
      <c r="O25" s="7">
        <f t="shared" si="9"/>
        <v>169.53881441318174</v>
      </c>
      <c r="P25" s="7">
        <f t="shared" si="10"/>
        <v>26.172514232755198</v>
      </c>
      <c r="Q25" s="233"/>
    </row>
    <row r="26" spans="1:17" x14ac:dyDescent="0.25">
      <c r="A26" s="16" t="s">
        <v>50</v>
      </c>
      <c r="B26" s="53">
        <f>B12</f>
        <v>36</v>
      </c>
      <c r="C26" s="112" t="s">
        <v>1</v>
      </c>
      <c r="D26" s="233"/>
      <c r="E26" s="41">
        <f t="shared" si="1"/>
        <v>23</v>
      </c>
      <c r="F26" s="7">
        <f>IF((E26&lt;='Alternative 2'!$B$12),F25+1,"x")</f>
        <v>23</v>
      </c>
      <c r="G26" s="129">
        <f>IF(E26&lt;='Alternative 2'!$B$12,G25+1,0)</f>
        <v>22.5</v>
      </c>
      <c r="H26" s="39">
        <f t="shared" si="2"/>
        <v>1.6884999999999999</v>
      </c>
      <c r="I26" s="43">
        <f t="shared" si="3"/>
        <v>0.83927777777777779</v>
      </c>
      <c r="J26" s="38">
        <f t="shared" si="4"/>
        <v>0.81927777777777777</v>
      </c>
      <c r="K26" s="9">
        <f t="shared" si="5"/>
        <v>0.82927777777777778</v>
      </c>
      <c r="L26" s="7">
        <f t="shared" si="6"/>
        <v>3.5832704216762802E-2</v>
      </c>
      <c r="M26" s="7">
        <f t="shared" si="7"/>
        <v>2.1604786354293113</v>
      </c>
      <c r="N26" s="7">
        <f t="shared" si="8"/>
        <v>0.12878485826182517</v>
      </c>
      <c r="O26" s="7">
        <f t="shared" si="9"/>
        <v>178.30469167236873</v>
      </c>
      <c r="P26" s="7">
        <f t="shared" si="10"/>
        <v>27.69029275808937</v>
      </c>
      <c r="Q26" s="233"/>
    </row>
    <row r="27" spans="1:17" x14ac:dyDescent="0.25">
      <c r="A27" s="16" t="s">
        <v>52</v>
      </c>
      <c r="B27" s="53">
        <f>'Center of Gravity'!AC4</f>
        <v>16</v>
      </c>
      <c r="C27" s="112" t="s">
        <v>1</v>
      </c>
      <c r="D27" s="233"/>
      <c r="E27" s="41">
        <f t="shared" si="1"/>
        <v>24</v>
      </c>
      <c r="F27" s="7">
        <f>IF((E27&lt;='Alternative 2'!$B$12),F26+1,"x")</f>
        <v>24</v>
      </c>
      <c r="G27" s="129">
        <f>IF(E27&lt;='Alternative 2'!$B$12,G26+1,0)</f>
        <v>23.5</v>
      </c>
      <c r="H27" s="39">
        <f t="shared" si="2"/>
        <v>1.668611111111111</v>
      </c>
      <c r="I27" s="43">
        <f t="shared" si="3"/>
        <v>0.82933333333333337</v>
      </c>
      <c r="J27" s="38">
        <f t="shared" si="4"/>
        <v>0.80933333333333335</v>
      </c>
      <c r="K27" s="9">
        <f t="shared" si="5"/>
        <v>0.81933333333333336</v>
      </c>
      <c r="L27" s="7">
        <f t="shared" si="6"/>
        <v>3.4559016375244507E-2</v>
      </c>
      <c r="M27" s="7">
        <f t="shared" si="7"/>
        <v>2.1089737211168891</v>
      </c>
      <c r="N27" s="7">
        <f t="shared" si="8"/>
        <v>0.1280103551223665</v>
      </c>
      <c r="O27" s="7">
        <f t="shared" si="9"/>
        <v>187.1827736938034</v>
      </c>
      <c r="P27" s="7">
        <f t="shared" si="10"/>
        <v>29.244914564686738</v>
      </c>
      <c r="Q27" s="233"/>
    </row>
    <row r="28" spans="1:17" x14ac:dyDescent="0.25">
      <c r="A28" s="16" t="s">
        <v>143</v>
      </c>
      <c r="B28" s="54">
        <f>ROUND((B26-B27)/3+B27,2)</f>
        <v>22.67</v>
      </c>
      <c r="C28" s="112" t="s">
        <v>1</v>
      </c>
      <c r="D28" s="233"/>
      <c r="E28" s="41">
        <f t="shared" si="1"/>
        <v>25</v>
      </c>
      <c r="F28" s="7">
        <f>IF((E28&lt;='Alternative 2'!$B$12),F27+1,"x")</f>
        <v>25</v>
      </c>
      <c r="G28" s="129">
        <f>IF(E28&lt;='Alternative 2'!$B$12,G27+1,0)</f>
        <v>24.5</v>
      </c>
      <c r="H28" s="39">
        <f t="shared" si="2"/>
        <v>1.6487222222222222</v>
      </c>
      <c r="I28" s="43">
        <f t="shared" si="3"/>
        <v>0.81938888888888894</v>
      </c>
      <c r="J28" s="38">
        <f t="shared" si="4"/>
        <v>0.79938888888888893</v>
      </c>
      <c r="K28" s="9">
        <f t="shared" si="5"/>
        <v>0.80938888888888894</v>
      </c>
      <c r="L28" s="7">
        <f t="shared" si="6"/>
        <v>3.3315874398688806E-2</v>
      </c>
      <c r="M28" s="7">
        <f t="shared" si="7"/>
        <v>2.0580901634792381</v>
      </c>
      <c r="N28" s="7">
        <f t="shared" si="8"/>
        <v>0.12723113738228695</v>
      </c>
      <c r="O28" s="7">
        <f t="shared" si="9"/>
        <v>196.17620918711606</v>
      </c>
      <c r="P28" s="7">
        <f t="shared" si="10"/>
        <v>30.83773766215938</v>
      </c>
      <c r="Q28" s="233"/>
    </row>
    <row r="29" spans="1:17" x14ac:dyDescent="0.25">
      <c r="A29" s="16" t="s">
        <v>144</v>
      </c>
      <c r="B29" s="55">
        <f>ROUNDDOWN(2*(B26-B27)/3+B27,2)</f>
        <v>29.33</v>
      </c>
      <c r="C29" s="112" t="s">
        <v>1</v>
      </c>
      <c r="D29" s="233"/>
      <c r="E29" s="41">
        <f t="shared" si="1"/>
        <v>26</v>
      </c>
      <c r="F29" s="7">
        <f>IF((E29&lt;='Alternative 2'!$B$12),F28+1,"x")</f>
        <v>26</v>
      </c>
      <c r="G29" s="129">
        <f>IF(E29&lt;='Alternative 2'!$B$12,G28+1,0)</f>
        <v>25.5</v>
      </c>
      <c r="H29" s="39">
        <f t="shared" si="2"/>
        <v>1.6288333333333334</v>
      </c>
      <c r="I29" s="43">
        <f t="shared" si="3"/>
        <v>0.80944444444444441</v>
      </c>
      <c r="J29" s="38">
        <f t="shared" si="4"/>
        <v>0.78944444444444439</v>
      </c>
      <c r="K29" s="9">
        <f t="shared" si="5"/>
        <v>0.7994444444444444</v>
      </c>
      <c r="L29" s="7">
        <f t="shared" si="6"/>
        <v>3.2102907544633776E-2</v>
      </c>
      <c r="M29" s="7">
        <f t="shared" si="7"/>
        <v>2.007827962516358</v>
      </c>
      <c r="N29" s="7">
        <f t="shared" si="8"/>
        <v>0.12644711788184959</v>
      </c>
      <c r="O29" s="7">
        <f t="shared" si="9"/>
        <v>205.28827818255226</v>
      </c>
      <c r="P29" s="7">
        <f t="shared" si="10"/>
        <v>32.470187630298824</v>
      </c>
      <c r="Q29" s="233"/>
    </row>
    <row r="30" spans="1:17" x14ac:dyDescent="0.25">
      <c r="A30" s="16" t="s">
        <v>150</v>
      </c>
      <c r="B30" s="138">
        <f>'Alternative 2-Tilt Up'!N5</f>
        <v>5996068.2740079593</v>
      </c>
      <c r="C30" s="112" t="s">
        <v>28</v>
      </c>
      <c r="D30" s="233"/>
      <c r="E30" s="41">
        <f t="shared" si="1"/>
        <v>27</v>
      </c>
      <c r="F30" s="7">
        <f>IF((E30&lt;='Alternative 2'!$B$12),F29+1,"x")</f>
        <v>27</v>
      </c>
      <c r="G30" s="129">
        <f>IF(E30&lt;='Alternative 2'!$B$12,G29+1,0)</f>
        <v>26.5</v>
      </c>
      <c r="H30" s="39">
        <f t="shared" si="2"/>
        <v>1.6089444444444445</v>
      </c>
      <c r="I30" s="43">
        <f t="shared" si="3"/>
        <v>0.79949999999999999</v>
      </c>
      <c r="J30" s="38">
        <f t="shared" si="4"/>
        <v>0.77949999999999997</v>
      </c>
      <c r="K30" s="9">
        <f t="shared" si="5"/>
        <v>0.78949999999999998</v>
      </c>
      <c r="L30" s="7">
        <f t="shared" si="6"/>
        <v>3.0919745070617521E-2</v>
      </c>
      <c r="M30" s="7">
        <f t="shared" si="7"/>
        <v>1.9581871182282498</v>
      </c>
      <c r="N30" s="7">
        <f t="shared" si="8"/>
        <v>0.12565820674218758</v>
      </c>
      <c r="O30" s="7">
        <f t="shared" si="9"/>
        <v>214.5223992835306</v>
      </c>
      <c r="P30" s="7">
        <f t="shared" si="10"/>
        <v>34.143761874604181</v>
      </c>
      <c r="Q30" s="233"/>
    </row>
    <row r="31" spans="1:17" x14ac:dyDescent="0.25">
      <c r="A31" s="231" t="s">
        <v>54</v>
      </c>
      <c r="B31" s="231"/>
      <c r="C31" s="234"/>
      <c r="D31" s="233"/>
      <c r="E31" s="41">
        <f t="shared" si="1"/>
        <v>28</v>
      </c>
      <c r="F31" s="7">
        <f>IF((E31&lt;='Alternative 2'!$B$12),F30+1,"x")</f>
        <v>28</v>
      </c>
      <c r="G31" s="129">
        <f>IF(E31&lt;='Alternative 2'!$B$12,G30+1,0)</f>
        <v>27.5</v>
      </c>
      <c r="H31" s="39">
        <f t="shared" si="2"/>
        <v>1.5890555555555554</v>
      </c>
      <c r="I31" s="43">
        <f t="shared" si="3"/>
        <v>0.78955555555555557</v>
      </c>
      <c r="J31" s="38">
        <f t="shared" si="4"/>
        <v>0.76955555555555555</v>
      </c>
      <c r="K31" s="9">
        <f t="shared" si="5"/>
        <v>0.77955555555555556</v>
      </c>
      <c r="L31" s="7">
        <f t="shared" si="6"/>
        <v>2.9766016234178121E-2</v>
      </c>
      <c r="M31" s="7">
        <f t="shared" si="7"/>
        <v>1.9091676306149135</v>
      </c>
      <c r="N31" s="7">
        <f t="shared" si="8"/>
        <v>0.12486431124504048</v>
      </c>
      <c r="O31" s="7">
        <f t="shared" si="9"/>
        <v>223.8821374189836</v>
      </c>
      <c r="P31" s="7">
        <f t="shared" si="10"/>
        <v>35.860034207525658</v>
      </c>
      <c r="Q31" s="233"/>
    </row>
    <row r="32" spans="1:17" x14ac:dyDescent="0.25">
      <c r="A32" s="26" t="s">
        <v>33</v>
      </c>
      <c r="B32" s="47">
        <v>0.85</v>
      </c>
      <c r="C32" s="113" t="s">
        <v>43</v>
      </c>
      <c r="D32" s="233"/>
      <c r="E32" s="41">
        <f t="shared" si="1"/>
        <v>29</v>
      </c>
      <c r="F32" s="7">
        <f>IF((E32&lt;='Alternative 2'!$B$12),F31+1,"x")</f>
        <v>29</v>
      </c>
      <c r="G32" s="129">
        <f>IF(E32&lt;='Alternative 2'!$B$12,G31+1,0)</f>
        <v>28.5</v>
      </c>
      <c r="H32" s="39">
        <f t="shared" si="2"/>
        <v>1.5691666666666668</v>
      </c>
      <c r="I32" s="43">
        <f t="shared" si="3"/>
        <v>0.77961111111111103</v>
      </c>
      <c r="J32" s="38">
        <f t="shared" si="4"/>
        <v>0.75961111111111101</v>
      </c>
      <c r="K32" s="9">
        <f t="shared" si="5"/>
        <v>0.76961111111111102</v>
      </c>
      <c r="L32" s="7">
        <f t="shared" si="6"/>
        <v>2.8641350292853654E-2</v>
      </c>
      <c r="M32" s="7">
        <f t="shared" si="7"/>
        <v>1.8607694996763484</v>
      </c>
      <c r="N32" s="7">
        <f t="shared" si="8"/>
        <v>0.12406533570556415</v>
      </c>
      <c r="O32" s="7">
        <f t="shared" si="9"/>
        <v>233.37121213689079</v>
      </c>
      <c r="P32" s="7">
        <f t="shared" si="10"/>
        <v>37.620659784884147</v>
      </c>
      <c r="Q32" s="233"/>
    </row>
    <row r="33" spans="1:17" ht="18" x14ac:dyDescent="0.35">
      <c r="A33" s="26" t="s">
        <v>55</v>
      </c>
      <c r="B33" s="47">
        <v>0.7</v>
      </c>
      <c r="C33" s="113" t="s">
        <v>43</v>
      </c>
      <c r="D33" s="233"/>
      <c r="E33" s="41">
        <f t="shared" si="1"/>
        <v>30</v>
      </c>
      <c r="F33" s="7">
        <f>IF((E33&lt;='Alternative 2'!$B$12),F32+1,"x")</f>
        <v>30</v>
      </c>
      <c r="G33" s="129">
        <f>IF(E33&lt;='Alternative 2'!$B$12,G32+1,0)</f>
        <v>29.5</v>
      </c>
      <c r="H33" s="39">
        <f t="shared" si="2"/>
        <v>1.5492777777777778</v>
      </c>
      <c r="I33" s="43">
        <f t="shared" si="3"/>
        <v>0.76966666666666672</v>
      </c>
      <c r="J33" s="38">
        <f t="shared" si="4"/>
        <v>0.7496666666666667</v>
      </c>
      <c r="K33" s="9">
        <f t="shared" si="5"/>
        <v>0.75966666666666671</v>
      </c>
      <c r="L33" s="7">
        <f t="shared" si="6"/>
        <v>2.7545376504182238E-2</v>
      </c>
      <c r="M33" s="7">
        <f t="shared" si="7"/>
        <v>1.8129927254125557</v>
      </c>
      <c r="N33" s="7">
        <f t="shared" si="8"/>
        <v>0.12326118133772013</v>
      </c>
      <c r="O33" s="7">
        <f t="shared" si="9"/>
        <v>242.99350648443706</v>
      </c>
      <c r="P33" s="7">
        <f t="shared" si="10"/>
        <v>39.427380430013166</v>
      </c>
      <c r="Q33" s="233"/>
    </row>
    <row r="34" spans="1:17" ht="18" x14ac:dyDescent="0.35">
      <c r="A34" s="26" t="s">
        <v>57</v>
      </c>
      <c r="B34" s="47">
        <v>1</v>
      </c>
      <c r="C34" s="113" t="s">
        <v>43</v>
      </c>
      <c r="D34" s="233"/>
      <c r="E34" s="41">
        <f t="shared" si="1"/>
        <v>31</v>
      </c>
      <c r="F34" s="7">
        <f>IF((E34&lt;='Alternative 2'!$B$12),F33+1,"x")</f>
        <v>31</v>
      </c>
      <c r="G34" s="129">
        <f>IF(E34&lt;='Alternative 2'!$B$12,G33+1,0)</f>
        <v>30.5</v>
      </c>
      <c r="H34" s="39">
        <f t="shared" si="2"/>
        <v>1.5293888888888889</v>
      </c>
      <c r="I34" s="43">
        <f t="shared" si="3"/>
        <v>0.75972222222222219</v>
      </c>
      <c r="J34" s="38">
        <f t="shared" si="4"/>
        <v>0.73972222222222217</v>
      </c>
      <c r="K34" s="9">
        <f t="shared" si="5"/>
        <v>0.74972222222222218</v>
      </c>
      <c r="L34" s="7">
        <f t="shared" si="6"/>
        <v>2.6477724125701898E-2</v>
      </c>
      <c r="M34" s="7">
        <f t="shared" si="7"/>
        <v>1.7658373078235334</v>
      </c>
      <c r="N34" s="7">
        <f t="shared" si="8"/>
        <v>0.12245174611170846</v>
      </c>
      <c r="O34" s="7">
        <f t="shared" si="9"/>
        <v>252.75307652469814</v>
      </c>
      <c r="P34" s="7">
        <f t="shared" si="10"/>
        <v>41.282030381622832</v>
      </c>
      <c r="Q34" s="233"/>
    </row>
    <row r="35" spans="1:17" ht="18" x14ac:dyDescent="0.35">
      <c r="A35" s="26" t="s">
        <v>58</v>
      </c>
      <c r="B35" s="47">
        <v>0.95</v>
      </c>
      <c r="C35" s="113" t="s">
        <v>43</v>
      </c>
      <c r="D35" s="233"/>
      <c r="E35" s="41">
        <f t="shared" si="1"/>
        <v>32</v>
      </c>
      <c r="F35" s="7">
        <f>IF((E35&lt;='Alternative 2'!$B$12),F34+1,"x")</f>
        <v>32</v>
      </c>
      <c r="G35" s="129">
        <f>IF(E35&lt;='Alternative 2'!$B$12,G34+1,0)</f>
        <v>31.5</v>
      </c>
      <c r="H35" s="39">
        <f t="shared" si="2"/>
        <v>1.5095000000000001</v>
      </c>
      <c r="I35" s="43">
        <f t="shared" si="3"/>
        <v>0.74977777777777777</v>
      </c>
      <c r="J35" s="38">
        <f t="shared" si="4"/>
        <v>0.72977777777777775</v>
      </c>
      <c r="K35" s="9">
        <f t="shared" si="5"/>
        <v>0.73977777777777776</v>
      </c>
      <c r="L35" s="7">
        <f t="shared" si="6"/>
        <v>2.5438022414950787E-2</v>
      </c>
      <c r="M35" s="7">
        <f t="shared" si="7"/>
        <v>1.7193032469092839</v>
      </c>
      <c r="N35" s="7">
        <f t="shared" si="8"/>
        <v>0.12163692460286185</v>
      </c>
      <c r="O35" s="7">
        <f t="shared" si="9"/>
        <v>262.65416154473189</v>
      </c>
      <c r="P35" s="7">
        <f t="shared" si="10"/>
        <v>43.186542505256838</v>
      </c>
      <c r="Q35" s="233"/>
    </row>
    <row r="36" spans="1:17" ht="17.25" x14ac:dyDescent="0.25">
      <c r="A36" s="29" t="s">
        <v>59</v>
      </c>
      <c r="B36" s="47">
        <f>44.704^2</f>
        <v>1998.4476160000002</v>
      </c>
      <c r="C36" s="113" t="s">
        <v>43</v>
      </c>
      <c r="D36" s="233"/>
      <c r="E36" s="41">
        <f t="shared" si="1"/>
        <v>33</v>
      </c>
      <c r="F36" s="7">
        <f>IF((E36&lt;='Alternative 2'!$B$12),F35+1,"x")</f>
        <v>33</v>
      </c>
      <c r="G36" s="129">
        <f>IF(E36&lt;='Alternative 2'!$B$12,G35+1,0)</f>
        <v>32.5</v>
      </c>
      <c r="H36" s="39">
        <f t="shared" si="2"/>
        <v>1.489611111111111</v>
      </c>
      <c r="I36" s="43">
        <f t="shared" si="3"/>
        <v>0.73983333333333334</v>
      </c>
      <c r="J36" s="38">
        <f t="shared" si="4"/>
        <v>0.71983333333333333</v>
      </c>
      <c r="K36" s="9">
        <f t="shared" si="5"/>
        <v>0.72983333333333333</v>
      </c>
      <c r="L36" s="7">
        <f t="shared" si="6"/>
        <v>2.4425900629466941E-2</v>
      </c>
      <c r="M36" s="7">
        <f t="shared" si="7"/>
        <v>1.6733905426698055</v>
      </c>
      <c r="N36" s="7">
        <f t="shared" si="8"/>
        <v>0.12081660783136682</v>
      </c>
      <c r="O36" s="7">
        <f t="shared" si="9"/>
        <v>272.70119501550488</v>
      </c>
      <c r="P36" s="7">
        <f t="shared" si="10"/>
        <v>45.142955012559952</v>
      </c>
      <c r="Q36" s="233"/>
    </row>
    <row r="37" spans="1:17" x14ac:dyDescent="0.25">
      <c r="A37" s="231" t="s">
        <v>60</v>
      </c>
      <c r="B37" s="231"/>
      <c r="C37" s="234"/>
      <c r="D37" s="233"/>
      <c r="E37" s="41">
        <f t="shared" si="1"/>
        <v>34</v>
      </c>
      <c r="F37" s="7">
        <f>IF((E37&lt;='Alternative 2'!$B$12),F36+1,"x")</f>
        <v>34</v>
      </c>
      <c r="G37" s="129">
        <f>IF(E37&lt;='Alternative 2'!$B$12,G36+1,0)</f>
        <v>33.5</v>
      </c>
      <c r="H37" s="39">
        <f t="shared" si="2"/>
        <v>1.4697222222222222</v>
      </c>
      <c r="I37" s="43">
        <f t="shared" si="3"/>
        <v>0.72988888888888881</v>
      </c>
      <c r="J37" s="38">
        <f t="shared" si="4"/>
        <v>0.70988888888888879</v>
      </c>
      <c r="K37" s="9">
        <f t="shared" si="5"/>
        <v>0.7198888888888888</v>
      </c>
      <c r="L37" s="7">
        <f t="shared" si="6"/>
        <v>2.3440988026788467E-2</v>
      </c>
      <c r="M37" s="7">
        <f t="shared" si="7"/>
        <v>1.6280991951050983</v>
      </c>
      <c r="N37" s="7">
        <f t="shared" si="8"/>
        <v>0.11999068309212292</v>
      </c>
      <c r="O37" s="7">
        <f t="shared" si="9"/>
        <v>282.89881637027401</v>
      </c>
      <c r="P37" s="7">
        <f t="shared" si="10"/>
        <v>47.153418737459496</v>
      </c>
      <c r="Q37" s="233"/>
    </row>
    <row r="38" spans="1:17" x14ac:dyDescent="0.25">
      <c r="A38" s="29" t="s">
        <v>61</v>
      </c>
      <c r="B38" s="143">
        <f>B13/B12</f>
        <v>867.098421946705</v>
      </c>
      <c r="C38" s="114" t="s">
        <v>62</v>
      </c>
      <c r="D38" s="233"/>
      <c r="E38" s="41">
        <f t="shared" si="1"/>
        <v>35</v>
      </c>
      <c r="F38" s="7">
        <f>IF((E38&lt;='Alternative 2'!$B$12),F37+1,"x")</f>
        <v>35</v>
      </c>
      <c r="G38" s="129">
        <f>IF(E38&lt;='Alternative 2'!$B$12,G37+1,0)</f>
        <v>34.5</v>
      </c>
      <c r="H38" s="39">
        <f t="shared" si="2"/>
        <v>1.4498333333333333</v>
      </c>
      <c r="I38" s="43">
        <f t="shared" si="3"/>
        <v>0.7199444444444445</v>
      </c>
      <c r="J38" s="38">
        <f t="shared" si="4"/>
        <v>0.69994444444444448</v>
      </c>
      <c r="K38" s="9">
        <f t="shared" si="5"/>
        <v>0.70994444444444449</v>
      </c>
      <c r="L38" s="7">
        <f t="shared" si="6"/>
        <v>2.2482913864453471E-2</v>
      </c>
      <c r="M38" s="7">
        <f t="shared" si="7"/>
        <v>1.5834292042151636</v>
      </c>
      <c r="N38" s="7">
        <f t="shared" si="8"/>
        <v>0.11915903377398739</v>
      </c>
      <c r="O38" s="7">
        <f t="shared" si="9"/>
        <v>293.25188367496958</v>
      </c>
      <c r="P38" s="7">
        <f t="shared" si="10"/>
        <v>49.220205023867287</v>
      </c>
      <c r="Q38" s="233"/>
    </row>
    <row r="39" spans="1:17" x14ac:dyDescent="0.25">
      <c r="A39" s="29" t="s">
        <v>61</v>
      </c>
      <c r="B39" s="143">
        <f>B14/B12</f>
        <v>8503.3307395836546</v>
      </c>
      <c r="C39" s="114" t="s">
        <v>152</v>
      </c>
      <c r="D39" s="233"/>
      <c r="E39" s="41">
        <f t="shared" si="1"/>
        <v>36</v>
      </c>
      <c r="F39" s="7">
        <f>IF((E39&lt;='Alternative 2'!$B$12),F38+1,"x")</f>
        <v>36</v>
      </c>
      <c r="G39" s="129">
        <f>IF(E39&lt;='Alternative 2'!$B$12,G38+1,0)</f>
        <v>35.5</v>
      </c>
      <c r="H39" s="39">
        <f t="shared" si="2"/>
        <v>1.4299444444444442</v>
      </c>
      <c r="I39" s="43">
        <f t="shared" si="3"/>
        <v>0.71</v>
      </c>
      <c r="J39" s="38">
        <f t="shared" si="4"/>
        <v>0.69</v>
      </c>
      <c r="K39" s="9">
        <f t="shared" si="5"/>
        <v>0.7</v>
      </c>
      <c r="L39" s="7">
        <f t="shared" si="6"/>
        <v>2.1551307399999994E-2</v>
      </c>
      <c r="M39" s="7">
        <f t="shared" si="7"/>
        <v>1.5393805699999998</v>
      </c>
      <c r="N39" s="7">
        <f t="shared" si="8"/>
        <v>0.11832153916758457</v>
      </c>
      <c r="O39" s="7">
        <f t="shared" si="9"/>
        <v>303.76548727187867</v>
      </c>
      <c r="P39" s="7">
        <f t="shared" si="10"/>
        <v>51.345714285714301</v>
      </c>
      <c r="Q39" s="233"/>
    </row>
    <row r="40" spans="1:17" x14ac:dyDescent="0.25">
      <c r="A40" s="29" t="s">
        <v>64</v>
      </c>
      <c r="B40" s="57">
        <v>1.1000000000000001</v>
      </c>
      <c r="C40" s="113" t="s">
        <v>43</v>
      </c>
      <c r="D40" s="233"/>
      <c r="E40" s="41">
        <f t="shared" si="1"/>
        <v>37</v>
      </c>
      <c r="F40" s="7" t="str">
        <f>IF((E40&lt;='Alternative 2'!$B$12),F39+1,"x")</f>
        <v>x</v>
      </c>
      <c r="G40" s="129">
        <f>IF(E40&lt;='Alternative 2'!$B$12,G39+1,0)</f>
        <v>0</v>
      </c>
      <c r="H40" s="39">
        <f t="shared" si="2"/>
        <v>2.1360000000000001</v>
      </c>
      <c r="I40" s="43" t="e">
        <f t="shared" si="3"/>
        <v>#VALUE!</v>
      </c>
      <c r="J40" s="38" t="e">
        <f t="shared" si="4"/>
        <v>#VALUE!</v>
      </c>
      <c r="K40" s="9" t="e">
        <f t="shared" si="5"/>
        <v>#VALUE!</v>
      </c>
      <c r="L40" s="7" t="e">
        <f t="shared" si="6"/>
        <v>#VALUE!</v>
      </c>
      <c r="M40" s="7" t="e">
        <f t="shared" si="7"/>
        <v>#VALUE!</v>
      </c>
      <c r="N40" s="7" t="e">
        <f t="shared" si="8"/>
        <v>#VALUE!</v>
      </c>
      <c r="O40" s="7" t="e">
        <f t="shared" si="9"/>
        <v>#VALUE!</v>
      </c>
      <c r="P40" s="7" t="e">
        <f t="shared" si="10"/>
        <v>#VALUE!</v>
      </c>
      <c r="Q40" s="233"/>
    </row>
    <row r="41" spans="1:17" ht="30" x14ac:dyDescent="0.25">
      <c r="A41" s="34" t="s">
        <v>93</v>
      </c>
      <c r="B41" s="142">
        <f>'Dynamic Loading'!Q3</f>
        <v>19615.019341482042</v>
      </c>
      <c r="C41" s="115" t="s">
        <v>28</v>
      </c>
      <c r="D41" s="233"/>
      <c r="E41" s="41">
        <f t="shared" si="1"/>
        <v>38</v>
      </c>
      <c r="F41" s="7" t="str">
        <f>IF((E41&lt;='Alternative 2'!$B$12),F40+1,"x")</f>
        <v>x</v>
      </c>
      <c r="G41" s="129">
        <f>IF(E41&lt;='Alternative 2'!$B$12,G40+1,0)</f>
        <v>0</v>
      </c>
      <c r="H41" s="39">
        <f t="shared" si="2"/>
        <v>2.1360000000000001</v>
      </c>
      <c r="I41" s="43" t="e">
        <f t="shared" si="3"/>
        <v>#VALUE!</v>
      </c>
      <c r="J41" s="38" t="e">
        <f t="shared" si="4"/>
        <v>#VALUE!</v>
      </c>
      <c r="K41" s="9" t="e">
        <f t="shared" si="5"/>
        <v>#VALUE!</v>
      </c>
      <c r="L41" s="7" t="e">
        <f t="shared" si="6"/>
        <v>#VALUE!</v>
      </c>
      <c r="M41" s="7" t="e">
        <f t="shared" si="7"/>
        <v>#VALUE!</v>
      </c>
      <c r="N41" s="7" t="e">
        <f t="shared" si="8"/>
        <v>#VALUE!</v>
      </c>
      <c r="O41" s="7" t="e">
        <f t="shared" si="9"/>
        <v>#VALUE!</v>
      </c>
      <c r="P41" s="7" t="e">
        <f t="shared" si="10"/>
        <v>#VALUE!</v>
      </c>
      <c r="Q41" s="233"/>
    </row>
    <row r="42" spans="1:17" x14ac:dyDescent="0.25">
      <c r="A42" s="29" t="s">
        <v>65</v>
      </c>
      <c r="B42" s="47">
        <v>13.4</v>
      </c>
      <c r="C42" s="115" t="s">
        <v>20</v>
      </c>
      <c r="D42" s="233"/>
      <c r="E42" s="41">
        <f t="shared" si="1"/>
        <v>39</v>
      </c>
      <c r="F42" s="7" t="str">
        <f>IF((E42&lt;='Alternative 2'!$B$12),F41+1,"x")</f>
        <v>x</v>
      </c>
      <c r="G42" s="129">
        <f>IF(E42&lt;='Alternative 2'!$B$12,G41+1,0)</f>
        <v>0</v>
      </c>
      <c r="H42" s="39">
        <f t="shared" si="2"/>
        <v>2.1360000000000001</v>
      </c>
      <c r="I42" s="43" t="e">
        <f t="shared" si="3"/>
        <v>#VALUE!</v>
      </c>
      <c r="J42" s="38" t="e">
        <f t="shared" si="4"/>
        <v>#VALUE!</v>
      </c>
      <c r="K42" s="9" t="e">
        <f t="shared" si="5"/>
        <v>#VALUE!</v>
      </c>
      <c r="L42" s="7" t="e">
        <f t="shared" si="6"/>
        <v>#VALUE!</v>
      </c>
      <c r="M42" s="7" t="e">
        <f t="shared" si="7"/>
        <v>#VALUE!</v>
      </c>
      <c r="N42" s="7" t="e">
        <f t="shared" si="8"/>
        <v>#VALUE!</v>
      </c>
      <c r="O42" s="7" t="e">
        <f t="shared" si="9"/>
        <v>#VALUE!</v>
      </c>
      <c r="P42" s="7" t="e">
        <f t="shared" si="10"/>
        <v>#VALUE!</v>
      </c>
      <c r="Q42" s="233"/>
    </row>
    <row r="43" spans="1:17" x14ac:dyDescent="0.25">
      <c r="A43" s="29" t="s">
        <v>66</v>
      </c>
      <c r="B43" s="47">
        <v>12</v>
      </c>
      <c r="C43" s="115" t="s">
        <v>20</v>
      </c>
      <c r="D43" s="233"/>
      <c r="E43" s="41">
        <f t="shared" si="1"/>
        <v>40</v>
      </c>
      <c r="F43" s="7" t="str">
        <f>IF((E43&lt;='Alternative 2'!$B$12),F42+1,"x")</f>
        <v>x</v>
      </c>
      <c r="G43" s="129">
        <f>IF(E43&lt;='Alternative 2'!$B$12,G42+1,0)</f>
        <v>0</v>
      </c>
      <c r="H43" s="39">
        <f t="shared" si="2"/>
        <v>2.1360000000000001</v>
      </c>
      <c r="I43" s="43" t="e">
        <f t="shared" si="3"/>
        <v>#VALUE!</v>
      </c>
      <c r="J43" s="38" t="e">
        <f t="shared" si="4"/>
        <v>#VALUE!</v>
      </c>
      <c r="K43" s="9" t="e">
        <f t="shared" si="5"/>
        <v>#VALUE!</v>
      </c>
      <c r="L43" s="7" t="e">
        <f t="shared" si="6"/>
        <v>#VALUE!</v>
      </c>
      <c r="M43" s="7" t="e">
        <f t="shared" si="7"/>
        <v>#VALUE!</v>
      </c>
      <c r="N43" s="7" t="e">
        <f t="shared" si="8"/>
        <v>#VALUE!</v>
      </c>
      <c r="O43" s="7" t="e">
        <f t="shared" si="9"/>
        <v>#VALUE!</v>
      </c>
      <c r="P43" s="7" t="e">
        <f t="shared" si="10"/>
        <v>#VALUE!</v>
      </c>
      <c r="Q43" s="233"/>
    </row>
    <row r="44" spans="1:17" x14ac:dyDescent="0.25">
      <c r="A44" s="29" t="s">
        <v>67</v>
      </c>
      <c r="B44" s="47">
        <v>7.5</v>
      </c>
      <c r="C44" s="115" t="s">
        <v>20</v>
      </c>
      <c r="D44" s="233"/>
      <c r="E44" s="41">
        <f t="shared" si="1"/>
        <v>41</v>
      </c>
      <c r="F44" s="7" t="str">
        <f>IF((E44&lt;='Alternative 2'!$B$12),F43+1,"x")</f>
        <v>x</v>
      </c>
      <c r="G44" s="129">
        <f>IF(E44&lt;='Alternative 2'!$B$12,G43+1,0)</f>
        <v>0</v>
      </c>
      <c r="H44" s="39">
        <f t="shared" si="2"/>
        <v>2.1360000000000001</v>
      </c>
      <c r="I44" s="43" t="e">
        <f t="shared" si="3"/>
        <v>#VALUE!</v>
      </c>
      <c r="J44" s="38" t="e">
        <f t="shared" si="4"/>
        <v>#VALUE!</v>
      </c>
      <c r="K44" s="9" t="e">
        <f t="shared" si="5"/>
        <v>#VALUE!</v>
      </c>
      <c r="L44" s="7" t="e">
        <f t="shared" si="6"/>
        <v>#VALUE!</v>
      </c>
      <c r="M44" s="7" t="e">
        <f t="shared" si="7"/>
        <v>#VALUE!</v>
      </c>
      <c r="N44" s="7" t="e">
        <f t="shared" si="8"/>
        <v>#VALUE!</v>
      </c>
      <c r="O44" s="7" t="e">
        <f t="shared" si="9"/>
        <v>#VALUE!</v>
      </c>
      <c r="P44" s="7" t="e">
        <f t="shared" si="10"/>
        <v>#VALUE!</v>
      </c>
      <c r="Q44" s="233"/>
    </row>
    <row r="45" spans="1:17" x14ac:dyDescent="0.25">
      <c r="A45" s="29" t="s">
        <v>68</v>
      </c>
      <c r="B45" s="47">
        <v>3</v>
      </c>
      <c r="C45" s="115" t="s">
        <v>20</v>
      </c>
      <c r="D45" s="233"/>
      <c r="E45" s="41">
        <f t="shared" si="1"/>
        <v>42</v>
      </c>
      <c r="F45" s="7" t="str">
        <f>IF((E45&lt;='Alternative 2'!$B$12),F44+1,"x")</f>
        <v>x</v>
      </c>
      <c r="G45" s="129">
        <f>IF(E45&lt;='Alternative 2'!$B$12,G44+1,0)</f>
        <v>0</v>
      </c>
      <c r="H45" s="39">
        <f t="shared" si="2"/>
        <v>2.1360000000000001</v>
      </c>
      <c r="I45" s="43" t="e">
        <f t="shared" si="3"/>
        <v>#VALUE!</v>
      </c>
      <c r="J45" s="38" t="e">
        <f t="shared" si="4"/>
        <v>#VALUE!</v>
      </c>
      <c r="K45" s="9" t="e">
        <f t="shared" si="5"/>
        <v>#VALUE!</v>
      </c>
      <c r="L45" s="7" t="e">
        <f t="shared" si="6"/>
        <v>#VALUE!</v>
      </c>
      <c r="M45" s="7" t="e">
        <f t="shared" si="7"/>
        <v>#VALUE!</v>
      </c>
      <c r="N45" s="7" t="e">
        <f t="shared" si="8"/>
        <v>#VALUE!</v>
      </c>
      <c r="O45" s="7" t="e">
        <f t="shared" si="9"/>
        <v>#VALUE!</v>
      </c>
      <c r="P45" s="7" t="e">
        <f t="shared" si="10"/>
        <v>#VALUE!</v>
      </c>
      <c r="Q45" s="233"/>
    </row>
    <row r="46" spans="1:17" x14ac:dyDescent="0.25">
      <c r="A46" s="29" t="s">
        <v>69</v>
      </c>
      <c r="B46" s="57">
        <v>4.2</v>
      </c>
      <c r="C46" s="113" t="s">
        <v>43</v>
      </c>
      <c r="D46" s="233"/>
      <c r="E46" s="41">
        <f t="shared" si="1"/>
        <v>43</v>
      </c>
      <c r="F46" s="7" t="str">
        <f>IF((E46&lt;='Alternative 2'!$B$12),F45+1,"x")</f>
        <v>x</v>
      </c>
      <c r="G46" s="129">
        <f>IF(E46&lt;='Alternative 2'!$B$12,G45+1,0)</f>
        <v>0</v>
      </c>
      <c r="H46" s="39">
        <f t="shared" si="2"/>
        <v>2.1360000000000001</v>
      </c>
      <c r="I46" s="43" t="e">
        <f t="shared" si="3"/>
        <v>#VALUE!</v>
      </c>
      <c r="J46" s="38" t="e">
        <f t="shared" si="4"/>
        <v>#VALUE!</v>
      </c>
      <c r="K46" s="9" t="e">
        <f t="shared" si="5"/>
        <v>#VALUE!</v>
      </c>
      <c r="L46" s="7" t="e">
        <f t="shared" si="6"/>
        <v>#VALUE!</v>
      </c>
      <c r="M46" s="7" t="e">
        <f t="shared" si="7"/>
        <v>#VALUE!</v>
      </c>
      <c r="N46" s="7" t="e">
        <f t="shared" si="8"/>
        <v>#VALUE!</v>
      </c>
      <c r="O46" s="7" t="e">
        <f t="shared" si="9"/>
        <v>#VALUE!</v>
      </c>
      <c r="P46" s="7" t="e">
        <f t="shared" si="10"/>
        <v>#VALUE!</v>
      </c>
      <c r="Q46" s="233"/>
    </row>
    <row r="47" spans="1:17" ht="18" x14ac:dyDescent="0.35">
      <c r="A47" s="29" t="s">
        <v>70</v>
      </c>
      <c r="B47" s="57">
        <v>0.56000000000000005</v>
      </c>
      <c r="C47" s="113" t="s">
        <v>43</v>
      </c>
      <c r="D47" s="233"/>
      <c r="E47" s="41">
        <f t="shared" si="1"/>
        <v>44</v>
      </c>
      <c r="F47" s="7" t="str">
        <f>IF((E47&lt;='Alternative 2'!$B$12),F46+1,"x")</f>
        <v>x</v>
      </c>
      <c r="G47" s="129">
        <f>IF(E47&lt;='Alternative 2'!$B$12,G46+1,0)</f>
        <v>0</v>
      </c>
      <c r="H47" s="39">
        <f t="shared" si="2"/>
        <v>2.1360000000000001</v>
      </c>
      <c r="I47" s="43" t="e">
        <f t="shared" si="3"/>
        <v>#VALUE!</v>
      </c>
      <c r="J47" s="38" t="e">
        <f t="shared" si="4"/>
        <v>#VALUE!</v>
      </c>
      <c r="K47" s="9" t="e">
        <f t="shared" si="5"/>
        <v>#VALUE!</v>
      </c>
      <c r="L47" s="7" t="e">
        <f t="shared" si="6"/>
        <v>#VALUE!</v>
      </c>
      <c r="M47" s="7" t="e">
        <f t="shared" si="7"/>
        <v>#VALUE!</v>
      </c>
      <c r="N47" s="7" t="e">
        <f t="shared" si="8"/>
        <v>#VALUE!</v>
      </c>
      <c r="O47" s="7" t="e">
        <f t="shared" si="9"/>
        <v>#VALUE!</v>
      </c>
      <c r="P47" s="7" t="e">
        <f t="shared" si="10"/>
        <v>#VALUE!</v>
      </c>
      <c r="Q47" s="233"/>
    </row>
    <row r="48" spans="1:17" x14ac:dyDescent="0.25">
      <c r="A48" s="29" t="s">
        <v>71</v>
      </c>
      <c r="B48" s="57">
        <v>1.2250000000000001</v>
      </c>
      <c r="C48" s="115" t="s">
        <v>72</v>
      </c>
      <c r="D48" s="233"/>
      <c r="E48" s="41">
        <f t="shared" si="1"/>
        <v>45</v>
      </c>
      <c r="F48" s="7" t="str">
        <f>IF((E48&lt;='Alternative 2'!$B$12),F47+1,"x")</f>
        <v>x</v>
      </c>
      <c r="G48" s="129">
        <f>IF(E48&lt;='Alternative 2'!$B$12,G47+1,0)</f>
        <v>0</v>
      </c>
      <c r="H48" s="39">
        <f t="shared" si="2"/>
        <v>2.1360000000000001</v>
      </c>
      <c r="I48" s="43" t="e">
        <f t="shared" si="3"/>
        <v>#VALUE!</v>
      </c>
      <c r="J48" s="38" t="e">
        <f t="shared" si="4"/>
        <v>#VALUE!</v>
      </c>
      <c r="K48" s="9" t="e">
        <f t="shared" si="5"/>
        <v>#VALUE!</v>
      </c>
      <c r="L48" s="7" t="e">
        <f t="shared" si="6"/>
        <v>#VALUE!</v>
      </c>
      <c r="M48" s="7" t="e">
        <f t="shared" si="7"/>
        <v>#VALUE!</v>
      </c>
      <c r="N48" s="7" t="e">
        <f t="shared" si="8"/>
        <v>#VALUE!</v>
      </c>
      <c r="O48" s="7" t="e">
        <f t="shared" si="9"/>
        <v>#VALUE!</v>
      </c>
      <c r="P48" s="7" t="e">
        <f t="shared" si="10"/>
        <v>#VALUE!</v>
      </c>
      <c r="Q48" s="233"/>
    </row>
    <row r="49" spans="1:17" x14ac:dyDescent="0.25">
      <c r="A49" s="50" t="s">
        <v>73</v>
      </c>
      <c r="B49" s="144">
        <f>PI()*(B9/2)^2</f>
        <v>289.52917895483534</v>
      </c>
      <c r="C49" s="116" t="s">
        <v>74</v>
      </c>
      <c r="D49" s="233"/>
      <c r="E49" s="41">
        <f t="shared" si="1"/>
        <v>46</v>
      </c>
      <c r="F49" s="7" t="str">
        <f>IF((E49&lt;='Alternative 2'!$B$12),F48+1,"x")</f>
        <v>x</v>
      </c>
      <c r="G49" s="129">
        <f>IF(E49&lt;='Alternative 2'!$B$12,G48+1,0)</f>
        <v>0</v>
      </c>
      <c r="H49" s="39">
        <f t="shared" si="2"/>
        <v>2.1360000000000001</v>
      </c>
      <c r="I49" s="43" t="e">
        <f t="shared" si="3"/>
        <v>#VALUE!</v>
      </c>
      <c r="J49" s="38" t="e">
        <f t="shared" si="4"/>
        <v>#VALUE!</v>
      </c>
      <c r="K49" s="9" t="e">
        <f t="shared" si="5"/>
        <v>#VALUE!</v>
      </c>
      <c r="L49" s="7" t="e">
        <f t="shared" si="6"/>
        <v>#VALUE!</v>
      </c>
      <c r="M49" s="7" t="e">
        <f t="shared" si="7"/>
        <v>#VALUE!</v>
      </c>
      <c r="N49" s="7" t="e">
        <f t="shared" si="8"/>
        <v>#VALUE!</v>
      </c>
      <c r="O49" s="7" t="e">
        <f t="shared" si="9"/>
        <v>#VALUE!</v>
      </c>
      <c r="P49" s="7" t="e">
        <f t="shared" si="10"/>
        <v>#VALUE!</v>
      </c>
      <c r="Q49" s="233"/>
    </row>
    <row r="50" spans="1:17" x14ac:dyDescent="0.25">
      <c r="A50" s="51"/>
      <c r="B50" s="52"/>
      <c r="C50" s="52"/>
      <c r="D50" s="233"/>
      <c r="E50" s="41">
        <f t="shared" si="1"/>
        <v>47</v>
      </c>
      <c r="F50" s="7" t="str">
        <f>IF((E50&lt;='Alternative 2'!$B$12),F49+1,"x")</f>
        <v>x</v>
      </c>
      <c r="G50" s="129">
        <f>IF(E50&lt;='Alternative 2'!$B$12,G49+1,0)</f>
        <v>0</v>
      </c>
      <c r="H50" s="39">
        <f t="shared" si="2"/>
        <v>2.1360000000000001</v>
      </c>
      <c r="I50" s="43" t="e">
        <f t="shared" si="3"/>
        <v>#VALUE!</v>
      </c>
      <c r="J50" s="38" t="e">
        <f t="shared" si="4"/>
        <v>#VALUE!</v>
      </c>
      <c r="K50" s="9" t="e">
        <f t="shared" si="5"/>
        <v>#VALUE!</v>
      </c>
      <c r="L50" s="7" t="e">
        <f t="shared" si="6"/>
        <v>#VALUE!</v>
      </c>
      <c r="M50" s="7" t="e">
        <f t="shared" si="7"/>
        <v>#VALUE!</v>
      </c>
      <c r="N50" s="7" t="e">
        <f t="shared" si="8"/>
        <v>#VALUE!</v>
      </c>
      <c r="O50" s="7" t="e">
        <f t="shared" si="9"/>
        <v>#VALUE!</v>
      </c>
      <c r="P50" s="7" t="e">
        <f t="shared" si="10"/>
        <v>#VALUE!</v>
      </c>
      <c r="Q50" s="233"/>
    </row>
    <row r="51" spans="1:17" x14ac:dyDescent="0.25">
      <c r="A51" s="10"/>
      <c r="B51" s="10"/>
      <c r="C51" s="10"/>
      <c r="D51" s="233"/>
      <c r="E51" s="41">
        <f t="shared" si="1"/>
        <v>48</v>
      </c>
      <c r="F51" s="7" t="str">
        <f>IF((E51&lt;='Alternative 2'!$B$12),F50+1,"x")</f>
        <v>x</v>
      </c>
      <c r="G51" s="129">
        <f>IF(E51&lt;='Alternative 2'!$B$12,G50+1,0)</f>
        <v>0</v>
      </c>
      <c r="H51" s="39">
        <f t="shared" si="2"/>
        <v>2.1360000000000001</v>
      </c>
      <c r="I51" s="43" t="e">
        <f t="shared" si="3"/>
        <v>#VALUE!</v>
      </c>
      <c r="J51" s="38" t="e">
        <f t="shared" si="4"/>
        <v>#VALUE!</v>
      </c>
      <c r="K51" s="9" t="e">
        <f t="shared" si="5"/>
        <v>#VALUE!</v>
      </c>
      <c r="L51" s="7" t="e">
        <f t="shared" si="6"/>
        <v>#VALUE!</v>
      </c>
      <c r="M51" s="7" t="e">
        <f t="shared" si="7"/>
        <v>#VALUE!</v>
      </c>
      <c r="N51" s="7" t="e">
        <f t="shared" si="8"/>
        <v>#VALUE!</v>
      </c>
      <c r="O51" s="7" t="e">
        <f t="shared" si="9"/>
        <v>#VALUE!</v>
      </c>
      <c r="P51" s="7" t="e">
        <f t="shared" si="10"/>
        <v>#VALUE!</v>
      </c>
      <c r="Q51" s="233"/>
    </row>
    <row r="52" spans="1:17" x14ac:dyDescent="0.25">
      <c r="A52" s="10"/>
      <c r="B52" s="10"/>
      <c r="C52" s="10"/>
      <c r="D52" s="233"/>
      <c r="E52" s="41">
        <f t="shared" si="1"/>
        <v>49</v>
      </c>
      <c r="F52" s="7" t="str">
        <f>IF((E52&lt;='Alternative 2'!$B$12),F51+1,"x")</f>
        <v>x</v>
      </c>
      <c r="G52" s="129">
        <f>IF(E52&lt;='Alternative 2'!$B$12,G51+1,0)</f>
        <v>0</v>
      </c>
      <c r="H52" s="39">
        <f t="shared" si="2"/>
        <v>2.1360000000000001</v>
      </c>
      <c r="I52" s="43" t="e">
        <f t="shared" si="3"/>
        <v>#VALUE!</v>
      </c>
      <c r="J52" s="38" t="e">
        <f t="shared" si="4"/>
        <v>#VALUE!</v>
      </c>
      <c r="K52" s="9" t="e">
        <f t="shared" si="5"/>
        <v>#VALUE!</v>
      </c>
      <c r="L52" s="7" t="e">
        <f t="shared" si="6"/>
        <v>#VALUE!</v>
      </c>
      <c r="M52" s="7" t="e">
        <f t="shared" si="7"/>
        <v>#VALUE!</v>
      </c>
      <c r="N52" s="7" t="e">
        <f t="shared" si="8"/>
        <v>#VALUE!</v>
      </c>
      <c r="O52" s="7" t="e">
        <f t="shared" si="9"/>
        <v>#VALUE!</v>
      </c>
      <c r="P52" s="7" t="e">
        <f t="shared" si="10"/>
        <v>#VALUE!</v>
      </c>
      <c r="Q52" s="233"/>
    </row>
    <row r="53" spans="1:17" x14ac:dyDescent="0.25">
      <c r="A53" s="10"/>
      <c r="B53" s="10"/>
      <c r="C53" s="10"/>
      <c r="D53" s="233"/>
      <c r="E53" s="41">
        <f t="shared" si="1"/>
        <v>50</v>
      </c>
      <c r="F53" s="7" t="str">
        <f>IF((E53&lt;='Alternative 2'!$B$12),F52+1,"x")</f>
        <v>x</v>
      </c>
      <c r="G53" s="129">
        <f>IF(E53&lt;='Alternative 2'!$B$12,G52+1,0)</f>
        <v>0</v>
      </c>
      <c r="H53" s="39">
        <f t="shared" si="2"/>
        <v>2.1360000000000001</v>
      </c>
      <c r="I53" s="43" t="e">
        <f t="shared" si="3"/>
        <v>#VALUE!</v>
      </c>
      <c r="J53" s="38" t="e">
        <f t="shared" si="4"/>
        <v>#VALUE!</v>
      </c>
      <c r="K53" s="9" t="e">
        <f t="shared" si="5"/>
        <v>#VALUE!</v>
      </c>
      <c r="L53" s="7" t="e">
        <f t="shared" si="6"/>
        <v>#VALUE!</v>
      </c>
      <c r="M53" s="7" t="e">
        <f t="shared" si="7"/>
        <v>#VALUE!</v>
      </c>
      <c r="N53" s="7" t="e">
        <f t="shared" si="8"/>
        <v>#VALUE!</v>
      </c>
      <c r="O53" s="7" t="e">
        <f t="shared" si="9"/>
        <v>#VALUE!</v>
      </c>
      <c r="P53" s="7" t="e">
        <f t="shared" si="10"/>
        <v>#VALUE!</v>
      </c>
      <c r="Q53" s="233"/>
    </row>
    <row r="54" spans="1:17" x14ac:dyDescent="0.25">
      <c r="A54" s="10"/>
      <c r="B54" s="10"/>
      <c r="C54" s="10"/>
      <c r="D54" s="233"/>
      <c r="E54" s="41">
        <f t="shared" si="1"/>
        <v>51</v>
      </c>
      <c r="F54" s="7" t="str">
        <f>IF((E54&lt;='Alternative 2'!$B$12),F53+1,"x")</f>
        <v>x</v>
      </c>
      <c r="G54" s="129">
        <f>IF(E54&lt;='Alternative 2'!$B$12,G53+1,0)</f>
        <v>0</v>
      </c>
      <c r="H54" s="39">
        <f t="shared" si="2"/>
        <v>2.1360000000000001</v>
      </c>
      <c r="I54" s="43" t="e">
        <f t="shared" si="3"/>
        <v>#VALUE!</v>
      </c>
      <c r="J54" s="38" t="e">
        <f t="shared" si="4"/>
        <v>#VALUE!</v>
      </c>
      <c r="K54" s="9" t="e">
        <f t="shared" si="5"/>
        <v>#VALUE!</v>
      </c>
      <c r="L54" s="7" t="e">
        <f t="shared" si="6"/>
        <v>#VALUE!</v>
      </c>
      <c r="M54" s="7" t="e">
        <f t="shared" si="7"/>
        <v>#VALUE!</v>
      </c>
      <c r="N54" s="7" t="e">
        <f t="shared" si="8"/>
        <v>#VALUE!</v>
      </c>
      <c r="O54" s="7" t="e">
        <f t="shared" si="9"/>
        <v>#VALUE!</v>
      </c>
      <c r="P54" s="7" t="e">
        <f t="shared" si="10"/>
        <v>#VALUE!</v>
      </c>
      <c r="Q54" s="233"/>
    </row>
    <row r="55" spans="1:17" x14ac:dyDescent="0.25">
      <c r="A55" s="10"/>
      <c r="B55" s="10"/>
      <c r="C55" s="10"/>
      <c r="D55" s="233"/>
      <c r="E55" s="41">
        <f t="shared" si="1"/>
        <v>52</v>
      </c>
      <c r="F55" s="7" t="str">
        <f>IF((E55&lt;='Alternative 2'!$B$12),F54+1,"x")</f>
        <v>x</v>
      </c>
      <c r="G55" s="129">
        <f>IF(E55&lt;='Alternative 2'!$B$12,G54+1,0)</f>
        <v>0</v>
      </c>
      <c r="H55" s="39">
        <f t="shared" si="2"/>
        <v>2.1360000000000001</v>
      </c>
      <c r="I55" s="43" t="e">
        <f t="shared" si="3"/>
        <v>#VALUE!</v>
      </c>
      <c r="J55" s="38" t="e">
        <f t="shared" si="4"/>
        <v>#VALUE!</v>
      </c>
      <c r="K55" s="9" t="e">
        <f t="shared" si="5"/>
        <v>#VALUE!</v>
      </c>
      <c r="L55" s="7" t="e">
        <f t="shared" si="6"/>
        <v>#VALUE!</v>
      </c>
      <c r="M55" s="7" t="e">
        <f t="shared" si="7"/>
        <v>#VALUE!</v>
      </c>
      <c r="N55" s="7" t="e">
        <f t="shared" si="8"/>
        <v>#VALUE!</v>
      </c>
      <c r="O55" s="7" t="e">
        <f t="shared" si="9"/>
        <v>#VALUE!</v>
      </c>
      <c r="P55" s="7" t="e">
        <f t="shared" si="10"/>
        <v>#VALUE!</v>
      </c>
      <c r="Q55" s="233"/>
    </row>
    <row r="56" spans="1:17" x14ac:dyDescent="0.25">
      <c r="A56" s="10"/>
      <c r="B56" s="10"/>
      <c r="C56" s="10"/>
      <c r="D56" s="233"/>
      <c r="E56" s="41">
        <f t="shared" si="1"/>
        <v>53</v>
      </c>
      <c r="F56" s="7" t="str">
        <f>IF((E56&lt;='Alternative 2'!$B$12),F55+1,"x")</f>
        <v>x</v>
      </c>
      <c r="G56" s="129">
        <f>IF(E56&lt;='Alternative 2'!$B$12,G55+1,0)</f>
        <v>0</v>
      </c>
      <c r="H56" s="39">
        <f t="shared" si="2"/>
        <v>2.1360000000000001</v>
      </c>
      <c r="I56" s="43" t="e">
        <f t="shared" si="3"/>
        <v>#VALUE!</v>
      </c>
      <c r="J56" s="38" t="e">
        <f t="shared" si="4"/>
        <v>#VALUE!</v>
      </c>
      <c r="K56" s="9" t="e">
        <f t="shared" si="5"/>
        <v>#VALUE!</v>
      </c>
      <c r="L56" s="7" t="e">
        <f t="shared" si="6"/>
        <v>#VALUE!</v>
      </c>
      <c r="M56" s="7" t="e">
        <f t="shared" si="7"/>
        <v>#VALUE!</v>
      </c>
      <c r="N56" s="7" t="e">
        <f t="shared" si="8"/>
        <v>#VALUE!</v>
      </c>
      <c r="O56" s="7" t="e">
        <f t="shared" si="9"/>
        <v>#VALUE!</v>
      </c>
      <c r="P56" s="7" t="e">
        <f t="shared" si="10"/>
        <v>#VALUE!</v>
      </c>
      <c r="Q56" s="233"/>
    </row>
    <row r="57" spans="1:17" x14ac:dyDescent="0.25">
      <c r="A57" s="10"/>
      <c r="B57" s="10"/>
      <c r="C57" s="10"/>
      <c r="D57" s="233"/>
      <c r="E57" s="41">
        <f t="shared" si="1"/>
        <v>54</v>
      </c>
      <c r="F57" s="7" t="str">
        <f>IF((E57&lt;='Alternative 2'!$B$12),F56+1,"x")</f>
        <v>x</v>
      </c>
      <c r="G57" s="129">
        <f>IF(E57&lt;='Alternative 2'!$B$12,G56+1,0)</f>
        <v>0</v>
      </c>
      <c r="H57" s="39">
        <f t="shared" si="2"/>
        <v>2.1360000000000001</v>
      </c>
      <c r="I57" s="43" t="e">
        <f t="shared" si="3"/>
        <v>#VALUE!</v>
      </c>
      <c r="J57" s="38" t="e">
        <f t="shared" si="4"/>
        <v>#VALUE!</v>
      </c>
      <c r="K57" s="9" t="e">
        <f t="shared" si="5"/>
        <v>#VALUE!</v>
      </c>
      <c r="L57" s="7" t="e">
        <f t="shared" si="6"/>
        <v>#VALUE!</v>
      </c>
      <c r="M57" s="7" t="e">
        <f t="shared" si="7"/>
        <v>#VALUE!</v>
      </c>
      <c r="N57" s="7" t="e">
        <f t="shared" si="8"/>
        <v>#VALUE!</v>
      </c>
      <c r="O57" s="7" t="e">
        <f t="shared" si="9"/>
        <v>#VALUE!</v>
      </c>
      <c r="P57" s="7" t="e">
        <f t="shared" si="10"/>
        <v>#VALUE!</v>
      </c>
      <c r="Q57" s="233"/>
    </row>
    <row r="58" spans="1:17" x14ac:dyDescent="0.25">
      <c r="A58" s="10"/>
      <c r="B58" s="10"/>
      <c r="C58" s="10"/>
      <c r="D58" s="233"/>
      <c r="E58" s="41">
        <f t="shared" si="1"/>
        <v>55</v>
      </c>
      <c r="F58" s="7" t="str">
        <f>IF((E58&lt;='Alternative 2'!$B$12),F57+1,"x")</f>
        <v>x</v>
      </c>
      <c r="G58" s="129">
        <f>IF(E58&lt;='Alternative 2'!$B$12,G57+1,0)</f>
        <v>0</v>
      </c>
      <c r="H58" s="39">
        <f t="shared" si="2"/>
        <v>2.1360000000000001</v>
      </c>
      <c r="I58" s="43" t="e">
        <f t="shared" si="3"/>
        <v>#VALUE!</v>
      </c>
      <c r="J58" s="38" t="e">
        <f t="shared" si="4"/>
        <v>#VALUE!</v>
      </c>
      <c r="K58" s="9" t="e">
        <f t="shared" si="5"/>
        <v>#VALUE!</v>
      </c>
      <c r="L58" s="7" t="e">
        <f t="shared" si="6"/>
        <v>#VALUE!</v>
      </c>
      <c r="M58" s="7" t="e">
        <f t="shared" si="7"/>
        <v>#VALUE!</v>
      </c>
      <c r="N58" s="7" t="e">
        <f t="shared" si="8"/>
        <v>#VALUE!</v>
      </c>
      <c r="O58" s="7" t="e">
        <f t="shared" si="9"/>
        <v>#VALUE!</v>
      </c>
      <c r="P58" s="7" t="e">
        <f t="shared" si="10"/>
        <v>#VALUE!</v>
      </c>
      <c r="Q58" s="233"/>
    </row>
    <row r="59" spans="1:17" x14ac:dyDescent="0.25">
      <c r="A59" s="10"/>
      <c r="B59" s="10"/>
      <c r="C59" s="10"/>
      <c r="D59" s="233"/>
      <c r="E59" s="41">
        <f t="shared" si="1"/>
        <v>56</v>
      </c>
      <c r="F59" s="7" t="str">
        <f>IF((E59&lt;='Alternative 2'!$B$12),F58+1,"x")</f>
        <v>x</v>
      </c>
      <c r="G59" s="129">
        <f>IF(E59&lt;='Alternative 2'!$B$12,G58+1,0)</f>
        <v>0</v>
      </c>
      <c r="H59" s="39">
        <f t="shared" si="2"/>
        <v>2.1360000000000001</v>
      </c>
      <c r="I59" s="43" t="e">
        <f t="shared" si="3"/>
        <v>#VALUE!</v>
      </c>
      <c r="J59" s="38" t="e">
        <f t="shared" si="4"/>
        <v>#VALUE!</v>
      </c>
      <c r="K59" s="9" t="e">
        <f t="shared" si="5"/>
        <v>#VALUE!</v>
      </c>
      <c r="L59" s="7" t="e">
        <f t="shared" si="6"/>
        <v>#VALUE!</v>
      </c>
      <c r="M59" s="7" t="e">
        <f t="shared" si="7"/>
        <v>#VALUE!</v>
      </c>
      <c r="N59" s="7" t="e">
        <f t="shared" si="8"/>
        <v>#VALUE!</v>
      </c>
      <c r="O59" s="7" t="e">
        <f t="shared" si="9"/>
        <v>#VALUE!</v>
      </c>
      <c r="P59" s="7" t="e">
        <f t="shared" si="10"/>
        <v>#VALUE!</v>
      </c>
      <c r="Q59" s="233"/>
    </row>
    <row r="60" spans="1:17" x14ac:dyDescent="0.25">
      <c r="A60" s="10"/>
      <c r="B60" s="10"/>
      <c r="C60" s="10"/>
      <c r="D60" s="233"/>
      <c r="E60" s="41">
        <f t="shared" si="1"/>
        <v>57</v>
      </c>
      <c r="F60" s="7" t="str">
        <f>IF((E60&lt;='Alternative 2'!$B$12),F59+1,"x")</f>
        <v>x</v>
      </c>
      <c r="G60" s="129">
        <f>IF(E60&lt;='Alternative 2'!$B$12,G59+1,0)</f>
        <v>0</v>
      </c>
      <c r="H60" s="39">
        <f t="shared" si="2"/>
        <v>2.1360000000000001</v>
      </c>
      <c r="I60" s="43" t="e">
        <f t="shared" si="3"/>
        <v>#VALUE!</v>
      </c>
      <c r="J60" s="38" t="e">
        <f t="shared" si="4"/>
        <v>#VALUE!</v>
      </c>
      <c r="K60" s="9" t="e">
        <f t="shared" si="5"/>
        <v>#VALUE!</v>
      </c>
      <c r="L60" s="7" t="e">
        <f t="shared" si="6"/>
        <v>#VALUE!</v>
      </c>
      <c r="M60" s="7" t="e">
        <f t="shared" si="7"/>
        <v>#VALUE!</v>
      </c>
      <c r="N60" s="7" t="e">
        <f t="shared" si="8"/>
        <v>#VALUE!</v>
      </c>
      <c r="O60" s="7" t="e">
        <f t="shared" si="9"/>
        <v>#VALUE!</v>
      </c>
      <c r="P60" s="7" t="e">
        <f t="shared" si="10"/>
        <v>#VALUE!</v>
      </c>
      <c r="Q60" s="233"/>
    </row>
    <row r="61" spans="1:17" x14ac:dyDescent="0.25">
      <c r="A61" s="10"/>
      <c r="B61" s="10"/>
      <c r="C61" s="10"/>
      <c r="D61" s="233"/>
      <c r="E61" s="41">
        <f t="shared" si="1"/>
        <v>58</v>
      </c>
      <c r="F61" s="7" t="str">
        <f>IF((E61&lt;='Alternative 2'!$B$12),F60+1,"x")</f>
        <v>x</v>
      </c>
      <c r="G61" s="129">
        <f>IF(E61&lt;='Alternative 2'!$B$12,G60+1,0)</f>
        <v>0</v>
      </c>
      <c r="H61" s="39">
        <f t="shared" si="2"/>
        <v>2.1360000000000001</v>
      </c>
      <c r="I61" s="43" t="e">
        <f t="shared" si="3"/>
        <v>#VALUE!</v>
      </c>
      <c r="J61" s="38" t="e">
        <f t="shared" si="4"/>
        <v>#VALUE!</v>
      </c>
      <c r="K61" s="9" t="e">
        <f t="shared" si="5"/>
        <v>#VALUE!</v>
      </c>
      <c r="L61" s="7" t="e">
        <f t="shared" si="6"/>
        <v>#VALUE!</v>
      </c>
      <c r="M61" s="7" t="e">
        <f t="shared" si="7"/>
        <v>#VALUE!</v>
      </c>
      <c r="N61" s="7" t="e">
        <f t="shared" si="8"/>
        <v>#VALUE!</v>
      </c>
      <c r="O61" s="7" t="e">
        <f t="shared" si="9"/>
        <v>#VALUE!</v>
      </c>
      <c r="P61" s="7" t="e">
        <f t="shared" si="10"/>
        <v>#VALUE!</v>
      </c>
      <c r="Q61" s="233"/>
    </row>
    <row r="62" spans="1:17" x14ac:dyDescent="0.25">
      <c r="A62" s="10"/>
      <c r="B62" s="10"/>
      <c r="C62" s="10"/>
      <c r="D62" s="233"/>
      <c r="E62" s="41">
        <f t="shared" si="1"/>
        <v>59</v>
      </c>
      <c r="F62" s="7" t="str">
        <f>IF((E62&lt;='Alternative 2'!$B$12),F61+1,"x")</f>
        <v>x</v>
      </c>
      <c r="G62" s="129">
        <f>IF(E62&lt;='Alternative 2'!$B$12,G61+1,0)</f>
        <v>0</v>
      </c>
      <c r="H62" s="39">
        <f t="shared" si="2"/>
        <v>2.1360000000000001</v>
      </c>
      <c r="I62" s="43" t="e">
        <f t="shared" si="3"/>
        <v>#VALUE!</v>
      </c>
      <c r="J62" s="38" t="e">
        <f t="shared" si="4"/>
        <v>#VALUE!</v>
      </c>
      <c r="K62" s="9" t="e">
        <f t="shared" si="5"/>
        <v>#VALUE!</v>
      </c>
      <c r="L62" s="7" t="e">
        <f t="shared" si="6"/>
        <v>#VALUE!</v>
      </c>
      <c r="M62" s="7" t="e">
        <f t="shared" si="7"/>
        <v>#VALUE!</v>
      </c>
      <c r="N62" s="7" t="e">
        <f t="shared" si="8"/>
        <v>#VALUE!</v>
      </c>
      <c r="O62" s="7" t="e">
        <f t="shared" si="9"/>
        <v>#VALUE!</v>
      </c>
      <c r="P62" s="7" t="e">
        <f t="shared" si="10"/>
        <v>#VALUE!</v>
      </c>
      <c r="Q62" s="233"/>
    </row>
    <row r="63" spans="1:17" x14ac:dyDescent="0.25">
      <c r="A63" s="10"/>
      <c r="B63" s="10"/>
      <c r="C63" s="10"/>
      <c r="D63" s="233"/>
      <c r="E63" s="41">
        <f t="shared" si="1"/>
        <v>60</v>
      </c>
      <c r="F63" s="7" t="str">
        <f>IF((E63&lt;='Alternative 2'!$B$12),F62+1,"x")</f>
        <v>x</v>
      </c>
      <c r="G63" s="129">
        <f>IF(E63&lt;='Alternative 2'!$B$12,G62+1,0)</f>
        <v>0</v>
      </c>
      <c r="H63" s="39">
        <f t="shared" si="2"/>
        <v>2.1360000000000001</v>
      </c>
      <c r="I63" s="43" t="e">
        <f t="shared" si="3"/>
        <v>#VALUE!</v>
      </c>
      <c r="J63" s="38" t="e">
        <f t="shared" si="4"/>
        <v>#VALUE!</v>
      </c>
      <c r="K63" s="9" t="e">
        <f t="shared" si="5"/>
        <v>#VALUE!</v>
      </c>
      <c r="L63" s="7" t="e">
        <f t="shared" si="6"/>
        <v>#VALUE!</v>
      </c>
      <c r="M63" s="7" t="e">
        <f t="shared" si="7"/>
        <v>#VALUE!</v>
      </c>
      <c r="N63" s="7" t="e">
        <f t="shared" si="8"/>
        <v>#VALUE!</v>
      </c>
      <c r="O63" s="7" t="e">
        <f t="shared" si="9"/>
        <v>#VALUE!</v>
      </c>
      <c r="P63" s="7" t="e">
        <f t="shared" si="10"/>
        <v>#VALUE!</v>
      </c>
      <c r="Q63" s="233"/>
    </row>
    <row r="64" spans="1:17" x14ac:dyDescent="0.25">
      <c r="A64" s="10"/>
      <c r="B64" s="10"/>
      <c r="C64" s="10"/>
      <c r="D64" s="233"/>
      <c r="E64" s="41">
        <f t="shared" si="1"/>
        <v>61</v>
      </c>
      <c r="F64" s="7" t="str">
        <f>IF((E64&lt;='Alternative 2'!$B$12),F63+1,"x")</f>
        <v>x</v>
      </c>
      <c r="G64" s="129">
        <f>IF(E64&lt;='Alternative 2'!$B$12,G63+1,0)</f>
        <v>0</v>
      </c>
      <c r="H64" s="39">
        <f t="shared" si="2"/>
        <v>2.1360000000000001</v>
      </c>
      <c r="I64" s="43" t="e">
        <f t="shared" si="3"/>
        <v>#VALUE!</v>
      </c>
      <c r="J64" s="38" t="e">
        <f t="shared" si="4"/>
        <v>#VALUE!</v>
      </c>
      <c r="K64" s="9" t="e">
        <f t="shared" si="5"/>
        <v>#VALUE!</v>
      </c>
      <c r="L64" s="7" t="e">
        <f t="shared" si="6"/>
        <v>#VALUE!</v>
      </c>
      <c r="M64" s="7" t="e">
        <f t="shared" si="7"/>
        <v>#VALUE!</v>
      </c>
      <c r="N64" s="7" t="e">
        <f t="shared" si="8"/>
        <v>#VALUE!</v>
      </c>
      <c r="O64" s="7" t="e">
        <f t="shared" si="9"/>
        <v>#VALUE!</v>
      </c>
      <c r="P64" s="7" t="e">
        <f t="shared" si="10"/>
        <v>#VALUE!</v>
      </c>
      <c r="Q64" s="233"/>
    </row>
    <row r="65" spans="1:17" x14ac:dyDescent="0.25">
      <c r="A65" s="10"/>
      <c r="B65" s="10"/>
      <c r="C65" s="10"/>
      <c r="D65" s="233"/>
      <c r="E65" s="41">
        <f t="shared" si="1"/>
        <v>62</v>
      </c>
      <c r="F65" s="7" t="str">
        <f>IF((E65&lt;='Alternative 2'!$B$12),F64+1,"x")</f>
        <v>x</v>
      </c>
      <c r="G65" s="129">
        <f>IF(E65&lt;='Alternative 2'!$B$12,G64+1,0)</f>
        <v>0</v>
      </c>
      <c r="H65" s="39">
        <f t="shared" si="2"/>
        <v>2.1360000000000001</v>
      </c>
      <c r="I65" s="43" t="e">
        <f t="shared" si="3"/>
        <v>#VALUE!</v>
      </c>
      <c r="J65" s="38" t="e">
        <f t="shared" si="4"/>
        <v>#VALUE!</v>
      </c>
      <c r="K65" s="9" t="e">
        <f t="shared" si="5"/>
        <v>#VALUE!</v>
      </c>
      <c r="L65" s="7" t="e">
        <f t="shared" si="6"/>
        <v>#VALUE!</v>
      </c>
      <c r="M65" s="7" t="e">
        <f t="shared" si="7"/>
        <v>#VALUE!</v>
      </c>
      <c r="N65" s="7" t="e">
        <f t="shared" si="8"/>
        <v>#VALUE!</v>
      </c>
      <c r="O65" s="7" t="e">
        <f t="shared" si="9"/>
        <v>#VALUE!</v>
      </c>
      <c r="P65" s="7" t="e">
        <f t="shared" si="10"/>
        <v>#VALUE!</v>
      </c>
      <c r="Q65" s="233"/>
    </row>
    <row r="66" spans="1:17" x14ac:dyDescent="0.25">
      <c r="A66" s="10"/>
      <c r="B66" s="10"/>
      <c r="C66" s="10"/>
      <c r="D66" s="233"/>
      <c r="E66" s="41">
        <f t="shared" si="1"/>
        <v>63</v>
      </c>
      <c r="F66" s="7" t="str">
        <f>IF((E66&lt;='Alternative 2'!$B$12),F65+1,"x")</f>
        <v>x</v>
      </c>
      <c r="G66" s="129">
        <f>IF(E66&lt;='Alternative 2'!$B$12,G65+1,0)</f>
        <v>0</v>
      </c>
      <c r="H66" s="39">
        <f t="shared" si="2"/>
        <v>2.1360000000000001</v>
      </c>
      <c r="I66" s="43" t="e">
        <f t="shared" si="3"/>
        <v>#VALUE!</v>
      </c>
      <c r="J66" s="38" t="e">
        <f t="shared" si="4"/>
        <v>#VALUE!</v>
      </c>
      <c r="K66" s="9" t="e">
        <f t="shared" si="5"/>
        <v>#VALUE!</v>
      </c>
      <c r="L66" s="7" t="e">
        <f t="shared" si="6"/>
        <v>#VALUE!</v>
      </c>
      <c r="M66" s="7" t="e">
        <f t="shared" si="7"/>
        <v>#VALUE!</v>
      </c>
      <c r="N66" s="7" t="e">
        <f t="shared" si="8"/>
        <v>#VALUE!</v>
      </c>
      <c r="O66" s="7" t="e">
        <f t="shared" si="9"/>
        <v>#VALUE!</v>
      </c>
      <c r="P66" s="7" t="e">
        <f t="shared" si="10"/>
        <v>#VALUE!</v>
      </c>
      <c r="Q66" s="233"/>
    </row>
    <row r="67" spans="1:17" x14ac:dyDescent="0.25">
      <c r="A67" s="10"/>
      <c r="B67" s="10"/>
      <c r="C67" s="10"/>
      <c r="D67" s="233"/>
      <c r="E67" s="41">
        <f t="shared" si="1"/>
        <v>64</v>
      </c>
      <c r="F67" s="7" t="str">
        <f>IF((E67&lt;='Alternative 2'!$B$12),F66+1,"x")</f>
        <v>x</v>
      </c>
      <c r="G67" s="129">
        <f>IF(E67&lt;='Alternative 2'!$B$12,G66+1,0)</f>
        <v>0</v>
      </c>
      <c r="H67" s="39">
        <f t="shared" si="2"/>
        <v>2.1360000000000001</v>
      </c>
      <c r="I67" s="43" t="e">
        <f t="shared" si="3"/>
        <v>#VALUE!</v>
      </c>
      <c r="J67" s="38" t="e">
        <f t="shared" si="4"/>
        <v>#VALUE!</v>
      </c>
      <c r="K67" s="9" t="e">
        <f t="shared" si="5"/>
        <v>#VALUE!</v>
      </c>
      <c r="L67" s="7" t="e">
        <f t="shared" si="6"/>
        <v>#VALUE!</v>
      </c>
      <c r="M67" s="7" t="e">
        <f t="shared" si="7"/>
        <v>#VALUE!</v>
      </c>
      <c r="N67" s="7" t="e">
        <f t="shared" si="8"/>
        <v>#VALUE!</v>
      </c>
      <c r="O67" s="7" t="e">
        <f t="shared" si="9"/>
        <v>#VALUE!</v>
      </c>
      <c r="P67" s="7" t="e">
        <f t="shared" si="10"/>
        <v>#VALUE!</v>
      </c>
      <c r="Q67" s="233"/>
    </row>
    <row r="68" spans="1:17" x14ac:dyDescent="0.25">
      <c r="A68" s="10"/>
      <c r="B68" s="10"/>
      <c r="C68" s="10"/>
      <c r="D68" s="233"/>
      <c r="E68" s="41">
        <f t="shared" si="1"/>
        <v>65</v>
      </c>
      <c r="F68" s="7" t="str">
        <f>IF((E68&lt;='Alternative 2'!$B$12),F67+1,"x")</f>
        <v>x</v>
      </c>
      <c r="G68" s="129">
        <f>IF(E68&lt;='Alternative 2'!$B$12,G67+1,0)</f>
        <v>0</v>
      </c>
      <c r="H68" s="39">
        <f t="shared" si="2"/>
        <v>2.1360000000000001</v>
      </c>
      <c r="I68" s="43" t="e">
        <f t="shared" si="3"/>
        <v>#VALUE!</v>
      </c>
      <c r="J68" s="38" t="e">
        <f t="shared" si="4"/>
        <v>#VALUE!</v>
      </c>
      <c r="K68" s="9" t="e">
        <f t="shared" si="5"/>
        <v>#VALUE!</v>
      </c>
      <c r="L68" s="7" t="e">
        <f t="shared" si="6"/>
        <v>#VALUE!</v>
      </c>
      <c r="M68" s="7" t="e">
        <f t="shared" si="7"/>
        <v>#VALUE!</v>
      </c>
      <c r="N68" s="7" t="e">
        <f t="shared" si="8"/>
        <v>#VALUE!</v>
      </c>
      <c r="O68" s="7" t="e">
        <f t="shared" si="9"/>
        <v>#VALUE!</v>
      </c>
      <c r="P68" s="7" t="e">
        <f t="shared" si="10"/>
        <v>#VALUE!</v>
      </c>
      <c r="Q68" s="233"/>
    </row>
    <row r="69" spans="1:17" x14ac:dyDescent="0.25">
      <c r="A69" s="10"/>
      <c r="B69" s="10"/>
      <c r="C69" s="10"/>
      <c r="D69" s="233"/>
      <c r="E69" s="41">
        <f t="shared" ref="E69:E78" si="11">E68+1</f>
        <v>66</v>
      </c>
      <c r="F69" s="7" t="str">
        <f>IF((E69&lt;='Alternative 2'!$B$12),F68+1,"x")</f>
        <v>x</v>
      </c>
      <c r="G69" s="129">
        <f>IF(E69&lt;='Alternative 2'!$B$12,G68+1,0)</f>
        <v>0</v>
      </c>
      <c r="H69" s="39">
        <f t="shared" ref="H69:H93" si="12">IF(F69&gt;0,(($B$16)-((($B$16)-($B$15))/$B$12)*G69),0)</f>
        <v>2.1360000000000001</v>
      </c>
      <c r="I69" s="43" t="e">
        <f t="shared" ref="I69:I93" si="13">IF(F69&gt;0,(($B$16/2)-((($B$16/2)-($B$15/2))/$B$12)*F69),0)</f>
        <v>#VALUE!</v>
      </c>
      <c r="J69" s="38" t="e">
        <f t="shared" ref="J69:J93" si="14">IF(F69&gt;0,I69-$B$17,0)</f>
        <v>#VALUE!</v>
      </c>
      <c r="K69" s="9" t="e">
        <f t="shared" ref="K69:K93" si="15">AVERAGE(I69:J69)</f>
        <v>#VALUE!</v>
      </c>
      <c r="L69" s="7" t="e">
        <f t="shared" ref="L69:L93" si="16">3.14159*(K69^3)*($B$17)</f>
        <v>#VALUE!</v>
      </c>
      <c r="M69" s="7" t="e">
        <f t="shared" ref="M69:M93" si="17">(3.141593)*(K69^2)</f>
        <v>#VALUE!</v>
      </c>
      <c r="N69" s="7" t="e">
        <f t="shared" ref="N69:N93" si="18">SQRT(L69/M69)</f>
        <v>#VALUE!</v>
      </c>
      <c r="O69" s="7" t="e">
        <f t="shared" ref="O69:O93" si="19">($I$10*F69)/N69</f>
        <v>#VALUE!</v>
      </c>
      <c r="P69" s="7" t="e">
        <f t="shared" ref="P69:P93" si="20">($I$10*F69)/K69</f>
        <v>#VALUE!</v>
      </c>
      <c r="Q69" s="233"/>
    </row>
    <row r="70" spans="1:17" x14ac:dyDescent="0.25">
      <c r="A70" s="10"/>
      <c r="B70" s="10"/>
      <c r="C70" s="10"/>
      <c r="D70" s="233"/>
      <c r="E70" s="41">
        <f t="shared" si="11"/>
        <v>67</v>
      </c>
      <c r="F70" s="7" t="str">
        <f>IF((E70&lt;='Alternative 2'!$B$12),F69+1,"x")</f>
        <v>x</v>
      </c>
      <c r="G70" s="129">
        <f>IF(E70&lt;='Alternative 2'!$B$12,G69+1,0)</f>
        <v>0</v>
      </c>
      <c r="H70" s="39">
        <f t="shared" si="12"/>
        <v>2.1360000000000001</v>
      </c>
      <c r="I70" s="43" t="e">
        <f t="shared" si="13"/>
        <v>#VALUE!</v>
      </c>
      <c r="J70" s="38" t="e">
        <f t="shared" si="14"/>
        <v>#VALUE!</v>
      </c>
      <c r="K70" s="9" t="e">
        <f t="shared" si="15"/>
        <v>#VALUE!</v>
      </c>
      <c r="L70" s="7" t="e">
        <f t="shared" si="16"/>
        <v>#VALUE!</v>
      </c>
      <c r="M70" s="7" t="e">
        <f t="shared" si="17"/>
        <v>#VALUE!</v>
      </c>
      <c r="N70" s="7" t="e">
        <f t="shared" si="18"/>
        <v>#VALUE!</v>
      </c>
      <c r="O70" s="7" t="e">
        <f t="shared" si="19"/>
        <v>#VALUE!</v>
      </c>
      <c r="P70" s="7" t="e">
        <f t="shared" si="20"/>
        <v>#VALUE!</v>
      </c>
      <c r="Q70" s="233"/>
    </row>
    <row r="71" spans="1:17" x14ac:dyDescent="0.25">
      <c r="A71" s="10"/>
      <c r="B71" s="10"/>
      <c r="C71" s="10"/>
      <c r="D71" s="233"/>
      <c r="E71" s="41">
        <f t="shared" si="11"/>
        <v>68</v>
      </c>
      <c r="F71" s="7" t="str">
        <f>IF((E71&lt;='Alternative 2'!$B$12),F70+1,"x")</f>
        <v>x</v>
      </c>
      <c r="G71" s="129">
        <f>IF(E71&lt;='Alternative 2'!$B$12,G70+1,0)</f>
        <v>0</v>
      </c>
      <c r="H71" s="39">
        <f t="shared" si="12"/>
        <v>2.1360000000000001</v>
      </c>
      <c r="I71" s="43" t="e">
        <f t="shared" si="13"/>
        <v>#VALUE!</v>
      </c>
      <c r="J71" s="38" t="e">
        <f t="shared" si="14"/>
        <v>#VALUE!</v>
      </c>
      <c r="K71" s="9" t="e">
        <f t="shared" si="15"/>
        <v>#VALUE!</v>
      </c>
      <c r="L71" s="7" t="e">
        <f t="shared" si="16"/>
        <v>#VALUE!</v>
      </c>
      <c r="M71" s="7" t="e">
        <f t="shared" si="17"/>
        <v>#VALUE!</v>
      </c>
      <c r="N71" s="7" t="e">
        <f t="shared" si="18"/>
        <v>#VALUE!</v>
      </c>
      <c r="O71" s="7" t="e">
        <f t="shared" si="19"/>
        <v>#VALUE!</v>
      </c>
      <c r="P71" s="7" t="e">
        <f t="shared" si="20"/>
        <v>#VALUE!</v>
      </c>
      <c r="Q71" s="233"/>
    </row>
    <row r="72" spans="1:17" x14ac:dyDescent="0.25">
      <c r="A72" s="10"/>
      <c r="B72" s="10"/>
      <c r="C72" s="10"/>
      <c r="D72" s="233"/>
      <c r="E72" s="41">
        <f t="shared" si="11"/>
        <v>69</v>
      </c>
      <c r="F72" s="7" t="str">
        <f>IF((E72&lt;='Alternative 2'!$B$12),F71+1,"x")</f>
        <v>x</v>
      </c>
      <c r="G72" s="129">
        <f>IF(E72&lt;='Alternative 2'!$B$12,G71+1,0)</f>
        <v>0</v>
      </c>
      <c r="H72" s="39">
        <f t="shared" si="12"/>
        <v>2.1360000000000001</v>
      </c>
      <c r="I72" s="43" t="e">
        <f t="shared" si="13"/>
        <v>#VALUE!</v>
      </c>
      <c r="J72" s="38" t="e">
        <f t="shared" si="14"/>
        <v>#VALUE!</v>
      </c>
      <c r="K72" s="9" t="e">
        <f t="shared" si="15"/>
        <v>#VALUE!</v>
      </c>
      <c r="L72" s="7" t="e">
        <f t="shared" si="16"/>
        <v>#VALUE!</v>
      </c>
      <c r="M72" s="7" t="e">
        <f t="shared" si="17"/>
        <v>#VALUE!</v>
      </c>
      <c r="N72" s="7" t="e">
        <f t="shared" si="18"/>
        <v>#VALUE!</v>
      </c>
      <c r="O72" s="7" t="e">
        <f t="shared" si="19"/>
        <v>#VALUE!</v>
      </c>
      <c r="P72" s="7" t="e">
        <f t="shared" si="20"/>
        <v>#VALUE!</v>
      </c>
      <c r="Q72" s="233"/>
    </row>
    <row r="73" spans="1:17" x14ac:dyDescent="0.25">
      <c r="A73" s="10"/>
      <c r="B73" s="10"/>
      <c r="C73" s="10"/>
      <c r="D73" s="233"/>
      <c r="E73" s="41">
        <f t="shared" si="11"/>
        <v>70</v>
      </c>
      <c r="F73" s="7" t="str">
        <f>IF((E73&lt;='Alternative 2'!$B$12),F72+1,"x")</f>
        <v>x</v>
      </c>
      <c r="G73" s="129">
        <f>IF(E73&lt;='Alternative 2'!$B$12,G72+1,0)</f>
        <v>0</v>
      </c>
      <c r="H73" s="39">
        <f t="shared" si="12"/>
        <v>2.1360000000000001</v>
      </c>
      <c r="I73" s="43" t="e">
        <f t="shared" si="13"/>
        <v>#VALUE!</v>
      </c>
      <c r="J73" s="38" t="e">
        <f t="shared" si="14"/>
        <v>#VALUE!</v>
      </c>
      <c r="K73" s="9" t="e">
        <f t="shared" si="15"/>
        <v>#VALUE!</v>
      </c>
      <c r="L73" s="7" t="e">
        <f t="shared" si="16"/>
        <v>#VALUE!</v>
      </c>
      <c r="M73" s="7" t="e">
        <f t="shared" si="17"/>
        <v>#VALUE!</v>
      </c>
      <c r="N73" s="7" t="e">
        <f t="shared" si="18"/>
        <v>#VALUE!</v>
      </c>
      <c r="O73" s="7" t="e">
        <f t="shared" si="19"/>
        <v>#VALUE!</v>
      </c>
      <c r="P73" s="7" t="e">
        <f t="shared" si="20"/>
        <v>#VALUE!</v>
      </c>
      <c r="Q73" s="233"/>
    </row>
    <row r="74" spans="1:17" x14ac:dyDescent="0.25">
      <c r="A74" s="10"/>
      <c r="B74" s="10"/>
      <c r="C74" s="10"/>
      <c r="D74" s="233"/>
      <c r="E74" s="41">
        <f t="shared" si="11"/>
        <v>71</v>
      </c>
      <c r="F74" s="7" t="str">
        <f>IF((E74&lt;='Alternative 2'!$B$12),F73+1,"x")</f>
        <v>x</v>
      </c>
      <c r="G74" s="129">
        <f>IF(E74&lt;='Alternative 2'!$B$12,G73+1,0)</f>
        <v>0</v>
      </c>
      <c r="H74" s="39">
        <f t="shared" si="12"/>
        <v>2.1360000000000001</v>
      </c>
      <c r="I74" s="43" t="e">
        <f t="shared" si="13"/>
        <v>#VALUE!</v>
      </c>
      <c r="J74" s="38" t="e">
        <f t="shared" si="14"/>
        <v>#VALUE!</v>
      </c>
      <c r="K74" s="9" t="e">
        <f t="shared" si="15"/>
        <v>#VALUE!</v>
      </c>
      <c r="L74" s="7" t="e">
        <f t="shared" si="16"/>
        <v>#VALUE!</v>
      </c>
      <c r="M74" s="7" t="e">
        <f t="shared" si="17"/>
        <v>#VALUE!</v>
      </c>
      <c r="N74" s="7" t="e">
        <f t="shared" si="18"/>
        <v>#VALUE!</v>
      </c>
      <c r="O74" s="7" t="e">
        <f t="shared" si="19"/>
        <v>#VALUE!</v>
      </c>
      <c r="P74" s="7" t="e">
        <f t="shared" si="20"/>
        <v>#VALUE!</v>
      </c>
      <c r="Q74" s="233"/>
    </row>
    <row r="75" spans="1:17" x14ac:dyDescent="0.25">
      <c r="A75" s="10"/>
      <c r="B75" s="10"/>
      <c r="C75" s="10"/>
      <c r="D75" s="233"/>
      <c r="E75" s="41">
        <f t="shared" si="11"/>
        <v>72</v>
      </c>
      <c r="F75" s="7" t="str">
        <f>IF((E75&lt;='Alternative 2'!$B$12),F74+1,"x")</f>
        <v>x</v>
      </c>
      <c r="G75" s="129">
        <f>IF(E75&lt;='Alternative 2'!$B$12,G74+1,0)</f>
        <v>0</v>
      </c>
      <c r="H75" s="39">
        <f t="shared" si="12"/>
        <v>2.1360000000000001</v>
      </c>
      <c r="I75" s="43" t="e">
        <f t="shared" si="13"/>
        <v>#VALUE!</v>
      </c>
      <c r="J75" s="38" t="e">
        <f t="shared" si="14"/>
        <v>#VALUE!</v>
      </c>
      <c r="K75" s="9" t="e">
        <f t="shared" si="15"/>
        <v>#VALUE!</v>
      </c>
      <c r="L75" s="7" t="e">
        <f t="shared" si="16"/>
        <v>#VALUE!</v>
      </c>
      <c r="M75" s="7" t="e">
        <f t="shared" si="17"/>
        <v>#VALUE!</v>
      </c>
      <c r="N75" s="7" t="e">
        <f t="shared" si="18"/>
        <v>#VALUE!</v>
      </c>
      <c r="O75" s="7" t="e">
        <f t="shared" si="19"/>
        <v>#VALUE!</v>
      </c>
      <c r="P75" s="7" t="e">
        <f t="shared" si="20"/>
        <v>#VALUE!</v>
      </c>
    </row>
    <row r="76" spans="1:17" x14ac:dyDescent="0.25">
      <c r="A76" s="10"/>
      <c r="B76" s="10"/>
      <c r="C76" s="10"/>
      <c r="D76" s="233"/>
      <c r="E76" s="41">
        <f t="shared" si="11"/>
        <v>73</v>
      </c>
      <c r="F76" s="7" t="str">
        <f>IF((E76&lt;='Alternative 2'!$B$12),F75+1,"x")</f>
        <v>x</v>
      </c>
      <c r="G76" s="129">
        <f>IF(E76&lt;='Alternative 2'!$B$12,G75+1,0)</f>
        <v>0</v>
      </c>
      <c r="H76" s="39">
        <f t="shared" si="12"/>
        <v>2.1360000000000001</v>
      </c>
      <c r="I76" s="43" t="e">
        <f t="shared" si="13"/>
        <v>#VALUE!</v>
      </c>
      <c r="J76" s="38" t="e">
        <f t="shared" si="14"/>
        <v>#VALUE!</v>
      </c>
      <c r="K76" s="9" t="e">
        <f t="shared" si="15"/>
        <v>#VALUE!</v>
      </c>
      <c r="L76" s="7" t="e">
        <f t="shared" si="16"/>
        <v>#VALUE!</v>
      </c>
      <c r="M76" s="7" t="e">
        <f t="shared" si="17"/>
        <v>#VALUE!</v>
      </c>
      <c r="N76" s="7" t="e">
        <f t="shared" si="18"/>
        <v>#VALUE!</v>
      </c>
      <c r="O76" s="7" t="e">
        <f t="shared" si="19"/>
        <v>#VALUE!</v>
      </c>
      <c r="P76" s="7" t="e">
        <f t="shared" si="20"/>
        <v>#VALUE!</v>
      </c>
    </row>
    <row r="77" spans="1:17" x14ac:dyDescent="0.25">
      <c r="A77" s="10"/>
      <c r="B77" s="10"/>
      <c r="C77" s="10"/>
      <c r="D77" s="233"/>
      <c r="E77" s="41">
        <f t="shared" si="11"/>
        <v>74</v>
      </c>
      <c r="F77" s="7" t="str">
        <f>IF((E77&lt;='Alternative 2'!$B$12),F76+1,"x")</f>
        <v>x</v>
      </c>
      <c r="G77" s="129">
        <f>IF(E77&lt;='Alternative 2'!$B$12,G76+1,0)</f>
        <v>0</v>
      </c>
      <c r="H77" s="39">
        <f t="shared" si="12"/>
        <v>2.1360000000000001</v>
      </c>
      <c r="I77" s="43" t="e">
        <f t="shared" si="13"/>
        <v>#VALUE!</v>
      </c>
      <c r="J77" s="38" t="e">
        <f t="shared" si="14"/>
        <v>#VALUE!</v>
      </c>
      <c r="K77" s="9" t="e">
        <f t="shared" si="15"/>
        <v>#VALUE!</v>
      </c>
      <c r="L77" s="7" t="e">
        <f t="shared" si="16"/>
        <v>#VALUE!</v>
      </c>
      <c r="M77" s="7" t="e">
        <f t="shared" si="17"/>
        <v>#VALUE!</v>
      </c>
      <c r="N77" s="7" t="e">
        <f t="shared" si="18"/>
        <v>#VALUE!</v>
      </c>
      <c r="O77" s="7" t="e">
        <f t="shared" si="19"/>
        <v>#VALUE!</v>
      </c>
      <c r="P77" s="7" t="e">
        <f t="shared" si="20"/>
        <v>#VALUE!</v>
      </c>
    </row>
    <row r="78" spans="1:17" x14ac:dyDescent="0.25">
      <c r="A78" s="10"/>
      <c r="B78" s="10"/>
      <c r="C78" s="10"/>
      <c r="D78" s="233"/>
      <c r="E78" s="41">
        <f t="shared" si="11"/>
        <v>75</v>
      </c>
      <c r="F78" s="7" t="str">
        <f>IF((E78&lt;='Alternative 2'!$B$12),F77+1,"x")</f>
        <v>x</v>
      </c>
      <c r="G78" s="129">
        <f>IF(E78&lt;='Alternative 2'!$B$12,G77+1,0)</f>
        <v>0</v>
      </c>
      <c r="H78" s="39">
        <f t="shared" si="12"/>
        <v>2.1360000000000001</v>
      </c>
      <c r="I78" s="43" t="e">
        <f t="shared" si="13"/>
        <v>#VALUE!</v>
      </c>
      <c r="J78" s="38" t="e">
        <f t="shared" si="14"/>
        <v>#VALUE!</v>
      </c>
      <c r="K78" s="9" t="e">
        <f t="shared" si="15"/>
        <v>#VALUE!</v>
      </c>
      <c r="L78" s="7" t="e">
        <f t="shared" si="16"/>
        <v>#VALUE!</v>
      </c>
      <c r="M78" s="7" t="e">
        <f t="shared" si="17"/>
        <v>#VALUE!</v>
      </c>
      <c r="N78" s="7" t="e">
        <f t="shared" si="18"/>
        <v>#VALUE!</v>
      </c>
      <c r="O78" s="7" t="e">
        <f t="shared" si="19"/>
        <v>#VALUE!</v>
      </c>
      <c r="P78" s="7" t="e">
        <f t="shared" si="20"/>
        <v>#VALUE!</v>
      </c>
    </row>
    <row r="79" spans="1:17" x14ac:dyDescent="0.25">
      <c r="A79" s="10"/>
      <c r="B79" s="10"/>
      <c r="C79" s="10"/>
      <c r="D79" s="233"/>
      <c r="E79" s="41">
        <f>E78+1</f>
        <v>76</v>
      </c>
      <c r="F79" s="7" t="str">
        <f>IF((E79&lt;='Alternative 2'!$B$12),F78+1,"x")</f>
        <v>x</v>
      </c>
      <c r="G79" s="129">
        <f>IF(E79&lt;='Alternative 2'!$B$12,G78+1,0)</f>
        <v>0</v>
      </c>
      <c r="H79" s="39">
        <f t="shared" si="12"/>
        <v>2.1360000000000001</v>
      </c>
      <c r="I79" s="43" t="e">
        <f t="shared" si="13"/>
        <v>#VALUE!</v>
      </c>
      <c r="J79" s="38" t="e">
        <f t="shared" si="14"/>
        <v>#VALUE!</v>
      </c>
      <c r="K79" s="9" t="e">
        <f t="shared" si="15"/>
        <v>#VALUE!</v>
      </c>
      <c r="L79" s="7" t="e">
        <f t="shared" si="16"/>
        <v>#VALUE!</v>
      </c>
      <c r="M79" s="7" t="e">
        <f t="shared" si="17"/>
        <v>#VALUE!</v>
      </c>
      <c r="N79" s="7" t="e">
        <f t="shared" si="18"/>
        <v>#VALUE!</v>
      </c>
      <c r="O79" s="7" t="e">
        <f t="shared" si="19"/>
        <v>#VALUE!</v>
      </c>
      <c r="P79" s="7" t="e">
        <f t="shared" si="20"/>
        <v>#VALUE!</v>
      </c>
    </row>
    <row r="80" spans="1:17" x14ac:dyDescent="0.25">
      <c r="D80" s="233"/>
      <c r="E80" s="41">
        <f t="shared" ref="E80:E86" si="21">E79+1</f>
        <v>77</v>
      </c>
      <c r="F80" s="7" t="str">
        <f>IF((E80&lt;='Alternative 2'!$B$12),F79+1,"x")</f>
        <v>x</v>
      </c>
      <c r="G80" s="129">
        <f>IF(E80&lt;='Alternative 2'!$B$12,G79+1,0)</f>
        <v>0</v>
      </c>
      <c r="H80" s="39">
        <f t="shared" si="12"/>
        <v>2.1360000000000001</v>
      </c>
      <c r="I80" s="43" t="e">
        <f t="shared" si="13"/>
        <v>#VALUE!</v>
      </c>
      <c r="J80" s="38" t="e">
        <f t="shared" si="14"/>
        <v>#VALUE!</v>
      </c>
      <c r="K80" s="9" t="e">
        <f t="shared" si="15"/>
        <v>#VALUE!</v>
      </c>
      <c r="L80" s="7" t="e">
        <f t="shared" si="16"/>
        <v>#VALUE!</v>
      </c>
      <c r="M80" s="7" t="e">
        <f t="shared" si="17"/>
        <v>#VALUE!</v>
      </c>
      <c r="N80" s="7" t="e">
        <f t="shared" si="18"/>
        <v>#VALUE!</v>
      </c>
      <c r="O80" s="7" t="e">
        <f t="shared" si="19"/>
        <v>#VALUE!</v>
      </c>
      <c r="P80" s="7" t="e">
        <f t="shared" si="20"/>
        <v>#VALUE!</v>
      </c>
    </row>
    <row r="81" spans="4:16" x14ac:dyDescent="0.25">
      <c r="D81" s="233"/>
      <c r="E81" s="41">
        <f t="shared" si="21"/>
        <v>78</v>
      </c>
      <c r="F81" s="7" t="str">
        <f>IF((E81&lt;='Alternative 2'!$B$12),F80+1,"x")</f>
        <v>x</v>
      </c>
      <c r="G81" s="129">
        <f>IF(E81&lt;='Alternative 2'!$B$12,G80+1,0)</f>
        <v>0</v>
      </c>
      <c r="H81" s="39">
        <f t="shared" si="12"/>
        <v>2.1360000000000001</v>
      </c>
      <c r="I81" s="43" t="e">
        <f t="shared" si="13"/>
        <v>#VALUE!</v>
      </c>
      <c r="J81" s="38" t="e">
        <f t="shared" si="14"/>
        <v>#VALUE!</v>
      </c>
      <c r="K81" s="9" t="e">
        <f t="shared" si="15"/>
        <v>#VALUE!</v>
      </c>
      <c r="L81" s="7" t="e">
        <f t="shared" si="16"/>
        <v>#VALUE!</v>
      </c>
      <c r="M81" s="7" t="e">
        <f t="shared" si="17"/>
        <v>#VALUE!</v>
      </c>
      <c r="N81" s="7" t="e">
        <f t="shared" si="18"/>
        <v>#VALUE!</v>
      </c>
      <c r="O81" s="7" t="e">
        <f t="shared" si="19"/>
        <v>#VALUE!</v>
      </c>
      <c r="P81" s="7" t="e">
        <f t="shared" si="20"/>
        <v>#VALUE!</v>
      </c>
    </row>
    <row r="82" spans="4:16" x14ac:dyDescent="0.25">
      <c r="D82" s="233"/>
      <c r="E82" s="41">
        <f t="shared" si="21"/>
        <v>79</v>
      </c>
      <c r="F82" s="7" t="str">
        <f>IF((E82&lt;='Alternative 2'!$B$12),F81+1,"x")</f>
        <v>x</v>
      </c>
      <c r="G82" s="129">
        <f>IF(E82&lt;='Alternative 2'!$B$12,G81+1,0)</f>
        <v>0</v>
      </c>
      <c r="H82" s="39">
        <f t="shared" si="12"/>
        <v>2.1360000000000001</v>
      </c>
      <c r="I82" s="43" t="e">
        <f t="shared" si="13"/>
        <v>#VALUE!</v>
      </c>
      <c r="J82" s="38" t="e">
        <f t="shared" si="14"/>
        <v>#VALUE!</v>
      </c>
      <c r="K82" s="9" t="e">
        <f t="shared" si="15"/>
        <v>#VALUE!</v>
      </c>
      <c r="L82" s="7" t="e">
        <f t="shared" si="16"/>
        <v>#VALUE!</v>
      </c>
      <c r="M82" s="7" t="e">
        <f t="shared" si="17"/>
        <v>#VALUE!</v>
      </c>
      <c r="N82" s="7" t="e">
        <f t="shared" si="18"/>
        <v>#VALUE!</v>
      </c>
      <c r="O82" s="7" t="e">
        <f t="shared" si="19"/>
        <v>#VALUE!</v>
      </c>
      <c r="P82" s="7" t="e">
        <f t="shared" si="20"/>
        <v>#VALUE!</v>
      </c>
    </row>
    <row r="83" spans="4:16" x14ac:dyDescent="0.25">
      <c r="D83" s="233"/>
      <c r="E83" s="41">
        <f t="shared" si="21"/>
        <v>80</v>
      </c>
      <c r="F83" s="7" t="str">
        <f>IF((E83&lt;='Alternative 2'!$B$12),F82+1,"x")</f>
        <v>x</v>
      </c>
      <c r="G83" s="129">
        <f>IF(E83&lt;='Alternative 2'!$B$12,G82+1,0)</f>
        <v>0</v>
      </c>
      <c r="H83" s="39">
        <f t="shared" si="12"/>
        <v>2.1360000000000001</v>
      </c>
      <c r="I83" s="43" t="e">
        <f t="shared" si="13"/>
        <v>#VALUE!</v>
      </c>
      <c r="J83" s="38" t="e">
        <f t="shared" si="14"/>
        <v>#VALUE!</v>
      </c>
      <c r="K83" s="9" t="e">
        <f t="shared" si="15"/>
        <v>#VALUE!</v>
      </c>
      <c r="L83" s="7" t="e">
        <f t="shared" si="16"/>
        <v>#VALUE!</v>
      </c>
      <c r="M83" s="7" t="e">
        <f t="shared" si="17"/>
        <v>#VALUE!</v>
      </c>
      <c r="N83" s="7" t="e">
        <f t="shared" si="18"/>
        <v>#VALUE!</v>
      </c>
      <c r="O83" s="7" t="e">
        <f t="shared" si="19"/>
        <v>#VALUE!</v>
      </c>
      <c r="P83" s="7" t="e">
        <f t="shared" si="20"/>
        <v>#VALUE!</v>
      </c>
    </row>
    <row r="84" spans="4:16" x14ac:dyDescent="0.25">
      <c r="D84" s="233"/>
      <c r="E84" s="41">
        <f t="shared" si="21"/>
        <v>81</v>
      </c>
      <c r="F84" s="7" t="str">
        <f>IF((E84&lt;='Alternative 2'!$B$12),F83+1,"x")</f>
        <v>x</v>
      </c>
      <c r="G84" s="129">
        <f>IF(E84&lt;='Alternative 2'!$B$12,G83+1,0)</f>
        <v>0</v>
      </c>
      <c r="H84" s="39">
        <f t="shared" si="12"/>
        <v>2.1360000000000001</v>
      </c>
      <c r="I84" s="43" t="e">
        <f t="shared" si="13"/>
        <v>#VALUE!</v>
      </c>
      <c r="J84" s="38" t="e">
        <f t="shared" si="14"/>
        <v>#VALUE!</v>
      </c>
      <c r="K84" s="9" t="e">
        <f t="shared" si="15"/>
        <v>#VALUE!</v>
      </c>
      <c r="L84" s="7" t="e">
        <f t="shared" si="16"/>
        <v>#VALUE!</v>
      </c>
      <c r="M84" s="7" t="e">
        <f t="shared" si="17"/>
        <v>#VALUE!</v>
      </c>
      <c r="N84" s="7" t="e">
        <f t="shared" si="18"/>
        <v>#VALUE!</v>
      </c>
      <c r="O84" s="7" t="e">
        <f t="shared" si="19"/>
        <v>#VALUE!</v>
      </c>
      <c r="P84" s="7" t="e">
        <f t="shared" si="20"/>
        <v>#VALUE!</v>
      </c>
    </row>
    <row r="85" spans="4:16" x14ac:dyDescent="0.25">
      <c r="D85" s="233"/>
      <c r="E85" s="41">
        <f t="shared" si="21"/>
        <v>82</v>
      </c>
      <c r="F85" s="7" t="str">
        <f>IF((E85&lt;='Alternative 2'!$B$12),F84+1,"x")</f>
        <v>x</v>
      </c>
      <c r="G85" s="129">
        <f>IF(E85&lt;='Alternative 2'!$B$12,G84+1,0)</f>
        <v>0</v>
      </c>
      <c r="H85" s="39">
        <f t="shared" si="12"/>
        <v>2.1360000000000001</v>
      </c>
      <c r="I85" s="43" t="e">
        <f t="shared" si="13"/>
        <v>#VALUE!</v>
      </c>
      <c r="J85" s="38" t="e">
        <f t="shared" si="14"/>
        <v>#VALUE!</v>
      </c>
      <c r="K85" s="9" t="e">
        <f t="shared" si="15"/>
        <v>#VALUE!</v>
      </c>
      <c r="L85" s="7" t="e">
        <f t="shared" si="16"/>
        <v>#VALUE!</v>
      </c>
      <c r="M85" s="7" t="e">
        <f t="shared" si="17"/>
        <v>#VALUE!</v>
      </c>
      <c r="N85" s="7" t="e">
        <f t="shared" si="18"/>
        <v>#VALUE!</v>
      </c>
      <c r="O85" s="7" t="e">
        <f t="shared" si="19"/>
        <v>#VALUE!</v>
      </c>
      <c r="P85" s="7" t="e">
        <f t="shared" si="20"/>
        <v>#VALUE!</v>
      </c>
    </row>
    <row r="86" spans="4:16" x14ac:dyDescent="0.25">
      <c r="D86" s="233"/>
      <c r="E86" s="41">
        <f t="shared" si="21"/>
        <v>83</v>
      </c>
      <c r="F86" s="7" t="str">
        <f>IF((E86&lt;='Alternative 2'!$B$12),F85+1,"x")</f>
        <v>x</v>
      </c>
      <c r="G86" s="129">
        <f>IF(E86&lt;='Alternative 2'!$B$12,G85+1,0)</f>
        <v>0</v>
      </c>
      <c r="H86" s="39">
        <f t="shared" si="12"/>
        <v>2.1360000000000001</v>
      </c>
      <c r="I86" s="43" t="e">
        <f t="shared" si="13"/>
        <v>#VALUE!</v>
      </c>
      <c r="J86" s="38" t="e">
        <f t="shared" si="14"/>
        <v>#VALUE!</v>
      </c>
      <c r="K86" s="9" t="e">
        <f t="shared" si="15"/>
        <v>#VALUE!</v>
      </c>
      <c r="L86" s="7" t="e">
        <f t="shared" si="16"/>
        <v>#VALUE!</v>
      </c>
      <c r="M86" s="7" t="e">
        <f t="shared" si="17"/>
        <v>#VALUE!</v>
      </c>
      <c r="N86" s="7" t="e">
        <f t="shared" si="18"/>
        <v>#VALUE!</v>
      </c>
      <c r="O86" s="7" t="e">
        <f t="shared" si="19"/>
        <v>#VALUE!</v>
      </c>
      <c r="P86" s="7" t="e">
        <f t="shared" si="20"/>
        <v>#VALUE!</v>
      </c>
    </row>
    <row r="87" spans="4:16" x14ac:dyDescent="0.25">
      <c r="D87" s="233"/>
      <c r="E87" s="41">
        <f t="shared" ref="E87:E93" si="22">E86+1</f>
        <v>84</v>
      </c>
      <c r="F87" s="7" t="str">
        <f>IF((E87&lt;='Alternative 2'!$B$12),F86+1,"x")</f>
        <v>x</v>
      </c>
      <c r="G87" s="129">
        <f>IF(E87&lt;='Alternative 2'!$B$12,G86+1,0)</f>
        <v>0</v>
      </c>
      <c r="H87" s="39">
        <f t="shared" si="12"/>
        <v>2.1360000000000001</v>
      </c>
      <c r="I87" s="43" t="e">
        <f t="shared" si="13"/>
        <v>#VALUE!</v>
      </c>
      <c r="J87" s="38" t="e">
        <f t="shared" si="14"/>
        <v>#VALUE!</v>
      </c>
      <c r="K87" s="9" t="e">
        <f t="shared" si="15"/>
        <v>#VALUE!</v>
      </c>
      <c r="L87" s="7" t="e">
        <f t="shared" si="16"/>
        <v>#VALUE!</v>
      </c>
      <c r="M87" s="7" t="e">
        <f t="shared" si="17"/>
        <v>#VALUE!</v>
      </c>
      <c r="N87" s="7" t="e">
        <f t="shared" si="18"/>
        <v>#VALUE!</v>
      </c>
      <c r="O87" s="7" t="e">
        <f t="shared" si="19"/>
        <v>#VALUE!</v>
      </c>
      <c r="P87" s="7" t="e">
        <f t="shared" si="20"/>
        <v>#VALUE!</v>
      </c>
    </row>
    <row r="88" spans="4:16" x14ac:dyDescent="0.25">
      <c r="D88" s="233"/>
      <c r="E88" s="41">
        <f t="shared" si="22"/>
        <v>85</v>
      </c>
      <c r="F88" s="7" t="str">
        <f>IF((E88&lt;='Alternative 2'!$B$12),F87+1,"x")</f>
        <v>x</v>
      </c>
      <c r="G88" s="129">
        <f>IF(E88&lt;='Alternative 2'!$B$12,G87+1,0)</f>
        <v>0</v>
      </c>
      <c r="H88" s="39">
        <f t="shared" si="12"/>
        <v>2.1360000000000001</v>
      </c>
      <c r="I88" s="43" t="e">
        <f t="shared" si="13"/>
        <v>#VALUE!</v>
      </c>
      <c r="J88" s="38" t="e">
        <f t="shared" si="14"/>
        <v>#VALUE!</v>
      </c>
      <c r="K88" s="9" t="e">
        <f t="shared" si="15"/>
        <v>#VALUE!</v>
      </c>
      <c r="L88" s="7" t="e">
        <f t="shared" si="16"/>
        <v>#VALUE!</v>
      </c>
      <c r="M88" s="7" t="e">
        <f t="shared" si="17"/>
        <v>#VALUE!</v>
      </c>
      <c r="N88" s="7" t="e">
        <f t="shared" si="18"/>
        <v>#VALUE!</v>
      </c>
      <c r="O88" s="7" t="e">
        <f t="shared" si="19"/>
        <v>#VALUE!</v>
      </c>
      <c r="P88" s="7" t="e">
        <f t="shared" si="20"/>
        <v>#VALUE!</v>
      </c>
    </row>
    <row r="89" spans="4:16" x14ac:dyDescent="0.25">
      <c r="D89" s="233"/>
      <c r="E89" s="41">
        <f t="shared" si="22"/>
        <v>86</v>
      </c>
      <c r="F89" s="7" t="str">
        <f>IF((E89&lt;='Alternative 2'!$B$12),F88+1,"x")</f>
        <v>x</v>
      </c>
      <c r="G89" s="129">
        <f>IF(E89&lt;='Alternative 2'!$B$12,G88+1,0)</f>
        <v>0</v>
      </c>
      <c r="H89" s="39">
        <f t="shared" si="12"/>
        <v>2.1360000000000001</v>
      </c>
      <c r="I89" s="43" t="e">
        <f t="shared" si="13"/>
        <v>#VALUE!</v>
      </c>
      <c r="J89" s="38" t="e">
        <f t="shared" si="14"/>
        <v>#VALUE!</v>
      </c>
      <c r="K89" s="9" t="e">
        <f t="shared" si="15"/>
        <v>#VALUE!</v>
      </c>
      <c r="L89" s="7" t="e">
        <f t="shared" si="16"/>
        <v>#VALUE!</v>
      </c>
      <c r="M89" s="7" t="e">
        <f t="shared" si="17"/>
        <v>#VALUE!</v>
      </c>
      <c r="N89" s="7" t="e">
        <f t="shared" si="18"/>
        <v>#VALUE!</v>
      </c>
      <c r="O89" s="7" t="e">
        <f t="shared" si="19"/>
        <v>#VALUE!</v>
      </c>
      <c r="P89" s="7" t="e">
        <f t="shared" si="20"/>
        <v>#VALUE!</v>
      </c>
    </row>
    <row r="90" spans="4:16" x14ac:dyDescent="0.25">
      <c r="D90" s="233"/>
      <c r="E90" s="41">
        <f t="shared" si="22"/>
        <v>87</v>
      </c>
      <c r="F90" s="7" t="str">
        <f>IF((E90&lt;='Alternative 2'!$B$12),F89+1,"x")</f>
        <v>x</v>
      </c>
      <c r="G90" s="129">
        <f>IF(E90&lt;='Alternative 2'!$B$12,G89+1,0)</f>
        <v>0</v>
      </c>
      <c r="H90" s="39">
        <f t="shared" si="12"/>
        <v>2.1360000000000001</v>
      </c>
      <c r="I90" s="43" t="e">
        <f t="shared" si="13"/>
        <v>#VALUE!</v>
      </c>
      <c r="J90" s="38" t="e">
        <f t="shared" si="14"/>
        <v>#VALUE!</v>
      </c>
      <c r="K90" s="9" t="e">
        <f t="shared" si="15"/>
        <v>#VALUE!</v>
      </c>
      <c r="L90" s="7" t="e">
        <f t="shared" si="16"/>
        <v>#VALUE!</v>
      </c>
      <c r="M90" s="7" t="e">
        <f t="shared" si="17"/>
        <v>#VALUE!</v>
      </c>
      <c r="N90" s="7" t="e">
        <f t="shared" si="18"/>
        <v>#VALUE!</v>
      </c>
      <c r="O90" s="7" t="e">
        <f t="shared" si="19"/>
        <v>#VALUE!</v>
      </c>
      <c r="P90" s="7" t="e">
        <f t="shared" si="20"/>
        <v>#VALUE!</v>
      </c>
    </row>
    <row r="91" spans="4:16" x14ac:dyDescent="0.25">
      <c r="D91" s="233"/>
      <c r="E91" s="41">
        <f t="shared" si="22"/>
        <v>88</v>
      </c>
      <c r="F91" s="7" t="str">
        <f>IF((E91&lt;='Alternative 2'!$B$12),F90+1,"x")</f>
        <v>x</v>
      </c>
      <c r="G91" s="129">
        <f>IF(E91&lt;='Alternative 2'!$B$12,G90+1,0)</f>
        <v>0</v>
      </c>
      <c r="H91" s="39">
        <f t="shared" si="12"/>
        <v>2.1360000000000001</v>
      </c>
      <c r="I91" s="43" t="e">
        <f t="shared" si="13"/>
        <v>#VALUE!</v>
      </c>
      <c r="J91" s="38" t="e">
        <f t="shared" si="14"/>
        <v>#VALUE!</v>
      </c>
      <c r="K91" s="9" t="e">
        <f t="shared" si="15"/>
        <v>#VALUE!</v>
      </c>
      <c r="L91" s="7" t="e">
        <f t="shared" si="16"/>
        <v>#VALUE!</v>
      </c>
      <c r="M91" s="7" t="e">
        <f t="shared" si="17"/>
        <v>#VALUE!</v>
      </c>
      <c r="N91" s="7" t="e">
        <f t="shared" si="18"/>
        <v>#VALUE!</v>
      </c>
      <c r="O91" s="7" t="e">
        <f t="shared" si="19"/>
        <v>#VALUE!</v>
      </c>
      <c r="P91" s="7" t="e">
        <f t="shared" si="20"/>
        <v>#VALUE!</v>
      </c>
    </row>
    <row r="92" spans="4:16" x14ac:dyDescent="0.25">
      <c r="D92" s="233"/>
      <c r="E92" s="41">
        <f t="shared" si="22"/>
        <v>89</v>
      </c>
      <c r="F92" s="7" t="str">
        <f>IF((E92&lt;='Alternative 2'!$B$12),F91+1,"x")</f>
        <v>x</v>
      </c>
      <c r="G92" s="129">
        <f>IF(E92&lt;='Alternative 2'!$B$12,G91+1,0)</f>
        <v>0</v>
      </c>
      <c r="H92" s="39">
        <f t="shared" si="12"/>
        <v>2.1360000000000001</v>
      </c>
      <c r="I92" s="43" t="e">
        <f t="shared" si="13"/>
        <v>#VALUE!</v>
      </c>
      <c r="J92" s="38" t="e">
        <f t="shared" si="14"/>
        <v>#VALUE!</v>
      </c>
      <c r="K92" s="9" t="e">
        <f t="shared" si="15"/>
        <v>#VALUE!</v>
      </c>
      <c r="L92" s="7" t="e">
        <f t="shared" si="16"/>
        <v>#VALUE!</v>
      </c>
      <c r="M92" s="7" t="e">
        <f t="shared" si="17"/>
        <v>#VALUE!</v>
      </c>
      <c r="N92" s="7" t="e">
        <f t="shared" si="18"/>
        <v>#VALUE!</v>
      </c>
      <c r="O92" s="7" t="e">
        <f t="shared" si="19"/>
        <v>#VALUE!</v>
      </c>
      <c r="P92" s="7" t="e">
        <f t="shared" si="20"/>
        <v>#VALUE!</v>
      </c>
    </row>
    <row r="93" spans="4:16" x14ac:dyDescent="0.25">
      <c r="D93" s="233"/>
      <c r="E93" s="41">
        <f t="shared" si="22"/>
        <v>90</v>
      </c>
      <c r="F93" s="7" t="str">
        <f>IF((E93&lt;='Alternative 2'!$B$12),F92+1,"x")</f>
        <v>x</v>
      </c>
      <c r="G93" s="129">
        <f>IF(E93&lt;='Alternative 2'!$B$12,G92+1,0)</f>
        <v>0</v>
      </c>
      <c r="H93" s="39">
        <f t="shared" si="12"/>
        <v>2.1360000000000001</v>
      </c>
      <c r="I93" s="43" t="e">
        <f t="shared" si="13"/>
        <v>#VALUE!</v>
      </c>
      <c r="J93" s="38" t="e">
        <f t="shared" si="14"/>
        <v>#VALUE!</v>
      </c>
      <c r="K93" s="9" t="e">
        <f t="shared" si="15"/>
        <v>#VALUE!</v>
      </c>
      <c r="L93" s="7" t="e">
        <f t="shared" si="16"/>
        <v>#VALUE!</v>
      </c>
      <c r="M93" s="7" t="e">
        <f t="shared" si="17"/>
        <v>#VALUE!</v>
      </c>
      <c r="N93" s="7" t="e">
        <f t="shared" si="18"/>
        <v>#VALUE!</v>
      </c>
      <c r="O93" s="7" t="e">
        <f t="shared" si="19"/>
        <v>#VALUE!</v>
      </c>
      <c r="P93" s="7" t="e">
        <f t="shared" si="20"/>
        <v>#VALUE!</v>
      </c>
    </row>
  </sheetData>
  <customSheetViews>
    <customSheetView guid="{73608749-DAD6-470A-871E-DA0A326E9E7B}" scale="80" topLeftCell="A24">
      <selection activeCell="P24" sqref="P24:P27"/>
      <pageMargins left="0.7" right="0.7" top="0.75" bottom="0.75" header="0.3" footer="0.3"/>
    </customSheetView>
  </customSheetViews>
  <mergeCells count="13">
    <mergeCell ref="A37:C37"/>
    <mergeCell ref="D1:D93"/>
    <mergeCell ref="R1:T1"/>
    <mergeCell ref="S2:T2"/>
    <mergeCell ref="S3:T3"/>
    <mergeCell ref="S4:T4"/>
    <mergeCell ref="F1:P1"/>
    <mergeCell ref="A11:C11"/>
    <mergeCell ref="A18:C18"/>
    <mergeCell ref="A24:C24"/>
    <mergeCell ref="A31:C31"/>
    <mergeCell ref="A1:C1"/>
    <mergeCell ref="Q1:Q74"/>
  </mergeCells>
  <conditionalFormatting sqref="F4:F93">
    <cfRule type="cellIs" dxfId="17" priority="1" operator="equal">
      <formula>$B$12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T93"/>
  <sheetViews>
    <sheetView zoomScale="80" zoomScaleNormal="80" workbookViewId="0">
      <selection activeCell="J24" sqref="J24"/>
    </sheetView>
  </sheetViews>
  <sheetFormatPr defaultRowHeight="15" x14ac:dyDescent="0.25"/>
  <cols>
    <col min="1" max="1" width="18.7109375" style="160" bestFit="1" customWidth="1"/>
    <col min="2" max="2" width="18.42578125" style="2" customWidth="1"/>
    <col min="3" max="3" width="8.42578125" style="182" customWidth="1"/>
    <col min="4" max="4" width="2.5703125" customWidth="1"/>
    <col min="5" max="5" width="3.42578125" style="40" hidden="1" customWidth="1"/>
    <col min="7" max="8" width="9.140625" style="2"/>
    <col min="9" max="9" width="9.140625" style="44"/>
    <col min="12" max="12" width="13.85546875" customWidth="1"/>
    <col min="13" max="13" width="13.140625" customWidth="1"/>
    <col min="14" max="14" width="14.140625" customWidth="1"/>
    <col min="15" max="15" width="14.28515625" customWidth="1"/>
    <col min="16" max="16" width="12.5703125" customWidth="1"/>
    <col min="17" max="17" width="2.42578125" customWidth="1"/>
    <col min="18" max="18" width="13.42578125" customWidth="1"/>
    <col min="20" max="20" width="20.42578125" customWidth="1"/>
  </cols>
  <sheetData>
    <row r="1" spans="1:20" x14ac:dyDescent="0.25">
      <c r="A1" s="234" t="s">
        <v>8</v>
      </c>
      <c r="B1" s="235"/>
      <c r="C1" s="235"/>
      <c r="D1" s="236"/>
      <c r="E1" s="41"/>
      <c r="F1" s="231" t="s">
        <v>44</v>
      </c>
      <c r="G1" s="231"/>
      <c r="H1" s="231"/>
      <c r="I1" s="232"/>
      <c r="J1" s="232"/>
      <c r="K1" s="232"/>
      <c r="L1" s="232"/>
      <c r="M1" s="232"/>
      <c r="N1" s="232"/>
      <c r="O1" s="232"/>
      <c r="P1" s="232"/>
      <c r="Q1" s="238"/>
      <c r="R1" s="228" t="s">
        <v>177</v>
      </c>
      <c r="S1" s="228"/>
      <c r="T1" s="228"/>
    </row>
    <row r="2" spans="1:20" ht="45" x14ac:dyDescent="0.25">
      <c r="A2" s="18" t="s">
        <v>12</v>
      </c>
      <c r="B2" s="161">
        <v>944</v>
      </c>
      <c r="C2" s="174" t="s">
        <v>2</v>
      </c>
      <c r="D2" s="237"/>
      <c r="E2" s="41" t="s">
        <v>36</v>
      </c>
      <c r="F2" s="21" t="s">
        <v>4</v>
      </c>
      <c r="G2" s="21" t="s">
        <v>53</v>
      </c>
      <c r="H2" s="21" t="s">
        <v>56</v>
      </c>
      <c r="I2" s="42" t="s">
        <v>25</v>
      </c>
      <c r="J2" s="21" t="s">
        <v>26</v>
      </c>
      <c r="K2" s="21" t="s">
        <v>45</v>
      </c>
      <c r="L2" s="21" t="s">
        <v>5</v>
      </c>
      <c r="M2" s="21" t="s">
        <v>6</v>
      </c>
      <c r="N2" s="21" t="s">
        <v>46</v>
      </c>
      <c r="O2" s="21" t="s">
        <v>7</v>
      </c>
      <c r="P2" s="21" t="s">
        <v>24</v>
      </c>
      <c r="Q2" s="239"/>
      <c r="R2" s="117"/>
      <c r="S2" s="229" t="s">
        <v>179</v>
      </c>
      <c r="T2" s="230"/>
    </row>
    <row r="3" spans="1:20" x14ac:dyDescent="0.25">
      <c r="A3" s="18" t="s">
        <v>12</v>
      </c>
      <c r="B3" s="162">
        <f>B2*9.80665</f>
        <v>9257.4776000000002</v>
      </c>
      <c r="C3" s="174" t="s">
        <v>28</v>
      </c>
      <c r="D3" s="237"/>
      <c r="E3" s="41">
        <v>0</v>
      </c>
      <c r="F3" s="8">
        <v>0</v>
      </c>
      <c r="G3" s="28" t="s">
        <v>43</v>
      </c>
      <c r="H3" s="39">
        <f>B16</f>
        <v>2.1360000000000001</v>
      </c>
      <c r="I3" s="43">
        <f>B16/2</f>
        <v>1.0680000000000001</v>
      </c>
      <c r="J3" s="38">
        <f>I3-$B$17</f>
        <v>1.048</v>
      </c>
      <c r="K3" s="9">
        <f>AVERAGE(I3:J3)</f>
        <v>1.0580000000000001</v>
      </c>
      <c r="L3" s="7">
        <f t="shared" ref="L3:L4" si="0">3.14159*(K3^3)*($B$17)</f>
        <v>7.4410890963761606E-2</v>
      </c>
      <c r="M3" s="7">
        <f>(3.141593)*(K3^2)</f>
        <v>3.5165861068519999</v>
      </c>
      <c r="N3" s="7">
        <f>SQRT(L3/M3)</f>
        <v>0.14546470291342384</v>
      </c>
      <c r="O3" s="7">
        <f>($I$9*F3)/N3</f>
        <v>0</v>
      </c>
      <c r="P3" s="7">
        <f>($I$9*F3)/K3</f>
        <v>0</v>
      </c>
      <c r="Q3" s="239"/>
      <c r="R3" s="118"/>
      <c r="S3" s="229" t="s">
        <v>180</v>
      </c>
      <c r="T3" s="230"/>
    </row>
    <row r="4" spans="1:20" x14ac:dyDescent="0.25">
      <c r="A4" s="18" t="s">
        <v>13</v>
      </c>
      <c r="B4" s="163">
        <v>564</v>
      </c>
      <c r="C4" s="174" t="s">
        <v>2</v>
      </c>
      <c r="D4" s="237"/>
      <c r="E4" s="41">
        <f>E3+1</f>
        <v>1</v>
      </c>
      <c r="F4" s="7">
        <f>IF((E4&lt;='Alternative 3'!$B$12),F3+1,"x")</f>
        <v>1</v>
      </c>
      <c r="G4" s="1">
        <v>0.5</v>
      </c>
      <c r="H4" s="39">
        <f t="shared" ref="H4" si="1">IF(F4&gt;0,(($B$16)-((($B$16)-($B$15))/$B$12)*G4),0)</f>
        <v>2.1260555555555558</v>
      </c>
      <c r="I4" s="43">
        <f t="shared" ref="I4" si="2">IF(F4&gt;0,(($B$16/2)-((($B$16/2)-($B$15/2))/$B$12)*F4),0)</f>
        <v>1.0580555555555555</v>
      </c>
      <c r="J4" s="38">
        <f t="shared" ref="J4" si="3">IF(F4&gt;0,I4-$B$17,0)</f>
        <v>1.0380555555555555</v>
      </c>
      <c r="K4" s="9">
        <f>AVERAGE(I4:J4)</f>
        <v>1.0480555555555555</v>
      </c>
      <c r="L4" s="7">
        <f t="shared" si="0"/>
        <v>7.2332323308615387E-2</v>
      </c>
      <c r="M4" s="7">
        <f>(3.141593)*(K4^2)</f>
        <v>3.4507899890198299</v>
      </c>
      <c r="N4" s="7">
        <f>SQRT(L4/M4)</f>
        <v>0.14477945674275283</v>
      </c>
      <c r="O4" s="7">
        <f>($I$9*F4)/N4</f>
        <v>6.9646160858647308</v>
      </c>
      <c r="P4" s="7">
        <f>($I$9*F4)/K4</f>
        <v>0.96209912536443154</v>
      </c>
      <c r="Q4" s="239"/>
      <c r="R4" s="119"/>
      <c r="S4" s="229" t="s">
        <v>178</v>
      </c>
      <c r="T4" s="230"/>
    </row>
    <row r="5" spans="1:20" x14ac:dyDescent="0.25">
      <c r="A5" s="18" t="s">
        <v>13</v>
      </c>
      <c r="B5" s="162">
        <f>B4*9.80665</f>
        <v>5530.9506000000001</v>
      </c>
      <c r="C5" s="174" t="s">
        <v>28</v>
      </c>
      <c r="D5" s="237"/>
      <c r="E5" s="41">
        <f t="shared" ref="E5:E68" si="4">E4+1</f>
        <v>2</v>
      </c>
      <c r="F5" s="7">
        <f>IF((E5&lt;='Alternative 3'!$B$12),F4+1,"x")</f>
        <v>2</v>
      </c>
      <c r="G5" s="129">
        <f>IF(E5&lt;='Alternative 3'!$B$12,G4+1,0)</f>
        <v>1.5</v>
      </c>
      <c r="H5" s="39">
        <f t="shared" ref="H5:H68" si="5">IF(F5&gt;0,(($B$16)-((($B$16)-($B$15))/$B$12)*G5),0)</f>
        <v>2.1061666666666667</v>
      </c>
      <c r="I5" s="43">
        <f t="shared" ref="I5:I68" si="6">IF(F5&gt;0,(($B$16/2)-((($B$16/2)-($B$15/2))/$B$12)*F5),0)</f>
        <v>1.0481111111111112</v>
      </c>
      <c r="J5" s="38">
        <f t="shared" ref="J5:J68" si="7">IF(F5&gt;0,I5-$B$17,0)</f>
        <v>1.0281111111111112</v>
      </c>
      <c r="K5" s="9">
        <f t="shared" ref="K5:K68" si="8">AVERAGE(I5:J5)</f>
        <v>1.0381111111111112</v>
      </c>
      <c r="L5" s="7">
        <f t="shared" ref="L5:L68" si="9">3.14159*(K5^3)*($B$17)</f>
        <v>7.0292828595055867E-2</v>
      </c>
      <c r="M5" s="7">
        <f t="shared" ref="M5:M68" si="10">(3.141593)*(K5^2)</f>
        <v>3.3856152278624325</v>
      </c>
      <c r="N5" s="7">
        <f t="shared" ref="N5:N68" si="11">SQRT(L5/M5)</f>
        <v>0.14409095181781068</v>
      </c>
      <c r="O5" s="7">
        <f t="shared" ref="O5:O68" si="12">($I$9*F5)/N5</f>
        <v>13.995789751021633</v>
      </c>
      <c r="P5" s="7">
        <f t="shared" ref="P5:P68" si="13">($I$9*F5)/K5</f>
        <v>1.9426308466231401</v>
      </c>
      <c r="Q5" s="239"/>
    </row>
    <row r="6" spans="1:20" x14ac:dyDescent="0.25">
      <c r="A6" s="18" t="s">
        <v>16</v>
      </c>
      <c r="B6" s="163">
        <v>37</v>
      </c>
      <c r="C6" s="174" t="s">
        <v>1</v>
      </c>
      <c r="D6" s="237"/>
      <c r="E6" s="41">
        <f t="shared" si="4"/>
        <v>3</v>
      </c>
      <c r="F6" s="7">
        <f>IF((E6&lt;='Alternative 3'!$B$12),F5+1,"x")</f>
        <v>3</v>
      </c>
      <c r="G6" s="129">
        <f>IF(E6&lt;='Alternative 3'!$B$12,G5+1,0)</f>
        <v>2.5</v>
      </c>
      <c r="H6" s="39">
        <f t="shared" si="5"/>
        <v>2.0862777777777777</v>
      </c>
      <c r="I6" s="43">
        <f t="shared" si="6"/>
        <v>1.0381666666666667</v>
      </c>
      <c r="J6" s="38">
        <f t="shared" si="7"/>
        <v>1.0181666666666667</v>
      </c>
      <c r="K6" s="9">
        <f t="shared" si="8"/>
        <v>1.0281666666666667</v>
      </c>
      <c r="L6" s="7">
        <f t="shared" si="9"/>
        <v>6.8292036080620955E-2</v>
      </c>
      <c r="M6" s="7">
        <f t="shared" si="10"/>
        <v>3.3210618233798055</v>
      </c>
      <c r="N6" s="7">
        <f t="shared" si="11"/>
        <v>0.14339914119965511</v>
      </c>
      <c r="O6" s="7">
        <f t="shared" si="12"/>
        <v>21.094965943961146</v>
      </c>
      <c r="P6" s="7">
        <f t="shared" si="13"/>
        <v>2.9421300048630248</v>
      </c>
      <c r="Q6" s="239"/>
    </row>
    <row r="7" spans="1:20" x14ac:dyDescent="0.25">
      <c r="A7" s="18" t="s">
        <v>17</v>
      </c>
      <c r="B7" s="163">
        <v>9.5</v>
      </c>
      <c r="C7" s="174" t="s">
        <v>20</v>
      </c>
      <c r="D7" s="237"/>
      <c r="E7" s="41">
        <f t="shared" si="4"/>
        <v>4</v>
      </c>
      <c r="F7" s="7">
        <f>IF((E7&lt;='Alternative 3'!$B$12),F6+1,"x")</f>
        <v>4</v>
      </c>
      <c r="G7" s="129">
        <f>IF(E7&lt;='Alternative 3'!$B$12,G6+1,0)</f>
        <v>3.5</v>
      </c>
      <c r="H7" s="39">
        <f t="shared" si="5"/>
        <v>2.0663888888888891</v>
      </c>
      <c r="I7" s="43">
        <f t="shared" si="6"/>
        <v>1.0282222222222224</v>
      </c>
      <c r="J7" s="38">
        <f t="shared" si="7"/>
        <v>1.0082222222222224</v>
      </c>
      <c r="K7" s="9">
        <f t="shared" si="8"/>
        <v>1.0182222222222224</v>
      </c>
      <c r="L7" s="7">
        <f t="shared" si="9"/>
        <v>6.6329575022848891E-2</v>
      </c>
      <c r="M7" s="7">
        <f t="shared" si="10"/>
        <v>3.2571297755719515</v>
      </c>
      <c r="N7" s="7">
        <f t="shared" si="11"/>
        <v>0.14270397681156125</v>
      </c>
      <c r="O7" s="7">
        <f t="shared" si="12"/>
        <v>28.263636539430838</v>
      </c>
      <c r="P7" s="7">
        <f t="shared" si="13"/>
        <v>3.9611523352247922</v>
      </c>
      <c r="Q7" s="239"/>
    </row>
    <row r="8" spans="1:20" x14ac:dyDescent="0.25">
      <c r="A8" s="18" t="s">
        <v>14</v>
      </c>
      <c r="B8" s="163">
        <v>3</v>
      </c>
      <c r="C8" s="174" t="s">
        <v>3</v>
      </c>
      <c r="D8" s="237"/>
      <c r="E8" s="41">
        <f t="shared" si="4"/>
        <v>5</v>
      </c>
      <c r="F8" s="7">
        <f>IF((E8&lt;='Alternative 3'!$B$12),F7+1,"x")</f>
        <v>5</v>
      </c>
      <c r="G8" s="129">
        <f>IF(E8&lt;='Alternative 3'!$B$12,G7+1,0)</f>
        <v>4.5</v>
      </c>
      <c r="H8" s="39">
        <f t="shared" si="5"/>
        <v>2.0465</v>
      </c>
      <c r="I8" s="43">
        <f t="shared" si="6"/>
        <v>1.0182777777777778</v>
      </c>
      <c r="J8" s="38">
        <f t="shared" si="7"/>
        <v>0.99827777777777782</v>
      </c>
      <c r="K8" s="9">
        <f t="shared" si="8"/>
        <v>1.0082777777777778</v>
      </c>
      <c r="L8" s="7">
        <f t="shared" si="9"/>
        <v>6.4405074679277641E-2</v>
      </c>
      <c r="M8" s="7">
        <f t="shared" si="10"/>
        <v>3.1938190844388674</v>
      </c>
      <c r="N8" s="7">
        <f t="shared" si="11"/>
        <v>0.14200540940003165</v>
      </c>
      <c r="O8" s="7">
        <f t="shared" si="12"/>
        <v>35.503342358347815</v>
      </c>
      <c r="P8" s="7">
        <f t="shared" si="13"/>
        <v>5.0002754972725763</v>
      </c>
      <c r="Q8" s="239"/>
    </row>
    <row r="9" spans="1:20" x14ac:dyDescent="0.25">
      <c r="A9" s="18" t="s">
        <v>15</v>
      </c>
      <c r="B9" s="163">
        <v>19.2</v>
      </c>
      <c r="C9" s="174" t="s">
        <v>1</v>
      </c>
      <c r="D9" s="237"/>
      <c r="E9" s="41">
        <f t="shared" si="4"/>
        <v>6</v>
      </c>
      <c r="F9" s="7">
        <f>IF((E9&lt;='Alternative 3'!$B$12),F8+1,"x")</f>
        <v>6</v>
      </c>
      <c r="G9" s="129">
        <f>IF(E9&lt;='Alternative 3'!$B$12,G8+1,0)</f>
        <v>5.5</v>
      </c>
      <c r="H9" s="39">
        <f t="shared" si="5"/>
        <v>2.0266111111111114</v>
      </c>
      <c r="I9" s="43">
        <f t="shared" si="6"/>
        <v>1.0083333333333333</v>
      </c>
      <c r="J9" s="38">
        <f t="shared" si="7"/>
        <v>0.98833333333333329</v>
      </c>
      <c r="K9" s="9">
        <f t="shared" si="8"/>
        <v>0.99833333333333329</v>
      </c>
      <c r="L9" s="7">
        <f t="shared" si="9"/>
        <v>6.2518164307445362E-2</v>
      </c>
      <c r="M9" s="7">
        <f t="shared" si="10"/>
        <v>3.131129749980555</v>
      </c>
      <c r="N9" s="7">
        <f t="shared" si="11"/>
        <v>0.14130338849407181</v>
      </c>
      <c r="O9" s="7">
        <f t="shared" si="12"/>
        <v>42.815675296093971</v>
      </c>
      <c r="P9" s="7">
        <f t="shared" si="13"/>
        <v>6.0601001669449079</v>
      </c>
      <c r="Q9" s="239"/>
    </row>
    <row r="10" spans="1:20" x14ac:dyDescent="0.25">
      <c r="A10" s="18" t="s">
        <v>18</v>
      </c>
      <c r="B10" s="163">
        <v>0.05</v>
      </c>
      <c r="C10" s="174" t="s">
        <v>19</v>
      </c>
      <c r="D10" s="237"/>
      <c r="E10" s="41">
        <f t="shared" si="4"/>
        <v>7</v>
      </c>
      <c r="F10" s="7">
        <f>IF((E10&lt;='Alternative 3'!$B$12),F9+1,"x")</f>
        <v>7</v>
      </c>
      <c r="G10" s="129">
        <f>IF(E10&lt;='Alternative 3'!$B$12,G9+1,0)</f>
        <v>6.5</v>
      </c>
      <c r="H10" s="39">
        <f t="shared" si="5"/>
        <v>2.0067222222222223</v>
      </c>
      <c r="I10" s="43">
        <f t="shared" si="6"/>
        <v>0.99838888888888899</v>
      </c>
      <c r="J10" s="38">
        <f t="shared" si="7"/>
        <v>0.97838888888888897</v>
      </c>
      <c r="K10" s="9">
        <f t="shared" si="8"/>
        <v>0.98838888888888898</v>
      </c>
      <c r="L10" s="7">
        <f t="shared" si="9"/>
        <v>6.0668473164890165E-2</v>
      </c>
      <c r="M10" s="7">
        <f t="shared" si="10"/>
        <v>3.0690617721970161</v>
      </c>
      <c r="N10" s="7">
        <f t="shared" si="11"/>
        <v>0.14059786236263544</v>
      </c>
      <c r="O10" s="7">
        <f t="shared" si="12"/>
        <v>50.202280566173954</v>
      </c>
      <c r="P10" s="7">
        <f t="shared" si="13"/>
        <v>7.1412511944241466</v>
      </c>
      <c r="Q10" s="239"/>
    </row>
    <row r="11" spans="1:20" x14ac:dyDescent="0.25">
      <c r="A11" s="231" t="s">
        <v>9</v>
      </c>
      <c r="B11" s="231"/>
      <c r="C11" s="234"/>
      <c r="D11" s="237"/>
      <c r="E11" s="41">
        <f t="shared" si="4"/>
        <v>8</v>
      </c>
      <c r="F11" s="7">
        <f>IF((E11&lt;='Alternative 3'!$B$12),F10+1,"x")</f>
        <v>8</v>
      </c>
      <c r="G11" s="129">
        <f>IF(E11&lt;='Alternative 3'!$B$12,G10+1,0)</f>
        <v>7.5</v>
      </c>
      <c r="H11" s="39">
        <f t="shared" si="5"/>
        <v>1.9868333333333335</v>
      </c>
      <c r="I11" s="43">
        <f t="shared" si="6"/>
        <v>0.98844444444444446</v>
      </c>
      <c r="J11" s="38">
        <f t="shared" si="7"/>
        <v>0.96844444444444444</v>
      </c>
      <c r="K11" s="9">
        <f t="shared" si="8"/>
        <v>0.97844444444444445</v>
      </c>
      <c r="L11" s="7">
        <f t="shared" si="9"/>
        <v>5.8855630509150048E-2</v>
      </c>
      <c r="M11" s="7">
        <f t="shared" si="10"/>
        <v>3.0076151510882467</v>
      </c>
      <c r="N11" s="7">
        <f t="shared" si="11"/>
        <v>0.13988877797013799</v>
      </c>
      <c r="O11" s="7">
        <f t="shared" si="12"/>
        <v>57.664859066741258</v>
      </c>
      <c r="P11" s="7">
        <f t="shared" si="13"/>
        <v>8.2443788326141263</v>
      </c>
      <c r="Q11" s="239"/>
    </row>
    <row r="12" spans="1:20" x14ac:dyDescent="0.25">
      <c r="A12" s="18" t="s">
        <v>10</v>
      </c>
      <c r="B12" s="163">
        <v>36</v>
      </c>
      <c r="C12" s="174" t="s">
        <v>1</v>
      </c>
      <c r="D12" s="237"/>
      <c r="E12" s="41">
        <f t="shared" si="4"/>
        <v>9</v>
      </c>
      <c r="F12" s="7">
        <f>IF((E12&lt;='Alternative 3'!$B$12),F11+1,"x")</f>
        <v>9</v>
      </c>
      <c r="G12" s="129">
        <f>IF(E12&lt;='Alternative 3'!$B$12,G11+1,0)</f>
        <v>8.5</v>
      </c>
      <c r="H12" s="39">
        <f t="shared" si="5"/>
        <v>1.9669444444444446</v>
      </c>
      <c r="I12" s="43">
        <f t="shared" si="6"/>
        <v>0.97850000000000004</v>
      </c>
      <c r="J12" s="38">
        <f t="shared" si="7"/>
        <v>0.95850000000000002</v>
      </c>
      <c r="K12" s="9">
        <f t="shared" si="8"/>
        <v>0.96850000000000003</v>
      </c>
      <c r="L12" s="7">
        <f t="shared" si="9"/>
        <v>5.7079265597763183E-2</v>
      </c>
      <c r="M12" s="7">
        <f t="shared" si="10"/>
        <v>2.9467898866542503</v>
      </c>
      <c r="N12" s="7">
        <f t="shared" si="11"/>
        <v>0.13917608092993047</v>
      </c>
      <c r="O12" s="7">
        <f t="shared" si="12"/>
        <v>65.205169878069029</v>
      </c>
      <c r="P12" s="7">
        <f t="shared" si="13"/>
        <v>9.3701600413009807</v>
      </c>
      <c r="Q12" s="239"/>
    </row>
    <row r="13" spans="1:20" x14ac:dyDescent="0.25">
      <c r="A13" s="18" t="s">
        <v>11</v>
      </c>
      <c r="B13" s="162">
        <f>'Center of Gravity'!AR6</f>
        <v>31215.543190081382</v>
      </c>
      <c r="C13" s="174" t="s">
        <v>2</v>
      </c>
      <c r="D13" s="237"/>
      <c r="E13" s="41">
        <f t="shared" si="4"/>
        <v>10</v>
      </c>
      <c r="F13" s="7">
        <f>IF((E13&lt;='Alternative 3'!$B$12),F12+1,"x")</f>
        <v>10</v>
      </c>
      <c r="G13" s="129">
        <f>IF(E13&lt;='Alternative 3'!$B$12,G12+1,0)</f>
        <v>9.5</v>
      </c>
      <c r="H13" s="39">
        <f t="shared" si="5"/>
        <v>1.9470555555555555</v>
      </c>
      <c r="I13" s="43">
        <f t="shared" si="6"/>
        <v>0.96855555555555561</v>
      </c>
      <c r="J13" s="38">
        <f t="shared" si="7"/>
        <v>0.9485555555555556</v>
      </c>
      <c r="K13" s="9">
        <f t="shared" si="8"/>
        <v>0.95855555555555561</v>
      </c>
      <c r="L13" s="7">
        <f t="shared" si="9"/>
        <v>5.5339007688267605E-2</v>
      </c>
      <c r="M13" s="7">
        <f t="shared" si="10"/>
        <v>2.8865859788950248</v>
      </c>
      <c r="N13" s="7">
        <f t="shared" si="11"/>
        <v>0.13845971545561744</v>
      </c>
      <c r="O13" s="7">
        <f t="shared" si="12"/>
        <v>72.8250328996631</v>
      </c>
      <c r="P13" s="7">
        <f t="shared" si="13"/>
        <v>10.519299872493333</v>
      </c>
      <c r="Q13" s="239"/>
    </row>
    <row r="14" spans="1:20" x14ac:dyDescent="0.25">
      <c r="A14" s="18" t="s">
        <v>11</v>
      </c>
      <c r="B14" s="162">
        <f>B13*9.80665</f>
        <v>306119.90662501159</v>
      </c>
      <c r="C14" s="174" t="s">
        <v>28</v>
      </c>
      <c r="D14" s="237"/>
      <c r="E14" s="41">
        <f t="shared" si="4"/>
        <v>11</v>
      </c>
      <c r="F14" s="7">
        <f>IF((E14&lt;='Alternative 3'!$B$12),F13+1,"x")</f>
        <v>11</v>
      </c>
      <c r="G14" s="129">
        <f>IF(E14&lt;='Alternative 3'!$B$12,G13+1,0)</f>
        <v>10.5</v>
      </c>
      <c r="H14" s="39">
        <f t="shared" si="5"/>
        <v>1.9271666666666667</v>
      </c>
      <c r="I14" s="43">
        <f t="shared" si="6"/>
        <v>0.95861111111111119</v>
      </c>
      <c r="J14" s="38">
        <f t="shared" si="7"/>
        <v>0.93861111111111117</v>
      </c>
      <c r="K14" s="9">
        <f t="shared" si="8"/>
        <v>0.94861111111111118</v>
      </c>
      <c r="L14" s="7">
        <f t="shared" si="9"/>
        <v>5.3634486038201423E-2</v>
      </c>
      <c r="M14" s="7">
        <f t="shared" si="10"/>
        <v>2.8270034278105713</v>
      </c>
      <c r="N14" s="7">
        <f t="shared" si="11"/>
        <v>0.13773962431009651</v>
      </c>
      <c r="O14" s="7">
        <f t="shared" si="12"/>
        <v>80.526331636390509</v>
      </c>
      <c r="P14" s="7">
        <f t="shared" si="13"/>
        <v>11.692532942898975</v>
      </c>
      <c r="Q14" s="239"/>
    </row>
    <row r="15" spans="1:20" x14ac:dyDescent="0.25">
      <c r="A15" s="18" t="s">
        <v>117</v>
      </c>
      <c r="B15" s="163">
        <v>1.42</v>
      </c>
      <c r="C15" s="174" t="s">
        <v>1</v>
      </c>
      <c r="D15" s="237"/>
      <c r="E15" s="41">
        <f t="shared" si="4"/>
        <v>12</v>
      </c>
      <c r="F15" s="7">
        <f>IF((E15&lt;='Alternative 3'!$B$12),F14+1,"x")</f>
        <v>12</v>
      </c>
      <c r="G15" s="129">
        <f>IF(E15&lt;='Alternative 3'!$B$12,G14+1,0)</f>
        <v>11.5</v>
      </c>
      <c r="H15" s="39">
        <f t="shared" si="5"/>
        <v>1.9072777777777778</v>
      </c>
      <c r="I15" s="43">
        <f t="shared" si="6"/>
        <v>0.94866666666666666</v>
      </c>
      <c r="J15" s="38">
        <f t="shared" si="7"/>
        <v>0.92866666666666664</v>
      </c>
      <c r="K15" s="9">
        <f t="shared" si="8"/>
        <v>0.93866666666666665</v>
      </c>
      <c r="L15" s="7">
        <f t="shared" si="9"/>
        <v>5.1965329905102692E-2</v>
      </c>
      <c r="M15" s="7">
        <f t="shared" si="10"/>
        <v>2.7680422334008887</v>
      </c>
      <c r="N15" s="7">
        <f t="shared" si="11"/>
        <v>0.13701574875218731</v>
      </c>
      <c r="O15" s="7">
        <f t="shared" si="12"/>
        <v>88.311016143732431</v>
      </c>
      <c r="P15" s="7">
        <f t="shared" si="13"/>
        <v>12.890625</v>
      </c>
      <c r="Q15" s="239"/>
    </row>
    <row r="16" spans="1:20" x14ac:dyDescent="0.25">
      <c r="A16" s="18" t="s">
        <v>118</v>
      </c>
      <c r="B16" s="163">
        <v>2.1360000000000001</v>
      </c>
      <c r="C16" s="174" t="s">
        <v>1</v>
      </c>
      <c r="D16" s="237"/>
      <c r="E16" s="41">
        <f t="shared" si="4"/>
        <v>13</v>
      </c>
      <c r="F16" s="7">
        <f>IF((E16&lt;='Alternative 3'!$B$12),F15+1,"x")</f>
        <v>13</v>
      </c>
      <c r="G16" s="129">
        <f>IF(E16&lt;='Alternative 3'!$B$12,G15+1,0)</f>
        <v>12.5</v>
      </c>
      <c r="H16" s="39">
        <f t="shared" si="5"/>
        <v>1.887388888888889</v>
      </c>
      <c r="I16" s="43">
        <f t="shared" si="6"/>
        <v>0.93872222222222224</v>
      </c>
      <c r="J16" s="38">
        <f t="shared" si="7"/>
        <v>0.91872222222222222</v>
      </c>
      <c r="K16" s="9">
        <f t="shared" si="8"/>
        <v>0.92872222222222223</v>
      </c>
      <c r="L16" s="7">
        <f t="shared" si="9"/>
        <v>5.0331168546509548E-2</v>
      </c>
      <c r="M16" s="7">
        <f t="shared" si="10"/>
        <v>2.7097023956659783</v>
      </c>
      <c r="N16" s="7">
        <f t="shared" si="11"/>
        <v>0.13628802848070887</v>
      </c>
      <c r="O16" s="7">
        <f t="shared" si="12"/>
        <v>96.181106143073862</v>
      </c>
      <c r="P16" s="7">
        <f t="shared" si="13"/>
        <v>14.114374588741999</v>
      </c>
      <c r="Q16" s="239"/>
    </row>
    <row r="17" spans="1:17" x14ac:dyDescent="0.25">
      <c r="A17" s="18" t="s">
        <v>119</v>
      </c>
      <c r="B17" s="163">
        <v>0.02</v>
      </c>
      <c r="C17" s="174" t="s">
        <v>1</v>
      </c>
      <c r="D17" s="237"/>
      <c r="E17" s="41">
        <f t="shared" si="4"/>
        <v>14</v>
      </c>
      <c r="F17" s="7">
        <f>IF((E17&lt;='Alternative 3'!$B$12),F16+1,"x")</f>
        <v>14</v>
      </c>
      <c r="G17" s="129">
        <f>IF(E17&lt;='Alternative 3'!$B$12,G16+1,0)</f>
        <v>13.5</v>
      </c>
      <c r="H17" s="39">
        <f t="shared" si="5"/>
        <v>1.8675000000000002</v>
      </c>
      <c r="I17" s="43">
        <f t="shared" si="6"/>
        <v>0.92877777777777781</v>
      </c>
      <c r="J17" s="38">
        <f t="shared" si="7"/>
        <v>0.9087777777777778</v>
      </c>
      <c r="K17" s="9">
        <f t="shared" si="8"/>
        <v>0.9187777777777778</v>
      </c>
      <c r="L17" s="7">
        <f t="shared" si="9"/>
        <v>4.8731631219960034E-2</v>
      </c>
      <c r="M17" s="7">
        <f t="shared" si="10"/>
        <v>2.6519839146058395</v>
      </c>
      <c r="N17" s="7">
        <f t="shared" si="11"/>
        <v>0.13555640157585513</v>
      </c>
      <c r="O17" s="7">
        <f t="shared" si="12"/>
        <v>104.13869431881616</v>
      </c>
      <c r="P17" s="7">
        <f t="shared" si="13"/>
        <v>15.364614826460274</v>
      </c>
      <c r="Q17" s="239"/>
    </row>
    <row r="18" spans="1:17" x14ac:dyDescent="0.25">
      <c r="A18" s="231" t="s">
        <v>37</v>
      </c>
      <c r="B18" s="231"/>
      <c r="C18" s="234"/>
      <c r="D18" s="237"/>
      <c r="E18" s="41">
        <f t="shared" si="4"/>
        <v>15</v>
      </c>
      <c r="F18" s="7">
        <f>IF((E18&lt;='Alternative 3'!$B$12),F17+1,"x")</f>
        <v>15</v>
      </c>
      <c r="G18" s="129">
        <f>IF(E18&lt;='Alternative 3'!$B$12,G17+1,0)</f>
        <v>14.5</v>
      </c>
      <c r="H18" s="39">
        <f t="shared" si="5"/>
        <v>1.8476111111111111</v>
      </c>
      <c r="I18" s="43">
        <f t="shared" si="6"/>
        <v>0.91883333333333339</v>
      </c>
      <c r="J18" s="38">
        <f t="shared" si="7"/>
        <v>0.89883333333333337</v>
      </c>
      <c r="K18" s="9">
        <f t="shared" si="8"/>
        <v>0.90883333333333338</v>
      </c>
      <c r="L18" s="7">
        <f t="shared" si="9"/>
        <v>4.7166347182992265E-2</v>
      </c>
      <c r="M18" s="7">
        <f t="shared" si="10"/>
        <v>2.5948867902204724</v>
      </c>
      <c r="N18" s="7">
        <f t="shared" si="11"/>
        <v>0.13482080443770719</v>
      </c>
      <c r="O18" s="7">
        <f t="shared" si="12"/>
        <v>112.18594981005604</v>
      </c>
      <c r="P18" s="7">
        <f t="shared" si="13"/>
        <v>16.642215294333393</v>
      </c>
      <c r="Q18" s="239"/>
    </row>
    <row r="19" spans="1:17" x14ac:dyDescent="0.25">
      <c r="A19" s="16" t="s">
        <v>38</v>
      </c>
      <c r="B19" s="277">
        <f>'Column Buckling'!I18</f>
        <v>2.3660469038622698</v>
      </c>
      <c r="C19" s="175" t="s">
        <v>43</v>
      </c>
      <c r="D19" s="237"/>
      <c r="E19" s="41">
        <f t="shared" si="4"/>
        <v>16</v>
      </c>
      <c r="F19" s="7">
        <f>IF((E19&lt;='Alternative 3'!$B$12),F18+1,"x")</f>
        <v>16</v>
      </c>
      <c r="G19" s="129">
        <f>IF(E19&lt;='Alternative 3'!$B$12,G18+1,0)</f>
        <v>15.5</v>
      </c>
      <c r="H19" s="39">
        <f t="shared" si="5"/>
        <v>1.8277222222222222</v>
      </c>
      <c r="I19" s="43">
        <f t="shared" si="6"/>
        <v>0.90888888888888886</v>
      </c>
      <c r="J19" s="38">
        <f t="shared" si="7"/>
        <v>0.88888888888888884</v>
      </c>
      <c r="K19" s="9">
        <f t="shared" si="8"/>
        <v>0.89888888888888885</v>
      </c>
      <c r="L19" s="7">
        <f t="shared" si="9"/>
        <v>4.5634945693144295E-2</v>
      </c>
      <c r="M19" s="7">
        <f t="shared" si="10"/>
        <v>2.5384110225098762</v>
      </c>
      <c r="N19" s="7">
        <f t="shared" si="11"/>
        <v>0.13408117172170922</v>
      </c>
      <c r="O19" s="7">
        <f t="shared" si="12"/>
        <v>120.32512191061923</v>
      </c>
      <c r="P19" s="7">
        <f t="shared" si="13"/>
        <v>17.948084054388133</v>
      </c>
      <c r="Q19" s="239"/>
    </row>
    <row r="20" spans="1:17" x14ac:dyDescent="0.25">
      <c r="A20" s="16" t="s">
        <v>39</v>
      </c>
      <c r="B20" s="164">
        <v>250</v>
      </c>
      <c r="C20" s="174" t="s">
        <v>0</v>
      </c>
      <c r="D20" s="237"/>
      <c r="E20" s="41">
        <f t="shared" si="4"/>
        <v>17</v>
      </c>
      <c r="F20" s="7">
        <f>IF((E20&lt;='Alternative 3'!$B$12),F19+1,"x")</f>
        <v>17</v>
      </c>
      <c r="G20" s="129">
        <f>IF(E20&lt;='Alternative 3'!$B$12,G19+1,0)</f>
        <v>16.5</v>
      </c>
      <c r="H20" s="39">
        <f t="shared" si="5"/>
        <v>1.8078333333333334</v>
      </c>
      <c r="I20" s="43">
        <f t="shared" si="6"/>
        <v>0.89894444444444443</v>
      </c>
      <c r="J20" s="38">
        <f t="shared" si="7"/>
        <v>0.87894444444444442</v>
      </c>
      <c r="K20" s="9">
        <f t="shared" si="8"/>
        <v>0.88894444444444443</v>
      </c>
      <c r="L20" s="7">
        <f t="shared" si="9"/>
        <v>4.4137056007954249E-2</v>
      </c>
      <c r="M20" s="7">
        <f t="shared" si="10"/>
        <v>2.482556611474052</v>
      </c>
      <c r="N20" s="7">
        <f t="shared" si="11"/>
        <v>0.13333743627092304</v>
      </c>
      <c r="O20" s="7">
        <f t="shared" si="12"/>
        <v>128.55854399238032</v>
      </c>
      <c r="P20" s="7">
        <f t="shared" si="13"/>
        <v>19.283169801887382</v>
      </c>
      <c r="Q20" s="239"/>
    </row>
    <row r="21" spans="1:17" x14ac:dyDescent="0.25">
      <c r="A21" s="16" t="s">
        <v>39</v>
      </c>
      <c r="B21" s="164">
        <v>50</v>
      </c>
      <c r="C21" s="174" t="s">
        <v>40</v>
      </c>
      <c r="D21" s="237"/>
      <c r="E21" s="41">
        <f t="shared" si="4"/>
        <v>18</v>
      </c>
      <c r="F21" s="7">
        <f>IF((E21&lt;='Alternative 3'!$B$12),F20+1,"x")</f>
        <v>18</v>
      </c>
      <c r="G21" s="129">
        <f>IF(E21&lt;='Alternative 3'!$B$12,G20+1,0)</f>
        <v>17.5</v>
      </c>
      <c r="H21" s="39">
        <f t="shared" si="5"/>
        <v>1.7879444444444446</v>
      </c>
      <c r="I21" s="43">
        <f t="shared" si="6"/>
        <v>0.88900000000000001</v>
      </c>
      <c r="J21" s="38">
        <f t="shared" si="7"/>
        <v>0.86899999999999999</v>
      </c>
      <c r="K21" s="9">
        <f t="shared" si="8"/>
        <v>0.879</v>
      </c>
      <c r="L21" s="7">
        <f t="shared" si="9"/>
        <v>4.2672307384960195E-2</v>
      </c>
      <c r="M21" s="7">
        <f t="shared" si="10"/>
        <v>2.4273235571130001</v>
      </c>
      <c r="N21" s="7">
        <f t="shared" si="11"/>
        <v>0.13258952904486257</v>
      </c>
      <c r="O21" s="7">
        <f t="shared" si="12"/>
        <v>136.88863766805312</v>
      </c>
      <c r="P21" s="7">
        <f t="shared" si="13"/>
        <v>20.648464163822524</v>
      </c>
      <c r="Q21" s="239"/>
    </row>
    <row r="22" spans="1:17" x14ac:dyDescent="0.25">
      <c r="A22" s="16" t="s">
        <v>41</v>
      </c>
      <c r="B22" s="164">
        <v>200000</v>
      </c>
      <c r="C22" s="174" t="s">
        <v>0</v>
      </c>
      <c r="D22" s="237"/>
      <c r="E22" s="41">
        <f t="shared" si="4"/>
        <v>19</v>
      </c>
      <c r="F22" s="7">
        <f>IF((E22&lt;='Alternative 3'!$B$12),F21+1,"x")</f>
        <v>19</v>
      </c>
      <c r="G22" s="129">
        <f>IF(E22&lt;='Alternative 3'!$B$12,G21+1,0)</f>
        <v>18.5</v>
      </c>
      <c r="H22" s="39">
        <f t="shared" si="5"/>
        <v>1.7680555555555557</v>
      </c>
      <c r="I22" s="43">
        <f t="shared" si="6"/>
        <v>0.87905555555555559</v>
      </c>
      <c r="J22" s="38">
        <f t="shared" si="7"/>
        <v>0.85905555555555557</v>
      </c>
      <c r="K22" s="9">
        <f t="shared" si="8"/>
        <v>0.86905555555555558</v>
      </c>
      <c r="L22" s="7">
        <f t="shared" si="9"/>
        <v>4.1240329081700222E-2</v>
      </c>
      <c r="M22" s="7">
        <f t="shared" si="10"/>
        <v>2.3727118594267189</v>
      </c>
      <c r="N22" s="7">
        <f t="shared" si="11"/>
        <v>0.13183737904469447</v>
      </c>
      <c r="O22" s="7">
        <f t="shared" si="12"/>
        <v>145.31791721100905</v>
      </c>
      <c r="P22" s="7">
        <f t="shared" si="13"/>
        <v>22.045004155213192</v>
      </c>
      <c r="Q22" s="239"/>
    </row>
    <row r="23" spans="1:17" x14ac:dyDescent="0.25">
      <c r="A23" s="16" t="s">
        <v>42</v>
      </c>
      <c r="B23" s="164">
        <v>1.67</v>
      </c>
      <c r="C23" s="175" t="s">
        <v>43</v>
      </c>
      <c r="D23" s="237"/>
      <c r="E23" s="41">
        <f t="shared" si="4"/>
        <v>20</v>
      </c>
      <c r="F23" s="7">
        <f>IF((E23&lt;='Alternative 3'!$B$12),F22+1,"x")</f>
        <v>20</v>
      </c>
      <c r="G23" s="129">
        <f>IF(E23&lt;='Alternative 3'!$B$12,G22+1,0)</f>
        <v>19.5</v>
      </c>
      <c r="H23" s="39">
        <f t="shared" si="5"/>
        <v>1.7481666666666666</v>
      </c>
      <c r="I23" s="43">
        <f t="shared" si="6"/>
        <v>0.86911111111111117</v>
      </c>
      <c r="J23" s="38">
        <f t="shared" si="7"/>
        <v>0.84911111111111115</v>
      </c>
      <c r="K23" s="9">
        <f t="shared" si="8"/>
        <v>0.85911111111111116</v>
      </c>
      <c r="L23" s="7">
        <f t="shared" si="9"/>
        <v>3.9840750355712412E-2</v>
      </c>
      <c r="M23" s="7">
        <f t="shared" si="10"/>
        <v>2.3187215184152099</v>
      </c>
      <c r="N23" s="7">
        <f t="shared" si="11"/>
        <v>0.13108091323457596</v>
      </c>
      <c r="O23" s="7">
        <f t="shared" si="12"/>
        <v>153.84899425118735</v>
      </c>
      <c r="P23" s="7">
        <f t="shared" si="13"/>
        <v>23.473874806001032</v>
      </c>
      <c r="Q23" s="239"/>
    </row>
    <row r="24" spans="1:17" x14ac:dyDescent="0.25">
      <c r="A24" s="231" t="s">
        <v>48</v>
      </c>
      <c r="B24" s="231"/>
      <c r="C24" s="234"/>
      <c r="D24" s="237"/>
      <c r="E24" s="41">
        <f t="shared" si="4"/>
        <v>21</v>
      </c>
      <c r="F24" s="7">
        <f>IF((E24&lt;='Alternative 3'!$B$12),F23+1,"x")</f>
        <v>21</v>
      </c>
      <c r="G24" s="129">
        <f>IF(E24&lt;='Alternative 3'!$B$12,G23+1,0)</f>
        <v>20.5</v>
      </c>
      <c r="H24" s="39">
        <f t="shared" si="5"/>
        <v>1.7282777777777778</v>
      </c>
      <c r="I24" s="43">
        <f t="shared" si="6"/>
        <v>0.85916666666666663</v>
      </c>
      <c r="J24" s="38">
        <f t="shared" si="7"/>
        <v>0.83916666666666662</v>
      </c>
      <c r="K24" s="9">
        <f t="shared" si="8"/>
        <v>0.84916666666666663</v>
      </c>
      <c r="L24" s="7">
        <f t="shared" si="9"/>
        <v>3.8473200464534833E-2</v>
      </c>
      <c r="M24" s="7">
        <f t="shared" si="10"/>
        <v>2.2653525340784717</v>
      </c>
      <c r="N24" s="7">
        <f t="shared" si="11"/>
        <v>0.13032005645888287</v>
      </c>
      <c r="O24" s="7">
        <f t="shared" si="12"/>
        <v>162.48458276781747</v>
      </c>
      <c r="P24" s="7">
        <f t="shared" si="13"/>
        <v>24.936211972522081</v>
      </c>
      <c r="Q24" s="239"/>
    </row>
    <row r="25" spans="1:17" x14ac:dyDescent="0.25">
      <c r="A25" s="16" t="s">
        <v>49</v>
      </c>
      <c r="B25" s="162">
        <f>B13</f>
        <v>31215.543190081382</v>
      </c>
      <c r="C25" s="176" t="s">
        <v>2</v>
      </c>
      <c r="D25" s="237"/>
      <c r="E25" s="41">
        <f t="shared" si="4"/>
        <v>22</v>
      </c>
      <c r="F25" s="7">
        <f>IF((E25&lt;='Alternative 3'!$B$12),F24+1,"x")</f>
        <v>22</v>
      </c>
      <c r="G25" s="129">
        <f>IF(E25&lt;='Alternative 3'!$B$12,G24+1,0)</f>
        <v>21.5</v>
      </c>
      <c r="H25" s="39">
        <f t="shared" si="5"/>
        <v>1.708388888888889</v>
      </c>
      <c r="I25" s="43">
        <f t="shared" si="6"/>
        <v>0.84922222222222221</v>
      </c>
      <c r="J25" s="38">
        <f t="shared" si="7"/>
        <v>0.82922222222222219</v>
      </c>
      <c r="K25" s="9">
        <f t="shared" si="8"/>
        <v>0.8392222222222222</v>
      </c>
      <c r="L25" s="7">
        <f t="shared" si="9"/>
        <v>3.713730866570561E-2</v>
      </c>
      <c r="M25" s="7">
        <f t="shared" si="10"/>
        <v>2.2126049064165061</v>
      </c>
      <c r="N25" s="7">
        <f t="shared" si="11"/>
        <v>0.12955473135506249</v>
      </c>
      <c r="O25" s="7">
        <f t="shared" si="12"/>
        <v>171.227504401494</v>
      </c>
      <c r="P25" s="7">
        <f t="shared" si="13"/>
        <v>26.433205348868</v>
      </c>
      <c r="Q25" s="239"/>
    </row>
    <row r="26" spans="1:17" s="10" customFormat="1" x14ac:dyDescent="0.25">
      <c r="A26" s="16" t="s">
        <v>50</v>
      </c>
      <c r="B26" s="165">
        <f>B12</f>
        <v>36</v>
      </c>
      <c r="C26" s="176" t="s">
        <v>1</v>
      </c>
      <c r="D26" s="237"/>
      <c r="E26" s="41">
        <f t="shared" si="4"/>
        <v>23</v>
      </c>
      <c r="F26" s="7">
        <f>IF((E26&lt;='Alternative 3'!$B$12),F25+1,"x")</f>
        <v>23</v>
      </c>
      <c r="G26" s="129">
        <f>IF(E26&lt;='Alternative 3'!$B$12,G25+1,0)</f>
        <v>22.5</v>
      </c>
      <c r="H26" s="39">
        <f t="shared" si="5"/>
        <v>1.6884999999999999</v>
      </c>
      <c r="I26" s="43">
        <f t="shared" si="6"/>
        <v>0.83927777777777779</v>
      </c>
      <c r="J26" s="38">
        <f t="shared" si="7"/>
        <v>0.81927777777777777</v>
      </c>
      <c r="K26" s="9">
        <f t="shared" si="8"/>
        <v>0.82927777777777778</v>
      </c>
      <c r="L26" s="7">
        <f t="shared" si="9"/>
        <v>3.5832704216762802E-2</v>
      </c>
      <c r="M26" s="7">
        <f t="shared" si="10"/>
        <v>2.1604786354293113</v>
      </c>
      <c r="N26" s="7">
        <f t="shared" si="11"/>
        <v>0.12878485826182517</v>
      </c>
      <c r="O26" s="7">
        <f t="shared" si="12"/>
        <v>180.08069411014924</v>
      </c>
      <c r="P26" s="7">
        <f t="shared" si="13"/>
        <v>27.966101694915253</v>
      </c>
      <c r="Q26" s="239"/>
    </row>
    <row r="27" spans="1:17" x14ac:dyDescent="0.25">
      <c r="A27" s="16" t="s">
        <v>139</v>
      </c>
      <c r="B27" s="165">
        <f>'Center of Gravity'!AR4</f>
        <v>16</v>
      </c>
      <c r="C27" s="176" t="s">
        <v>1</v>
      </c>
      <c r="D27" s="237"/>
      <c r="E27" s="41">
        <f t="shared" si="4"/>
        <v>24</v>
      </c>
      <c r="F27" s="7">
        <f>IF((E27&lt;='Alternative 3'!$B$12),F26+1,"x")</f>
        <v>24</v>
      </c>
      <c r="G27" s="129">
        <f>IF(E27&lt;='Alternative 3'!$B$12,G26+1,0)</f>
        <v>23.5</v>
      </c>
      <c r="H27" s="39">
        <f t="shared" si="5"/>
        <v>1.668611111111111</v>
      </c>
      <c r="I27" s="43">
        <f t="shared" si="6"/>
        <v>0.82933333333333337</v>
      </c>
      <c r="J27" s="38">
        <f t="shared" si="7"/>
        <v>0.80933333333333335</v>
      </c>
      <c r="K27" s="9">
        <f t="shared" si="8"/>
        <v>0.81933333333333336</v>
      </c>
      <c r="L27" s="7">
        <f t="shared" si="9"/>
        <v>3.4559016375244507E-2</v>
      </c>
      <c r="M27" s="7">
        <f t="shared" si="10"/>
        <v>2.1089737211168891</v>
      </c>
      <c r="N27" s="7">
        <f t="shared" si="11"/>
        <v>0.1280103551223665</v>
      </c>
      <c r="O27" s="7">
        <f t="shared" si="12"/>
        <v>189.04720619567811</v>
      </c>
      <c r="P27" s="7">
        <f t="shared" si="13"/>
        <v>29.536208299430431</v>
      </c>
      <c r="Q27" s="239"/>
    </row>
    <row r="28" spans="1:17" x14ac:dyDescent="0.25">
      <c r="A28" s="16" t="s">
        <v>143</v>
      </c>
      <c r="B28" s="166">
        <f>ROUND((B26-B27)/3+B27,2)</f>
        <v>22.67</v>
      </c>
      <c r="C28" s="176" t="s">
        <v>1</v>
      </c>
      <c r="D28" s="237"/>
      <c r="E28" s="41">
        <f t="shared" si="4"/>
        <v>25</v>
      </c>
      <c r="F28" s="7">
        <f>IF((E28&lt;='Alternative 3'!$B$12),F27+1,"x")</f>
        <v>25</v>
      </c>
      <c r="G28" s="129">
        <f>IF(E28&lt;='Alternative 3'!$B$12,G27+1,0)</f>
        <v>24.5</v>
      </c>
      <c r="H28" s="39">
        <f t="shared" si="5"/>
        <v>1.6487222222222222</v>
      </c>
      <c r="I28" s="43">
        <f t="shared" si="6"/>
        <v>0.81938888888888894</v>
      </c>
      <c r="J28" s="38">
        <f t="shared" si="7"/>
        <v>0.79938888888888893</v>
      </c>
      <c r="K28" s="9">
        <f t="shared" si="8"/>
        <v>0.80938888888888894</v>
      </c>
      <c r="L28" s="7">
        <f t="shared" si="9"/>
        <v>3.3315874398688806E-2</v>
      </c>
      <c r="M28" s="7">
        <f t="shared" si="10"/>
        <v>2.0580901634792381</v>
      </c>
      <c r="N28" s="7">
        <f t="shared" si="11"/>
        <v>0.12723113738228695</v>
      </c>
      <c r="O28" s="7">
        <f t="shared" si="12"/>
        <v>198.13022073040764</v>
      </c>
      <c r="P28" s="7">
        <f t="shared" si="13"/>
        <v>31.144896698469349</v>
      </c>
      <c r="Q28" s="239"/>
    </row>
    <row r="29" spans="1:17" x14ac:dyDescent="0.25">
      <c r="A29" s="16" t="s">
        <v>144</v>
      </c>
      <c r="B29" s="167">
        <f>ROUNDDOWN(2*(B26-B27)/3+B27,2)</f>
        <v>29.33</v>
      </c>
      <c r="C29" s="176" t="s">
        <v>1</v>
      </c>
      <c r="D29" s="237"/>
      <c r="E29" s="41">
        <f t="shared" si="4"/>
        <v>26</v>
      </c>
      <c r="F29" s="7">
        <f>IF((E29&lt;='Alternative 3'!$B$12),F28+1,"x")</f>
        <v>26</v>
      </c>
      <c r="G29" s="129">
        <f>IF(E29&lt;='Alternative 3'!$B$12,G28+1,0)</f>
        <v>25.5</v>
      </c>
      <c r="H29" s="39">
        <f t="shared" si="5"/>
        <v>1.6288333333333334</v>
      </c>
      <c r="I29" s="43">
        <f t="shared" si="6"/>
        <v>0.80944444444444441</v>
      </c>
      <c r="J29" s="38">
        <f t="shared" si="7"/>
        <v>0.78944444444444439</v>
      </c>
      <c r="K29" s="9">
        <f t="shared" si="8"/>
        <v>0.7994444444444444</v>
      </c>
      <c r="L29" s="7">
        <f t="shared" si="9"/>
        <v>3.2102907544633776E-2</v>
      </c>
      <c r="M29" s="7">
        <f t="shared" si="10"/>
        <v>2.007827962516358</v>
      </c>
      <c r="N29" s="7">
        <f t="shared" si="11"/>
        <v>0.12644711788184959</v>
      </c>
      <c r="O29" s="7">
        <f t="shared" si="12"/>
        <v>207.33305041529812</v>
      </c>
      <c r="P29" s="7">
        <f t="shared" si="13"/>
        <v>32.793606671299514</v>
      </c>
      <c r="Q29" s="239"/>
    </row>
    <row r="30" spans="1:17" x14ac:dyDescent="0.25">
      <c r="A30" s="16" t="s">
        <v>150</v>
      </c>
      <c r="B30" s="168">
        <f>'Alternative 3-Tilt Up'!N5</f>
        <v>5996068.2740079593</v>
      </c>
      <c r="C30" s="176" t="s">
        <v>28</v>
      </c>
      <c r="D30" s="237"/>
      <c r="E30" s="41">
        <f t="shared" si="4"/>
        <v>27</v>
      </c>
      <c r="F30" s="7">
        <f>IF((E30&lt;='Alternative 3'!$B$12),F29+1,"x")</f>
        <v>27</v>
      </c>
      <c r="G30" s="129">
        <f>IF(E30&lt;='Alternative 3'!$B$12,G29+1,0)</f>
        <v>26.5</v>
      </c>
      <c r="H30" s="39">
        <f t="shared" si="5"/>
        <v>1.6089444444444445</v>
      </c>
      <c r="I30" s="43">
        <f t="shared" si="6"/>
        <v>0.79949999999999999</v>
      </c>
      <c r="J30" s="38">
        <f t="shared" si="7"/>
        <v>0.77949999999999997</v>
      </c>
      <c r="K30" s="9">
        <f t="shared" si="8"/>
        <v>0.78949999999999998</v>
      </c>
      <c r="L30" s="7">
        <f t="shared" si="9"/>
        <v>3.0919745070617521E-2</v>
      </c>
      <c r="M30" s="7">
        <f t="shared" si="10"/>
        <v>1.9581871182282498</v>
      </c>
      <c r="N30" s="7">
        <f t="shared" si="11"/>
        <v>0.12565820674218758</v>
      </c>
      <c r="O30" s="7">
        <f t="shared" si="12"/>
        <v>216.65914790473985</v>
      </c>
      <c r="P30" s="7">
        <f t="shared" si="13"/>
        <v>34.483850538315387</v>
      </c>
      <c r="Q30" s="239"/>
    </row>
    <row r="31" spans="1:17" x14ac:dyDescent="0.25">
      <c r="A31" s="231" t="s">
        <v>54</v>
      </c>
      <c r="B31" s="231"/>
      <c r="C31" s="234"/>
      <c r="D31" s="237"/>
      <c r="E31" s="41">
        <f t="shared" si="4"/>
        <v>28</v>
      </c>
      <c r="F31" s="7">
        <f>IF((E31&lt;='Alternative 3'!$B$12),F30+1,"x")</f>
        <v>28</v>
      </c>
      <c r="G31" s="129">
        <f>IF(E31&lt;='Alternative 3'!$B$12,G30+1,0)</f>
        <v>27.5</v>
      </c>
      <c r="H31" s="39">
        <f t="shared" si="5"/>
        <v>1.5890555555555554</v>
      </c>
      <c r="I31" s="43">
        <f t="shared" si="6"/>
        <v>0.78955555555555557</v>
      </c>
      <c r="J31" s="38">
        <f t="shared" si="7"/>
        <v>0.76955555555555555</v>
      </c>
      <c r="K31" s="9">
        <f t="shared" si="8"/>
        <v>0.77955555555555556</v>
      </c>
      <c r="L31" s="7">
        <f t="shared" si="9"/>
        <v>2.9766016234178121E-2</v>
      </c>
      <c r="M31" s="7">
        <f t="shared" si="10"/>
        <v>1.9091676306149135</v>
      </c>
      <c r="N31" s="7">
        <f t="shared" si="11"/>
        <v>0.12486431124504048</v>
      </c>
      <c r="O31" s="7">
        <f t="shared" si="12"/>
        <v>226.11211363611108</v>
      </c>
      <c r="P31" s="7">
        <f t="shared" si="13"/>
        <v>36.217217787913341</v>
      </c>
      <c r="Q31" s="239"/>
    </row>
    <row r="32" spans="1:17" x14ac:dyDescent="0.25">
      <c r="A32" s="155" t="s">
        <v>33</v>
      </c>
      <c r="B32" s="169">
        <v>0.85</v>
      </c>
      <c r="C32" s="177" t="s">
        <v>43</v>
      </c>
      <c r="D32" s="237"/>
      <c r="E32" s="41">
        <f t="shared" si="4"/>
        <v>29</v>
      </c>
      <c r="F32" s="7">
        <f>IF((E32&lt;='Alternative 3'!$B$12),F31+1,"x")</f>
        <v>29</v>
      </c>
      <c r="G32" s="129">
        <f>IF(E32&lt;='Alternative 3'!$B$12,G31+1,0)</f>
        <v>28.5</v>
      </c>
      <c r="H32" s="39">
        <f t="shared" si="5"/>
        <v>1.5691666666666668</v>
      </c>
      <c r="I32" s="43">
        <f t="shared" si="6"/>
        <v>0.77961111111111103</v>
      </c>
      <c r="J32" s="38">
        <f t="shared" si="7"/>
        <v>0.75961111111111101</v>
      </c>
      <c r="K32" s="9">
        <f t="shared" si="8"/>
        <v>0.76961111111111102</v>
      </c>
      <c r="L32" s="7">
        <f t="shared" si="9"/>
        <v>2.8641350292853654E-2</v>
      </c>
      <c r="M32" s="7">
        <f t="shared" si="10"/>
        <v>1.8607694996763484</v>
      </c>
      <c r="N32" s="7">
        <f t="shared" si="11"/>
        <v>0.12406533570556415</v>
      </c>
      <c r="O32" s="7">
        <f t="shared" si="12"/>
        <v>235.69570420591882</v>
      </c>
      <c r="P32" s="7">
        <f t="shared" si="13"/>
        <v>37.995380062080422</v>
      </c>
      <c r="Q32" s="239"/>
    </row>
    <row r="33" spans="1:17" ht="18" x14ac:dyDescent="0.35">
      <c r="A33" s="155" t="s">
        <v>55</v>
      </c>
      <c r="B33" s="169">
        <v>0.7</v>
      </c>
      <c r="C33" s="177" t="s">
        <v>43</v>
      </c>
      <c r="D33" s="237"/>
      <c r="E33" s="41">
        <f t="shared" si="4"/>
        <v>30</v>
      </c>
      <c r="F33" s="7">
        <f>IF((E33&lt;='Alternative 3'!$B$12),F32+1,"x")</f>
        <v>30</v>
      </c>
      <c r="G33" s="129">
        <f>IF(E33&lt;='Alternative 3'!$B$12,G32+1,0)</f>
        <v>29.5</v>
      </c>
      <c r="H33" s="39">
        <f t="shared" si="5"/>
        <v>1.5492777777777778</v>
      </c>
      <c r="I33" s="43">
        <f t="shared" si="6"/>
        <v>0.76966666666666672</v>
      </c>
      <c r="J33" s="38">
        <f t="shared" si="7"/>
        <v>0.7496666666666667</v>
      </c>
      <c r="K33" s="9">
        <f t="shared" si="8"/>
        <v>0.75966666666666671</v>
      </c>
      <c r="L33" s="7">
        <f t="shared" si="9"/>
        <v>2.7545376504182238E-2</v>
      </c>
      <c r="M33" s="7">
        <f t="shared" si="10"/>
        <v>1.8129927254125557</v>
      </c>
      <c r="N33" s="7">
        <f t="shared" si="11"/>
        <v>0.12326118133772013</v>
      </c>
      <c r="O33" s="7">
        <f t="shared" si="12"/>
        <v>245.41384133840813</v>
      </c>
      <c r="P33" s="7">
        <f t="shared" si="13"/>
        <v>39.820096533567352</v>
      </c>
      <c r="Q33" s="239"/>
    </row>
    <row r="34" spans="1:17" ht="18" x14ac:dyDescent="0.35">
      <c r="A34" s="155" t="s">
        <v>57</v>
      </c>
      <c r="B34" s="169">
        <v>1</v>
      </c>
      <c r="C34" s="177" t="s">
        <v>43</v>
      </c>
      <c r="D34" s="237"/>
      <c r="E34" s="41">
        <f t="shared" si="4"/>
        <v>31</v>
      </c>
      <c r="F34" s="7">
        <f>IF((E34&lt;='Alternative 3'!$B$12),F33+1,"x")</f>
        <v>31</v>
      </c>
      <c r="G34" s="129">
        <f>IF(E34&lt;='Alternative 3'!$B$12,G33+1,0)</f>
        <v>30.5</v>
      </c>
      <c r="H34" s="39">
        <f t="shared" si="5"/>
        <v>1.5293888888888889</v>
      </c>
      <c r="I34" s="43">
        <f t="shared" si="6"/>
        <v>0.75972222222222219</v>
      </c>
      <c r="J34" s="38">
        <f t="shared" si="7"/>
        <v>0.73972222222222217</v>
      </c>
      <c r="K34" s="9">
        <f t="shared" si="8"/>
        <v>0.74972222222222218</v>
      </c>
      <c r="L34" s="7">
        <f t="shared" si="9"/>
        <v>2.6477724125701898E-2</v>
      </c>
      <c r="M34" s="7">
        <f t="shared" si="10"/>
        <v>1.7658373078235334</v>
      </c>
      <c r="N34" s="7">
        <f t="shared" si="11"/>
        <v>0.12245174611170846</v>
      </c>
      <c r="O34" s="7">
        <f t="shared" si="12"/>
        <v>255.27062149703806</v>
      </c>
      <c r="P34" s="7">
        <f t="shared" si="13"/>
        <v>41.693219711004076</v>
      </c>
      <c r="Q34" s="239"/>
    </row>
    <row r="35" spans="1:17" ht="18" x14ac:dyDescent="0.35">
      <c r="A35" s="155" t="s">
        <v>58</v>
      </c>
      <c r="B35" s="169">
        <v>0.95</v>
      </c>
      <c r="C35" s="177" t="s">
        <v>43</v>
      </c>
      <c r="D35" s="237"/>
      <c r="E35" s="41">
        <f t="shared" si="4"/>
        <v>32</v>
      </c>
      <c r="F35" s="7">
        <f>IF((E35&lt;='Alternative 3'!$B$12),F34+1,"x")</f>
        <v>32</v>
      </c>
      <c r="G35" s="129">
        <f>IF(E35&lt;='Alternative 3'!$B$12,G34+1,0)</f>
        <v>31.5</v>
      </c>
      <c r="H35" s="39">
        <f t="shared" si="5"/>
        <v>1.5095000000000001</v>
      </c>
      <c r="I35" s="43">
        <f t="shared" si="6"/>
        <v>0.74977777777777777</v>
      </c>
      <c r="J35" s="38">
        <f t="shared" si="7"/>
        <v>0.72977777777777775</v>
      </c>
      <c r="K35" s="9">
        <f t="shared" si="8"/>
        <v>0.73977777777777776</v>
      </c>
      <c r="L35" s="7">
        <f t="shared" si="9"/>
        <v>2.5438022414950787E-2</v>
      </c>
      <c r="M35" s="7">
        <f t="shared" si="10"/>
        <v>1.7193032469092839</v>
      </c>
      <c r="N35" s="7">
        <f t="shared" si="11"/>
        <v>0.12163692460286185</v>
      </c>
      <c r="O35" s="7">
        <f t="shared" si="12"/>
        <v>265.27032619425091</v>
      </c>
      <c r="P35" s="7">
        <f t="shared" si="13"/>
        <v>43.616701712225897</v>
      </c>
      <c r="Q35" s="239"/>
    </row>
    <row r="36" spans="1:17" ht="17.25" x14ac:dyDescent="0.25">
      <c r="A36" s="156" t="s">
        <v>59</v>
      </c>
      <c r="B36" s="169">
        <f>44.704^2</f>
        <v>1998.4476160000002</v>
      </c>
      <c r="C36" s="177" t="s">
        <v>43</v>
      </c>
      <c r="D36" s="237"/>
      <c r="E36" s="41">
        <f t="shared" si="4"/>
        <v>33</v>
      </c>
      <c r="F36" s="7">
        <f>IF((E36&lt;='Alternative 3'!$B$12),F35+1,"x")</f>
        <v>33</v>
      </c>
      <c r="G36" s="129">
        <f>IF(E36&lt;='Alternative 3'!$B$12,G35+1,0)</f>
        <v>32.5</v>
      </c>
      <c r="H36" s="39">
        <f t="shared" si="5"/>
        <v>1.489611111111111</v>
      </c>
      <c r="I36" s="43">
        <f t="shared" si="6"/>
        <v>0.73983333333333334</v>
      </c>
      <c r="J36" s="38">
        <f t="shared" si="7"/>
        <v>0.71983333333333333</v>
      </c>
      <c r="K36" s="9">
        <f t="shared" si="8"/>
        <v>0.72983333333333333</v>
      </c>
      <c r="L36" s="7">
        <f t="shared" si="9"/>
        <v>2.4425900629466941E-2</v>
      </c>
      <c r="M36" s="7">
        <f t="shared" si="10"/>
        <v>1.6733905426698055</v>
      </c>
      <c r="N36" s="7">
        <f t="shared" si="11"/>
        <v>0.12081660783136682</v>
      </c>
      <c r="O36" s="7">
        <f t="shared" si="12"/>
        <v>275.41743306056497</v>
      </c>
      <c r="P36" s="7">
        <f t="shared" si="13"/>
        <v>45.59260105046814</v>
      </c>
      <c r="Q36" s="239"/>
    </row>
    <row r="37" spans="1:17" x14ac:dyDescent="0.25">
      <c r="A37" s="231" t="s">
        <v>60</v>
      </c>
      <c r="B37" s="231"/>
      <c r="C37" s="234"/>
      <c r="D37" s="237"/>
      <c r="E37" s="41">
        <f t="shared" si="4"/>
        <v>34</v>
      </c>
      <c r="F37" s="7">
        <f>IF((E37&lt;='Alternative 3'!$B$12),F36+1,"x")</f>
        <v>34</v>
      </c>
      <c r="G37" s="129">
        <f>IF(E37&lt;='Alternative 3'!$B$12,G36+1,0)</f>
        <v>33.5</v>
      </c>
      <c r="H37" s="39">
        <f t="shared" si="5"/>
        <v>1.4697222222222222</v>
      </c>
      <c r="I37" s="43">
        <f t="shared" si="6"/>
        <v>0.72988888888888881</v>
      </c>
      <c r="J37" s="38">
        <f t="shared" si="7"/>
        <v>0.70988888888888879</v>
      </c>
      <c r="K37" s="9">
        <f t="shared" si="8"/>
        <v>0.7198888888888888</v>
      </c>
      <c r="L37" s="7">
        <f t="shared" si="9"/>
        <v>2.3440988026788467E-2</v>
      </c>
      <c r="M37" s="7">
        <f t="shared" si="10"/>
        <v>1.6280991951050983</v>
      </c>
      <c r="N37" s="7">
        <f t="shared" si="11"/>
        <v>0.11999068309212292</v>
      </c>
      <c r="O37" s="7">
        <f t="shared" si="12"/>
        <v>285.71662774027448</v>
      </c>
      <c r="P37" s="7">
        <f t="shared" si="13"/>
        <v>47.623089983022076</v>
      </c>
      <c r="Q37" s="239"/>
    </row>
    <row r="38" spans="1:17" x14ac:dyDescent="0.25">
      <c r="A38" s="156" t="s">
        <v>61</v>
      </c>
      <c r="B38" s="170">
        <f>B13/B12</f>
        <v>867.098421946705</v>
      </c>
      <c r="C38" s="178" t="s">
        <v>62</v>
      </c>
      <c r="D38" s="237"/>
      <c r="E38" s="41">
        <f t="shared" si="4"/>
        <v>35</v>
      </c>
      <c r="F38" s="7">
        <f>IF((E38&lt;='Alternative 3'!$B$12),F37+1,"x")</f>
        <v>35</v>
      </c>
      <c r="G38" s="129">
        <f>IF(E38&lt;='Alternative 3'!$B$12,G37+1,0)</f>
        <v>34.5</v>
      </c>
      <c r="H38" s="39">
        <f t="shared" si="5"/>
        <v>1.4498333333333333</v>
      </c>
      <c r="I38" s="43">
        <f t="shared" si="6"/>
        <v>0.7199444444444445</v>
      </c>
      <c r="J38" s="38">
        <f t="shared" si="7"/>
        <v>0.69994444444444448</v>
      </c>
      <c r="K38" s="9">
        <f t="shared" si="8"/>
        <v>0.70994444444444449</v>
      </c>
      <c r="L38" s="7">
        <f t="shared" si="9"/>
        <v>2.2482913864453471E-2</v>
      </c>
      <c r="M38" s="7">
        <f t="shared" si="10"/>
        <v>1.5834292042151636</v>
      </c>
      <c r="N38" s="7">
        <f t="shared" si="11"/>
        <v>0.11915903377398739</v>
      </c>
      <c r="O38" s="7">
        <f t="shared" si="12"/>
        <v>296.17281668803605</v>
      </c>
      <c r="P38" s="7">
        <f t="shared" si="13"/>
        <v>49.710462477502148</v>
      </c>
      <c r="Q38" s="239"/>
    </row>
    <row r="39" spans="1:17" x14ac:dyDescent="0.25">
      <c r="A39" s="156" t="s">
        <v>61</v>
      </c>
      <c r="B39" s="170">
        <f>B14/B12</f>
        <v>8503.3307395836546</v>
      </c>
      <c r="C39" s="178" t="s">
        <v>28</v>
      </c>
      <c r="D39" s="237"/>
      <c r="E39" s="41">
        <f t="shared" si="4"/>
        <v>36</v>
      </c>
      <c r="F39" s="7">
        <f>IF((E39&lt;='Alternative 3'!$B$12),F38+1,"x")</f>
        <v>36</v>
      </c>
      <c r="G39" s="129">
        <f>IF(E39&lt;='Alternative 3'!$B$12,G38+1,0)</f>
        <v>35.5</v>
      </c>
      <c r="H39" s="39">
        <f t="shared" si="5"/>
        <v>1.4299444444444442</v>
      </c>
      <c r="I39" s="43">
        <f t="shared" si="6"/>
        <v>0.71</v>
      </c>
      <c r="J39" s="38">
        <f t="shared" si="7"/>
        <v>0.69</v>
      </c>
      <c r="K39" s="9">
        <f t="shared" si="8"/>
        <v>0.7</v>
      </c>
      <c r="L39" s="7">
        <f t="shared" si="9"/>
        <v>2.1551307399999994E-2</v>
      </c>
      <c r="M39" s="7">
        <f t="shared" si="10"/>
        <v>1.5393805699999998</v>
      </c>
      <c r="N39" s="7">
        <f t="shared" si="11"/>
        <v>0.11832153916758457</v>
      </c>
      <c r="O39" s="7">
        <f t="shared" si="12"/>
        <v>306.79114094845011</v>
      </c>
      <c r="P39" s="7">
        <f t="shared" si="13"/>
        <v>51.857142857142854</v>
      </c>
      <c r="Q39" s="239"/>
    </row>
    <row r="40" spans="1:17" x14ac:dyDescent="0.25">
      <c r="A40" s="156" t="s">
        <v>64</v>
      </c>
      <c r="B40" s="171">
        <v>1.1000000000000001</v>
      </c>
      <c r="C40" s="177" t="s">
        <v>43</v>
      </c>
      <c r="D40" s="237"/>
      <c r="E40" s="41">
        <f t="shared" si="4"/>
        <v>37</v>
      </c>
      <c r="F40" s="7" t="str">
        <f>IF((E40&lt;='Alternative 3'!$B$12),F39+1,"x")</f>
        <v>x</v>
      </c>
      <c r="G40" s="129">
        <f>IF(E40&lt;='Alternative 3'!$B$12,G39+1,0)</f>
        <v>0</v>
      </c>
      <c r="H40" s="39">
        <f t="shared" si="5"/>
        <v>2.1360000000000001</v>
      </c>
      <c r="I40" s="43" t="e">
        <f t="shared" si="6"/>
        <v>#VALUE!</v>
      </c>
      <c r="J40" s="38" t="e">
        <f t="shared" si="7"/>
        <v>#VALUE!</v>
      </c>
      <c r="K40" s="9" t="e">
        <f t="shared" si="8"/>
        <v>#VALUE!</v>
      </c>
      <c r="L40" s="7" t="e">
        <f t="shared" si="9"/>
        <v>#VALUE!</v>
      </c>
      <c r="M40" s="7" t="e">
        <f t="shared" si="10"/>
        <v>#VALUE!</v>
      </c>
      <c r="N40" s="7" t="e">
        <f t="shared" si="11"/>
        <v>#VALUE!</v>
      </c>
      <c r="O40" s="7" t="e">
        <f t="shared" si="12"/>
        <v>#VALUE!</v>
      </c>
      <c r="P40" s="7" t="e">
        <f t="shared" si="13"/>
        <v>#VALUE!</v>
      </c>
      <c r="Q40" s="239"/>
    </row>
    <row r="41" spans="1:17" ht="30" x14ac:dyDescent="0.25">
      <c r="A41" s="157" t="s">
        <v>93</v>
      </c>
      <c r="B41" s="170">
        <f>'Dynamic Loading'!Y3</f>
        <v>19615.019341482042</v>
      </c>
      <c r="C41" s="179" t="s">
        <v>28</v>
      </c>
      <c r="D41" s="237"/>
      <c r="E41" s="41">
        <f t="shared" si="4"/>
        <v>38</v>
      </c>
      <c r="F41" s="7" t="str">
        <f>IF((E41&lt;='Alternative 3'!$B$12),F40+1,"x")</f>
        <v>x</v>
      </c>
      <c r="G41" s="129">
        <f>IF(E41&lt;='Alternative 3'!$B$12,G40+1,0)</f>
        <v>0</v>
      </c>
      <c r="H41" s="39">
        <f t="shared" si="5"/>
        <v>2.1360000000000001</v>
      </c>
      <c r="I41" s="43" t="e">
        <f t="shared" si="6"/>
        <v>#VALUE!</v>
      </c>
      <c r="J41" s="38" t="e">
        <f t="shared" si="7"/>
        <v>#VALUE!</v>
      </c>
      <c r="K41" s="9" t="e">
        <f t="shared" si="8"/>
        <v>#VALUE!</v>
      </c>
      <c r="L41" s="7" t="e">
        <f t="shared" si="9"/>
        <v>#VALUE!</v>
      </c>
      <c r="M41" s="7" t="e">
        <f t="shared" si="10"/>
        <v>#VALUE!</v>
      </c>
      <c r="N41" s="7" t="e">
        <f t="shared" si="11"/>
        <v>#VALUE!</v>
      </c>
      <c r="O41" s="7" t="e">
        <f t="shared" si="12"/>
        <v>#VALUE!</v>
      </c>
      <c r="P41" s="7" t="e">
        <f t="shared" si="13"/>
        <v>#VALUE!</v>
      </c>
      <c r="Q41" s="239"/>
    </row>
    <row r="42" spans="1:17" x14ac:dyDescent="0.25">
      <c r="A42" s="156" t="s">
        <v>65</v>
      </c>
      <c r="B42" s="169">
        <v>13.4</v>
      </c>
      <c r="C42" s="179" t="s">
        <v>20</v>
      </c>
      <c r="D42" s="237"/>
      <c r="E42" s="41">
        <f t="shared" si="4"/>
        <v>39</v>
      </c>
      <c r="F42" s="7" t="str">
        <f>IF((E42&lt;='Alternative 3'!$B$12),F41+1,"x")</f>
        <v>x</v>
      </c>
      <c r="G42" s="129">
        <f>IF(E42&lt;='Alternative 3'!$B$12,G41+1,0)</f>
        <v>0</v>
      </c>
      <c r="H42" s="39">
        <f t="shared" si="5"/>
        <v>2.1360000000000001</v>
      </c>
      <c r="I42" s="43" t="e">
        <f t="shared" si="6"/>
        <v>#VALUE!</v>
      </c>
      <c r="J42" s="38" t="e">
        <f t="shared" si="7"/>
        <v>#VALUE!</v>
      </c>
      <c r="K42" s="9" t="e">
        <f t="shared" si="8"/>
        <v>#VALUE!</v>
      </c>
      <c r="L42" s="7" t="e">
        <f t="shared" si="9"/>
        <v>#VALUE!</v>
      </c>
      <c r="M42" s="7" t="e">
        <f t="shared" si="10"/>
        <v>#VALUE!</v>
      </c>
      <c r="N42" s="7" t="e">
        <f t="shared" si="11"/>
        <v>#VALUE!</v>
      </c>
      <c r="O42" s="7" t="e">
        <f t="shared" si="12"/>
        <v>#VALUE!</v>
      </c>
      <c r="P42" s="7" t="e">
        <f t="shared" si="13"/>
        <v>#VALUE!</v>
      </c>
      <c r="Q42" s="239"/>
    </row>
    <row r="43" spans="1:17" x14ac:dyDescent="0.25">
      <c r="A43" s="156" t="s">
        <v>66</v>
      </c>
      <c r="B43" s="169">
        <v>12</v>
      </c>
      <c r="C43" s="179" t="s">
        <v>20</v>
      </c>
      <c r="D43" s="237"/>
      <c r="E43" s="41">
        <f t="shared" si="4"/>
        <v>40</v>
      </c>
      <c r="F43" s="7" t="str">
        <f>IF((E43&lt;='Alternative 3'!$B$12),F42+1,"x")</f>
        <v>x</v>
      </c>
      <c r="G43" s="129">
        <f>IF(E43&lt;='Alternative 3'!$B$12,G42+1,0)</f>
        <v>0</v>
      </c>
      <c r="H43" s="39">
        <f t="shared" si="5"/>
        <v>2.1360000000000001</v>
      </c>
      <c r="I43" s="43" t="e">
        <f t="shared" si="6"/>
        <v>#VALUE!</v>
      </c>
      <c r="J43" s="38" t="e">
        <f t="shared" si="7"/>
        <v>#VALUE!</v>
      </c>
      <c r="K43" s="9" t="e">
        <f t="shared" si="8"/>
        <v>#VALUE!</v>
      </c>
      <c r="L43" s="7" t="e">
        <f t="shared" si="9"/>
        <v>#VALUE!</v>
      </c>
      <c r="M43" s="7" t="e">
        <f t="shared" si="10"/>
        <v>#VALUE!</v>
      </c>
      <c r="N43" s="7" t="e">
        <f t="shared" si="11"/>
        <v>#VALUE!</v>
      </c>
      <c r="O43" s="7" t="e">
        <f t="shared" si="12"/>
        <v>#VALUE!</v>
      </c>
      <c r="P43" s="7" t="e">
        <f t="shared" si="13"/>
        <v>#VALUE!</v>
      </c>
      <c r="Q43" s="239"/>
    </row>
    <row r="44" spans="1:17" x14ac:dyDescent="0.25">
      <c r="A44" s="156" t="s">
        <v>67</v>
      </c>
      <c r="B44" s="169">
        <v>7.5</v>
      </c>
      <c r="C44" s="179" t="s">
        <v>20</v>
      </c>
      <c r="D44" s="237"/>
      <c r="E44" s="41">
        <f t="shared" si="4"/>
        <v>41</v>
      </c>
      <c r="F44" s="7" t="str">
        <f>IF((E44&lt;='Alternative 3'!$B$12),F43+1,"x")</f>
        <v>x</v>
      </c>
      <c r="G44" s="129">
        <f>IF(E44&lt;='Alternative 3'!$B$12,G43+1,0)</f>
        <v>0</v>
      </c>
      <c r="H44" s="39">
        <f t="shared" si="5"/>
        <v>2.1360000000000001</v>
      </c>
      <c r="I44" s="43" t="e">
        <f t="shared" si="6"/>
        <v>#VALUE!</v>
      </c>
      <c r="J44" s="38" t="e">
        <f t="shared" si="7"/>
        <v>#VALUE!</v>
      </c>
      <c r="K44" s="9" t="e">
        <f t="shared" si="8"/>
        <v>#VALUE!</v>
      </c>
      <c r="L44" s="7" t="e">
        <f t="shared" si="9"/>
        <v>#VALUE!</v>
      </c>
      <c r="M44" s="7" t="e">
        <f t="shared" si="10"/>
        <v>#VALUE!</v>
      </c>
      <c r="N44" s="7" t="e">
        <f t="shared" si="11"/>
        <v>#VALUE!</v>
      </c>
      <c r="O44" s="7" t="e">
        <f t="shared" si="12"/>
        <v>#VALUE!</v>
      </c>
      <c r="P44" s="7" t="e">
        <f t="shared" si="13"/>
        <v>#VALUE!</v>
      </c>
      <c r="Q44" s="239"/>
    </row>
    <row r="45" spans="1:17" x14ac:dyDescent="0.25">
      <c r="A45" s="156" t="s">
        <v>68</v>
      </c>
      <c r="B45" s="169">
        <v>3</v>
      </c>
      <c r="C45" s="179" t="s">
        <v>20</v>
      </c>
      <c r="D45" s="237"/>
      <c r="E45" s="41">
        <f t="shared" si="4"/>
        <v>42</v>
      </c>
      <c r="F45" s="7" t="str">
        <f>IF((E45&lt;='Alternative 3'!$B$12),F44+1,"x")</f>
        <v>x</v>
      </c>
      <c r="G45" s="129">
        <f>IF(E45&lt;='Alternative 3'!$B$12,G44+1,0)</f>
        <v>0</v>
      </c>
      <c r="H45" s="39">
        <f t="shared" si="5"/>
        <v>2.1360000000000001</v>
      </c>
      <c r="I45" s="43" t="e">
        <f t="shared" si="6"/>
        <v>#VALUE!</v>
      </c>
      <c r="J45" s="38" t="e">
        <f t="shared" si="7"/>
        <v>#VALUE!</v>
      </c>
      <c r="K45" s="9" t="e">
        <f t="shared" si="8"/>
        <v>#VALUE!</v>
      </c>
      <c r="L45" s="7" t="e">
        <f t="shared" si="9"/>
        <v>#VALUE!</v>
      </c>
      <c r="M45" s="7" t="e">
        <f t="shared" si="10"/>
        <v>#VALUE!</v>
      </c>
      <c r="N45" s="7" t="e">
        <f t="shared" si="11"/>
        <v>#VALUE!</v>
      </c>
      <c r="O45" s="7" t="e">
        <f t="shared" si="12"/>
        <v>#VALUE!</v>
      </c>
      <c r="P45" s="7" t="e">
        <f t="shared" si="13"/>
        <v>#VALUE!</v>
      </c>
      <c r="Q45" s="239"/>
    </row>
    <row r="46" spans="1:17" x14ac:dyDescent="0.25">
      <c r="A46" s="156" t="s">
        <v>69</v>
      </c>
      <c r="B46" s="171">
        <v>4.2</v>
      </c>
      <c r="C46" s="177" t="s">
        <v>43</v>
      </c>
      <c r="D46" s="237"/>
      <c r="E46" s="41">
        <f t="shared" si="4"/>
        <v>43</v>
      </c>
      <c r="F46" s="7" t="str">
        <f>IF((E46&lt;='Alternative 3'!$B$12),F45+1,"x")</f>
        <v>x</v>
      </c>
      <c r="G46" s="129">
        <f>IF(E46&lt;='Alternative 3'!$B$12,G45+1,0)</f>
        <v>0</v>
      </c>
      <c r="H46" s="39">
        <f t="shared" si="5"/>
        <v>2.1360000000000001</v>
      </c>
      <c r="I46" s="43" t="e">
        <f t="shared" si="6"/>
        <v>#VALUE!</v>
      </c>
      <c r="J46" s="38" t="e">
        <f t="shared" si="7"/>
        <v>#VALUE!</v>
      </c>
      <c r="K46" s="9" t="e">
        <f t="shared" si="8"/>
        <v>#VALUE!</v>
      </c>
      <c r="L46" s="7" t="e">
        <f t="shared" si="9"/>
        <v>#VALUE!</v>
      </c>
      <c r="M46" s="7" t="e">
        <f t="shared" si="10"/>
        <v>#VALUE!</v>
      </c>
      <c r="N46" s="7" t="e">
        <f t="shared" si="11"/>
        <v>#VALUE!</v>
      </c>
      <c r="O46" s="7" t="e">
        <f t="shared" si="12"/>
        <v>#VALUE!</v>
      </c>
      <c r="P46" s="7" t="e">
        <f t="shared" si="13"/>
        <v>#VALUE!</v>
      </c>
      <c r="Q46" s="239"/>
    </row>
    <row r="47" spans="1:17" ht="18" x14ac:dyDescent="0.35">
      <c r="A47" s="156" t="s">
        <v>70</v>
      </c>
      <c r="B47" s="171">
        <v>0.56000000000000005</v>
      </c>
      <c r="C47" s="177" t="s">
        <v>43</v>
      </c>
      <c r="D47" s="237"/>
      <c r="E47" s="41">
        <f t="shared" si="4"/>
        <v>44</v>
      </c>
      <c r="F47" s="7" t="str">
        <f>IF((E47&lt;='Alternative 3'!$B$12),F46+1,"x")</f>
        <v>x</v>
      </c>
      <c r="G47" s="129">
        <f>IF(E47&lt;='Alternative 3'!$B$12,G46+1,0)</f>
        <v>0</v>
      </c>
      <c r="H47" s="39">
        <f t="shared" si="5"/>
        <v>2.1360000000000001</v>
      </c>
      <c r="I47" s="43" t="e">
        <f t="shared" si="6"/>
        <v>#VALUE!</v>
      </c>
      <c r="J47" s="38" t="e">
        <f t="shared" si="7"/>
        <v>#VALUE!</v>
      </c>
      <c r="K47" s="9" t="e">
        <f t="shared" si="8"/>
        <v>#VALUE!</v>
      </c>
      <c r="L47" s="7" t="e">
        <f t="shared" si="9"/>
        <v>#VALUE!</v>
      </c>
      <c r="M47" s="7" t="e">
        <f t="shared" si="10"/>
        <v>#VALUE!</v>
      </c>
      <c r="N47" s="7" t="e">
        <f t="shared" si="11"/>
        <v>#VALUE!</v>
      </c>
      <c r="O47" s="7" t="e">
        <f t="shared" si="12"/>
        <v>#VALUE!</v>
      </c>
      <c r="P47" s="7" t="e">
        <f t="shared" si="13"/>
        <v>#VALUE!</v>
      </c>
      <c r="Q47" s="239"/>
    </row>
    <row r="48" spans="1:17" x14ac:dyDescent="0.25">
      <c r="A48" s="156" t="s">
        <v>71</v>
      </c>
      <c r="B48" s="171">
        <v>1.2250000000000001</v>
      </c>
      <c r="C48" s="179" t="s">
        <v>72</v>
      </c>
      <c r="D48" s="237"/>
      <c r="E48" s="41">
        <f t="shared" si="4"/>
        <v>45</v>
      </c>
      <c r="F48" s="7" t="str">
        <f>IF((E48&lt;='Alternative 3'!$B$12),F47+1,"x")</f>
        <v>x</v>
      </c>
      <c r="G48" s="129">
        <f>IF(E48&lt;='Alternative 3'!$B$12,G47+1,0)</f>
        <v>0</v>
      </c>
      <c r="H48" s="39">
        <f t="shared" si="5"/>
        <v>2.1360000000000001</v>
      </c>
      <c r="I48" s="43" t="e">
        <f t="shared" si="6"/>
        <v>#VALUE!</v>
      </c>
      <c r="J48" s="38" t="e">
        <f t="shared" si="7"/>
        <v>#VALUE!</v>
      </c>
      <c r="K48" s="9" t="e">
        <f t="shared" si="8"/>
        <v>#VALUE!</v>
      </c>
      <c r="L48" s="7" t="e">
        <f t="shared" si="9"/>
        <v>#VALUE!</v>
      </c>
      <c r="M48" s="7" t="e">
        <f t="shared" si="10"/>
        <v>#VALUE!</v>
      </c>
      <c r="N48" s="7" t="e">
        <f t="shared" si="11"/>
        <v>#VALUE!</v>
      </c>
      <c r="O48" s="7" t="e">
        <f t="shared" si="12"/>
        <v>#VALUE!</v>
      </c>
      <c r="P48" s="7" t="e">
        <f t="shared" si="13"/>
        <v>#VALUE!</v>
      </c>
      <c r="Q48" s="239"/>
    </row>
    <row r="49" spans="1:17" x14ac:dyDescent="0.25">
      <c r="A49" s="158" t="s">
        <v>73</v>
      </c>
      <c r="B49" s="172">
        <f>PI()*(B9/2)^2</f>
        <v>289.52917895483534</v>
      </c>
      <c r="C49" s="180" t="s">
        <v>74</v>
      </c>
      <c r="D49" s="237"/>
      <c r="E49" s="41">
        <f t="shared" si="4"/>
        <v>46</v>
      </c>
      <c r="F49" s="7" t="str">
        <f>IF((E49&lt;='Alternative 3'!$B$12),F48+1,"x")</f>
        <v>x</v>
      </c>
      <c r="G49" s="129">
        <f>IF(E49&lt;='Alternative 3'!$B$12,G48+1,0)</f>
        <v>0</v>
      </c>
      <c r="H49" s="39">
        <f t="shared" si="5"/>
        <v>2.1360000000000001</v>
      </c>
      <c r="I49" s="43" t="e">
        <f t="shared" si="6"/>
        <v>#VALUE!</v>
      </c>
      <c r="J49" s="38" t="e">
        <f t="shared" si="7"/>
        <v>#VALUE!</v>
      </c>
      <c r="K49" s="9" t="e">
        <f t="shared" si="8"/>
        <v>#VALUE!</v>
      </c>
      <c r="L49" s="7" t="e">
        <f t="shared" si="9"/>
        <v>#VALUE!</v>
      </c>
      <c r="M49" s="7" t="e">
        <f t="shared" si="10"/>
        <v>#VALUE!</v>
      </c>
      <c r="N49" s="7" t="e">
        <f t="shared" si="11"/>
        <v>#VALUE!</v>
      </c>
      <c r="O49" s="7" t="e">
        <f t="shared" si="12"/>
        <v>#VALUE!</v>
      </c>
      <c r="P49" s="7" t="e">
        <f t="shared" si="13"/>
        <v>#VALUE!</v>
      </c>
      <c r="Q49" s="239"/>
    </row>
    <row r="50" spans="1:17" x14ac:dyDescent="0.25">
      <c r="A50" s="159"/>
      <c r="B50" s="173"/>
      <c r="C50" s="181"/>
      <c r="D50" s="237"/>
      <c r="E50" s="41">
        <f t="shared" si="4"/>
        <v>47</v>
      </c>
      <c r="F50" s="7" t="str">
        <f>IF((E50&lt;='Alternative 3'!$B$12),F49+1,"x")</f>
        <v>x</v>
      </c>
      <c r="G50" s="129">
        <f>IF(E50&lt;='Alternative 3'!$B$12,G49+1,0)</f>
        <v>0</v>
      </c>
      <c r="H50" s="39">
        <f t="shared" si="5"/>
        <v>2.1360000000000001</v>
      </c>
      <c r="I50" s="43" t="e">
        <f t="shared" si="6"/>
        <v>#VALUE!</v>
      </c>
      <c r="J50" s="38" t="e">
        <f t="shared" si="7"/>
        <v>#VALUE!</v>
      </c>
      <c r="K50" s="9" t="e">
        <f t="shared" si="8"/>
        <v>#VALUE!</v>
      </c>
      <c r="L50" s="7" t="e">
        <f t="shared" si="9"/>
        <v>#VALUE!</v>
      </c>
      <c r="M50" s="7" t="e">
        <f t="shared" si="10"/>
        <v>#VALUE!</v>
      </c>
      <c r="N50" s="7" t="e">
        <f t="shared" si="11"/>
        <v>#VALUE!</v>
      </c>
      <c r="O50" s="7" t="e">
        <f t="shared" si="12"/>
        <v>#VALUE!</v>
      </c>
      <c r="P50" s="7" t="e">
        <f t="shared" si="13"/>
        <v>#VALUE!</v>
      </c>
      <c r="Q50" s="239"/>
    </row>
    <row r="51" spans="1:17" x14ac:dyDescent="0.25">
      <c r="D51" s="237"/>
      <c r="E51" s="41">
        <f t="shared" si="4"/>
        <v>48</v>
      </c>
      <c r="F51" s="7" t="str">
        <f>IF((E51&lt;='Alternative 3'!$B$12),F50+1,"x")</f>
        <v>x</v>
      </c>
      <c r="G51" s="129">
        <f>IF(E51&lt;='Alternative 3'!$B$12,G50+1,0)</f>
        <v>0</v>
      </c>
      <c r="H51" s="39">
        <f t="shared" si="5"/>
        <v>2.1360000000000001</v>
      </c>
      <c r="I51" s="43" t="e">
        <f t="shared" si="6"/>
        <v>#VALUE!</v>
      </c>
      <c r="J51" s="38" t="e">
        <f t="shared" si="7"/>
        <v>#VALUE!</v>
      </c>
      <c r="K51" s="9" t="e">
        <f t="shared" si="8"/>
        <v>#VALUE!</v>
      </c>
      <c r="L51" s="7" t="e">
        <f t="shared" si="9"/>
        <v>#VALUE!</v>
      </c>
      <c r="M51" s="7" t="e">
        <f t="shared" si="10"/>
        <v>#VALUE!</v>
      </c>
      <c r="N51" s="7" t="e">
        <f t="shared" si="11"/>
        <v>#VALUE!</v>
      </c>
      <c r="O51" s="7" t="e">
        <f t="shared" si="12"/>
        <v>#VALUE!</v>
      </c>
      <c r="P51" s="7" t="e">
        <f t="shared" si="13"/>
        <v>#VALUE!</v>
      </c>
      <c r="Q51" s="239"/>
    </row>
    <row r="52" spans="1:17" x14ac:dyDescent="0.25">
      <c r="D52" s="237"/>
      <c r="E52" s="41">
        <f t="shared" si="4"/>
        <v>49</v>
      </c>
      <c r="F52" s="7" t="str">
        <f>IF((E52&lt;='Alternative 3'!$B$12),F51+1,"x")</f>
        <v>x</v>
      </c>
      <c r="G52" s="129">
        <f>IF(E52&lt;='Alternative 3'!$B$12,G51+1,0)</f>
        <v>0</v>
      </c>
      <c r="H52" s="39">
        <f t="shared" si="5"/>
        <v>2.1360000000000001</v>
      </c>
      <c r="I52" s="43" t="e">
        <f t="shared" si="6"/>
        <v>#VALUE!</v>
      </c>
      <c r="J52" s="38" t="e">
        <f t="shared" si="7"/>
        <v>#VALUE!</v>
      </c>
      <c r="K52" s="9" t="e">
        <f t="shared" si="8"/>
        <v>#VALUE!</v>
      </c>
      <c r="L52" s="7" t="e">
        <f t="shared" si="9"/>
        <v>#VALUE!</v>
      </c>
      <c r="M52" s="7" t="e">
        <f t="shared" si="10"/>
        <v>#VALUE!</v>
      </c>
      <c r="N52" s="7" t="e">
        <f t="shared" si="11"/>
        <v>#VALUE!</v>
      </c>
      <c r="O52" s="7" t="e">
        <f t="shared" si="12"/>
        <v>#VALUE!</v>
      </c>
      <c r="P52" s="7" t="e">
        <f t="shared" si="13"/>
        <v>#VALUE!</v>
      </c>
      <c r="Q52" s="239"/>
    </row>
    <row r="53" spans="1:17" x14ac:dyDescent="0.25">
      <c r="D53" s="237"/>
      <c r="E53" s="41">
        <f t="shared" si="4"/>
        <v>50</v>
      </c>
      <c r="F53" s="7" t="str">
        <f>IF((E53&lt;='Alternative 3'!$B$12),F52+1,"x")</f>
        <v>x</v>
      </c>
      <c r="G53" s="129">
        <f>IF(E53&lt;='Alternative 3'!$B$12,G52+1,0)</f>
        <v>0</v>
      </c>
      <c r="H53" s="39">
        <f t="shared" si="5"/>
        <v>2.1360000000000001</v>
      </c>
      <c r="I53" s="43" t="e">
        <f t="shared" si="6"/>
        <v>#VALUE!</v>
      </c>
      <c r="J53" s="38" t="e">
        <f t="shared" si="7"/>
        <v>#VALUE!</v>
      </c>
      <c r="K53" s="9" t="e">
        <f t="shared" si="8"/>
        <v>#VALUE!</v>
      </c>
      <c r="L53" s="7" t="e">
        <f t="shared" si="9"/>
        <v>#VALUE!</v>
      </c>
      <c r="M53" s="7" t="e">
        <f t="shared" si="10"/>
        <v>#VALUE!</v>
      </c>
      <c r="N53" s="7" t="e">
        <f t="shared" si="11"/>
        <v>#VALUE!</v>
      </c>
      <c r="O53" s="7" t="e">
        <f t="shared" si="12"/>
        <v>#VALUE!</v>
      </c>
      <c r="P53" s="7" t="e">
        <f t="shared" si="13"/>
        <v>#VALUE!</v>
      </c>
      <c r="Q53" s="239"/>
    </row>
    <row r="54" spans="1:17" x14ac:dyDescent="0.25">
      <c r="D54" s="237"/>
      <c r="E54" s="41">
        <f t="shared" si="4"/>
        <v>51</v>
      </c>
      <c r="F54" s="7" t="str">
        <f>IF((E54&lt;='Alternative 3'!$B$12),F53+1,"x")</f>
        <v>x</v>
      </c>
      <c r="G54" s="129">
        <f>IF(E54&lt;='Alternative 3'!$B$12,G53+1,0)</f>
        <v>0</v>
      </c>
      <c r="H54" s="39">
        <f t="shared" si="5"/>
        <v>2.1360000000000001</v>
      </c>
      <c r="I54" s="43" t="e">
        <f t="shared" si="6"/>
        <v>#VALUE!</v>
      </c>
      <c r="J54" s="38" t="e">
        <f t="shared" si="7"/>
        <v>#VALUE!</v>
      </c>
      <c r="K54" s="9" t="e">
        <f t="shared" si="8"/>
        <v>#VALUE!</v>
      </c>
      <c r="L54" s="7" t="e">
        <f t="shared" si="9"/>
        <v>#VALUE!</v>
      </c>
      <c r="M54" s="7" t="e">
        <f t="shared" si="10"/>
        <v>#VALUE!</v>
      </c>
      <c r="N54" s="7" t="e">
        <f t="shared" si="11"/>
        <v>#VALUE!</v>
      </c>
      <c r="O54" s="7" t="e">
        <f t="shared" si="12"/>
        <v>#VALUE!</v>
      </c>
      <c r="P54" s="7" t="e">
        <f t="shared" si="13"/>
        <v>#VALUE!</v>
      </c>
      <c r="Q54" s="239"/>
    </row>
    <row r="55" spans="1:17" x14ac:dyDescent="0.25">
      <c r="D55" s="237"/>
      <c r="E55" s="41">
        <f t="shared" si="4"/>
        <v>52</v>
      </c>
      <c r="F55" s="7" t="str">
        <f>IF((E55&lt;='Alternative 3'!$B$12),F54+1,"x")</f>
        <v>x</v>
      </c>
      <c r="G55" s="129">
        <f>IF(E55&lt;='Alternative 3'!$B$12,G54+1,0)</f>
        <v>0</v>
      </c>
      <c r="H55" s="39">
        <f t="shared" si="5"/>
        <v>2.1360000000000001</v>
      </c>
      <c r="I55" s="43" t="e">
        <f t="shared" si="6"/>
        <v>#VALUE!</v>
      </c>
      <c r="J55" s="38" t="e">
        <f t="shared" si="7"/>
        <v>#VALUE!</v>
      </c>
      <c r="K55" s="9" t="e">
        <f t="shared" si="8"/>
        <v>#VALUE!</v>
      </c>
      <c r="L55" s="7" t="e">
        <f t="shared" si="9"/>
        <v>#VALUE!</v>
      </c>
      <c r="M55" s="7" t="e">
        <f t="shared" si="10"/>
        <v>#VALUE!</v>
      </c>
      <c r="N55" s="7" t="e">
        <f t="shared" si="11"/>
        <v>#VALUE!</v>
      </c>
      <c r="O55" s="7" t="e">
        <f t="shared" si="12"/>
        <v>#VALUE!</v>
      </c>
      <c r="P55" s="7" t="e">
        <f t="shared" si="13"/>
        <v>#VALUE!</v>
      </c>
      <c r="Q55" s="239"/>
    </row>
    <row r="56" spans="1:17" x14ac:dyDescent="0.25">
      <c r="D56" s="237"/>
      <c r="E56" s="41">
        <f t="shared" si="4"/>
        <v>53</v>
      </c>
      <c r="F56" s="7" t="str">
        <f>IF((E56&lt;='Alternative 3'!$B$12),F55+1,"x")</f>
        <v>x</v>
      </c>
      <c r="G56" s="129">
        <f>IF(E56&lt;='Alternative 3'!$B$12,G55+1,0)</f>
        <v>0</v>
      </c>
      <c r="H56" s="39">
        <f t="shared" si="5"/>
        <v>2.1360000000000001</v>
      </c>
      <c r="I56" s="43" t="e">
        <f t="shared" si="6"/>
        <v>#VALUE!</v>
      </c>
      <c r="J56" s="38" t="e">
        <f t="shared" si="7"/>
        <v>#VALUE!</v>
      </c>
      <c r="K56" s="9" t="e">
        <f t="shared" si="8"/>
        <v>#VALUE!</v>
      </c>
      <c r="L56" s="7" t="e">
        <f t="shared" si="9"/>
        <v>#VALUE!</v>
      </c>
      <c r="M56" s="7" t="e">
        <f t="shared" si="10"/>
        <v>#VALUE!</v>
      </c>
      <c r="N56" s="7" t="e">
        <f t="shared" si="11"/>
        <v>#VALUE!</v>
      </c>
      <c r="O56" s="7" t="e">
        <f t="shared" si="12"/>
        <v>#VALUE!</v>
      </c>
      <c r="P56" s="7" t="e">
        <f t="shared" si="13"/>
        <v>#VALUE!</v>
      </c>
      <c r="Q56" s="239"/>
    </row>
    <row r="57" spans="1:17" x14ac:dyDescent="0.25">
      <c r="D57" s="237"/>
      <c r="E57" s="41">
        <f t="shared" si="4"/>
        <v>54</v>
      </c>
      <c r="F57" s="7" t="str">
        <f>IF((E57&lt;='Alternative 3'!$B$12),F56+1,"x")</f>
        <v>x</v>
      </c>
      <c r="G57" s="129">
        <f>IF(E57&lt;='Alternative 3'!$B$12,G56+1,0)</f>
        <v>0</v>
      </c>
      <c r="H57" s="39">
        <f t="shared" si="5"/>
        <v>2.1360000000000001</v>
      </c>
      <c r="I57" s="43" t="e">
        <f t="shared" si="6"/>
        <v>#VALUE!</v>
      </c>
      <c r="J57" s="38" t="e">
        <f t="shared" si="7"/>
        <v>#VALUE!</v>
      </c>
      <c r="K57" s="9" t="e">
        <f t="shared" si="8"/>
        <v>#VALUE!</v>
      </c>
      <c r="L57" s="7" t="e">
        <f t="shared" si="9"/>
        <v>#VALUE!</v>
      </c>
      <c r="M57" s="7" t="e">
        <f t="shared" si="10"/>
        <v>#VALUE!</v>
      </c>
      <c r="N57" s="7" t="e">
        <f t="shared" si="11"/>
        <v>#VALUE!</v>
      </c>
      <c r="O57" s="7" t="e">
        <f t="shared" si="12"/>
        <v>#VALUE!</v>
      </c>
      <c r="P57" s="7" t="e">
        <f t="shared" si="13"/>
        <v>#VALUE!</v>
      </c>
      <c r="Q57" s="239"/>
    </row>
    <row r="58" spans="1:17" x14ac:dyDescent="0.25">
      <c r="D58" s="237"/>
      <c r="E58" s="41">
        <f t="shared" si="4"/>
        <v>55</v>
      </c>
      <c r="F58" s="7" t="str">
        <f>IF((E58&lt;='Alternative 3'!$B$12),F57+1,"x")</f>
        <v>x</v>
      </c>
      <c r="G58" s="129">
        <f>IF(E58&lt;='Alternative 3'!$B$12,G57+1,0)</f>
        <v>0</v>
      </c>
      <c r="H58" s="39">
        <f t="shared" si="5"/>
        <v>2.1360000000000001</v>
      </c>
      <c r="I58" s="43" t="e">
        <f t="shared" si="6"/>
        <v>#VALUE!</v>
      </c>
      <c r="J58" s="38" t="e">
        <f t="shared" si="7"/>
        <v>#VALUE!</v>
      </c>
      <c r="K58" s="9" t="e">
        <f t="shared" si="8"/>
        <v>#VALUE!</v>
      </c>
      <c r="L58" s="7" t="e">
        <f t="shared" si="9"/>
        <v>#VALUE!</v>
      </c>
      <c r="M58" s="7" t="e">
        <f t="shared" si="10"/>
        <v>#VALUE!</v>
      </c>
      <c r="N58" s="7" t="e">
        <f t="shared" si="11"/>
        <v>#VALUE!</v>
      </c>
      <c r="O58" s="7" t="e">
        <f t="shared" si="12"/>
        <v>#VALUE!</v>
      </c>
      <c r="P58" s="7" t="e">
        <f t="shared" si="13"/>
        <v>#VALUE!</v>
      </c>
      <c r="Q58" s="239"/>
    </row>
    <row r="59" spans="1:17" x14ac:dyDescent="0.25">
      <c r="D59" s="237"/>
      <c r="E59" s="41">
        <f t="shared" si="4"/>
        <v>56</v>
      </c>
      <c r="F59" s="7" t="str">
        <f>IF((E59&lt;='Alternative 3'!$B$12),F58+1,"x")</f>
        <v>x</v>
      </c>
      <c r="G59" s="129">
        <f>IF(E59&lt;='Alternative 3'!$B$12,G58+1,0)</f>
        <v>0</v>
      </c>
      <c r="H59" s="39">
        <f t="shared" si="5"/>
        <v>2.1360000000000001</v>
      </c>
      <c r="I59" s="43" t="e">
        <f t="shared" si="6"/>
        <v>#VALUE!</v>
      </c>
      <c r="J59" s="38" t="e">
        <f t="shared" si="7"/>
        <v>#VALUE!</v>
      </c>
      <c r="K59" s="9" t="e">
        <f t="shared" si="8"/>
        <v>#VALUE!</v>
      </c>
      <c r="L59" s="7" t="e">
        <f t="shared" si="9"/>
        <v>#VALUE!</v>
      </c>
      <c r="M59" s="7" t="e">
        <f t="shared" si="10"/>
        <v>#VALUE!</v>
      </c>
      <c r="N59" s="7" t="e">
        <f t="shared" si="11"/>
        <v>#VALUE!</v>
      </c>
      <c r="O59" s="7" t="e">
        <f t="shared" si="12"/>
        <v>#VALUE!</v>
      </c>
      <c r="P59" s="7" t="e">
        <f t="shared" si="13"/>
        <v>#VALUE!</v>
      </c>
      <c r="Q59" s="239"/>
    </row>
    <row r="60" spans="1:17" x14ac:dyDescent="0.25">
      <c r="D60" s="237"/>
      <c r="E60" s="41">
        <f t="shared" si="4"/>
        <v>57</v>
      </c>
      <c r="F60" s="7" t="str">
        <f>IF((E60&lt;='Alternative 3'!$B$12),F59+1,"x")</f>
        <v>x</v>
      </c>
      <c r="G60" s="129">
        <f>IF(E60&lt;='Alternative 3'!$B$12,G59+1,0)</f>
        <v>0</v>
      </c>
      <c r="H60" s="39">
        <f t="shared" si="5"/>
        <v>2.1360000000000001</v>
      </c>
      <c r="I60" s="43" t="e">
        <f t="shared" si="6"/>
        <v>#VALUE!</v>
      </c>
      <c r="J60" s="38" t="e">
        <f t="shared" si="7"/>
        <v>#VALUE!</v>
      </c>
      <c r="K60" s="9" t="e">
        <f t="shared" si="8"/>
        <v>#VALUE!</v>
      </c>
      <c r="L60" s="7" t="e">
        <f t="shared" si="9"/>
        <v>#VALUE!</v>
      </c>
      <c r="M60" s="7" t="e">
        <f t="shared" si="10"/>
        <v>#VALUE!</v>
      </c>
      <c r="N60" s="7" t="e">
        <f t="shared" si="11"/>
        <v>#VALUE!</v>
      </c>
      <c r="O60" s="7" t="e">
        <f t="shared" si="12"/>
        <v>#VALUE!</v>
      </c>
      <c r="P60" s="7" t="e">
        <f t="shared" si="13"/>
        <v>#VALUE!</v>
      </c>
      <c r="Q60" s="239"/>
    </row>
    <row r="61" spans="1:17" x14ac:dyDescent="0.25">
      <c r="D61" s="237"/>
      <c r="E61" s="41">
        <f t="shared" si="4"/>
        <v>58</v>
      </c>
      <c r="F61" s="7" t="str">
        <f>IF((E61&lt;='Alternative 3'!$B$12),F60+1,"x")</f>
        <v>x</v>
      </c>
      <c r="G61" s="129">
        <f>IF(E61&lt;='Alternative 3'!$B$12,G60+1,0)</f>
        <v>0</v>
      </c>
      <c r="H61" s="39">
        <f t="shared" si="5"/>
        <v>2.1360000000000001</v>
      </c>
      <c r="I61" s="43" t="e">
        <f t="shared" si="6"/>
        <v>#VALUE!</v>
      </c>
      <c r="J61" s="38" t="e">
        <f t="shared" si="7"/>
        <v>#VALUE!</v>
      </c>
      <c r="K61" s="9" t="e">
        <f t="shared" si="8"/>
        <v>#VALUE!</v>
      </c>
      <c r="L61" s="7" t="e">
        <f t="shared" si="9"/>
        <v>#VALUE!</v>
      </c>
      <c r="M61" s="7" t="e">
        <f t="shared" si="10"/>
        <v>#VALUE!</v>
      </c>
      <c r="N61" s="7" t="e">
        <f t="shared" si="11"/>
        <v>#VALUE!</v>
      </c>
      <c r="O61" s="7" t="e">
        <f t="shared" si="12"/>
        <v>#VALUE!</v>
      </c>
      <c r="P61" s="7" t="e">
        <f t="shared" si="13"/>
        <v>#VALUE!</v>
      </c>
      <c r="Q61" s="239"/>
    </row>
    <row r="62" spans="1:17" x14ac:dyDescent="0.25">
      <c r="D62" s="237"/>
      <c r="E62" s="41">
        <f t="shared" si="4"/>
        <v>59</v>
      </c>
      <c r="F62" s="7" t="str">
        <f>IF((E62&lt;='Alternative 3'!$B$12),F61+1,"x")</f>
        <v>x</v>
      </c>
      <c r="G62" s="129">
        <f>IF(E62&lt;='Alternative 3'!$B$12,G61+1,0)</f>
        <v>0</v>
      </c>
      <c r="H62" s="39">
        <f t="shared" si="5"/>
        <v>2.1360000000000001</v>
      </c>
      <c r="I62" s="43" t="e">
        <f t="shared" si="6"/>
        <v>#VALUE!</v>
      </c>
      <c r="J62" s="38" t="e">
        <f t="shared" si="7"/>
        <v>#VALUE!</v>
      </c>
      <c r="K62" s="9" t="e">
        <f t="shared" si="8"/>
        <v>#VALUE!</v>
      </c>
      <c r="L62" s="7" t="e">
        <f t="shared" si="9"/>
        <v>#VALUE!</v>
      </c>
      <c r="M62" s="7" t="e">
        <f t="shared" si="10"/>
        <v>#VALUE!</v>
      </c>
      <c r="N62" s="7" t="e">
        <f t="shared" si="11"/>
        <v>#VALUE!</v>
      </c>
      <c r="O62" s="7" t="e">
        <f t="shared" si="12"/>
        <v>#VALUE!</v>
      </c>
      <c r="P62" s="7" t="e">
        <f t="shared" si="13"/>
        <v>#VALUE!</v>
      </c>
      <c r="Q62" s="239"/>
    </row>
    <row r="63" spans="1:17" x14ac:dyDescent="0.25">
      <c r="D63" s="237"/>
      <c r="E63" s="41">
        <f t="shared" si="4"/>
        <v>60</v>
      </c>
      <c r="F63" s="7" t="str">
        <f>IF((E63&lt;='Alternative 3'!$B$12),F62+1,"x")</f>
        <v>x</v>
      </c>
      <c r="G63" s="129">
        <f>IF(E63&lt;='Alternative 3'!$B$12,G62+1,0)</f>
        <v>0</v>
      </c>
      <c r="H63" s="39">
        <f t="shared" si="5"/>
        <v>2.1360000000000001</v>
      </c>
      <c r="I63" s="43" t="e">
        <f t="shared" si="6"/>
        <v>#VALUE!</v>
      </c>
      <c r="J63" s="38" t="e">
        <f t="shared" si="7"/>
        <v>#VALUE!</v>
      </c>
      <c r="K63" s="9" t="e">
        <f t="shared" si="8"/>
        <v>#VALUE!</v>
      </c>
      <c r="L63" s="7" t="e">
        <f t="shared" si="9"/>
        <v>#VALUE!</v>
      </c>
      <c r="M63" s="7" t="e">
        <f t="shared" si="10"/>
        <v>#VALUE!</v>
      </c>
      <c r="N63" s="7" t="e">
        <f t="shared" si="11"/>
        <v>#VALUE!</v>
      </c>
      <c r="O63" s="7" t="e">
        <f t="shared" si="12"/>
        <v>#VALUE!</v>
      </c>
      <c r="P63" s="7" t="e">
        <f t="shared" si="13"/>
        <v>#VALUE!</v>
      </c>
      <c r="Q63" s="239"/>
    </row>
    <row r="64" spans="1:17" x14ac:dyDescent="0.25">
      <c r="D64" s="237"/>
      <c r="E64" s="41">
        <f t="shared" si="4"/>
        <v>61</v>
      </c>
      <c r="F64" s="7" t="str">
        <f>IF((E64&lt;='Alternative 3'!$B$12),F63+1,"x")</f>
        <v>x</v>
      </c>
      <c r="G64" s="129">
        <f>IF(E64&lt;='Alternative 3'!$B$12,G63+1,0)</f>
        <v>0</v>
      </c>
      <c r="H64" s="39">
        <f t="shared" si="5"/>
        <v>2.1360000000000001</v>
      </c>
      <c r="I64" s="43" t="e">
        <f t="shared" si="6"/>
        <v>#VALUE!</v>
      </c>
      <c r="J64" s="38" t="e">
        <f t="shared" si="7"/>
        <v>#VALUE!</v>
      </c>
      <c r="K64" s="9" t="e">
        <f t="shared" si="8"/>
        <v>#VALUE!</v>
      </c>
      <c r="L64" s="7" t="e">
        <f t="shared" si="9"/>
        <v>#VALUE!</v>
      </c>
      <c r="M64" s="7" t="e">
        <f t="shared" si="10"/>
        <v>#VALUE!</v>
      </c>
      <c r="N64" s="7" t="e">
        <f t="shared" si="11"/>
        <v>#VALUE!</v>
      </c>
      <c r="O64" s="7" t="e">
        <f t="shared" si="12"/>
        <v>#VALUE!</v>
      </c>
      <c r="P64" s="7" t="e">
        <f t="shared" si="13"/>
        <v>#VALUE!</v>
      </c>
      <c r="Q64" s="239"/>
    </row>
    <row r="65" spans="4:17" x14ac:dyDescent="0.25">
      <c r="D65" s="237"/>
      <c r="E65" s="41">
        <f t="shared" si="4"/>
        <v>62</v>
      </c>
      <c r="F65" s="7" t="str">
        <f>IF((E65&lt;='Alternative 3'!$B$12),F64+1,"x")</f>
        <v>x</v>
      </c>
      <c r="G65" s="129">
        <f>IF(E65&lt;='Alternative 3'!$B$12,G64+1,0)</f>
        <v>0</v>
      </c>
      <c r="H65" s="39">
        <f t="shared" si="5"/>
        <v>2.1360000000000001</v>
      </c>
      <c r="I65" s="43" t="e">
        <f t="shared" si="6"/>
        <v>#VALUE!</v>
      </c>
      <c r="J65" s="38" t="e">
        <f t="shared" si="7"/>
        <v>#VALUE!</v>
      </c>
      <c r="K65" s="9" t="e">
        <f t="shared" si="8"/>
        <v>#VALUE!</v>
      </c>
      <c r="L65" s="7" t="e">
        <f t="shared" si="9"/>
        <v>#VALUE!</v>
      </c>
      <c r="M65" s="7" t="e">
        <f t="shared" si="10"/>
        <v>#VALUE!</v>
      </c>
      <c r="N65" s="7" t="e">
        <f t="shared" si="11"/>
        <v>#VALUE!</v>
      </c>
      <c r="O65" s="7" t="e">
        <f t="shared" si="12"/>
        <v>#VALUE!</v>
      </c>
      <c r="P65" s="7" t="e">
        <f t="shared" si="13"/>
        <v>#VALUE!</v>
      </c>
      <c r="Q65" s="239"/>
    </row>
    <row r="66" spans="4:17" x14ac:dyDescent="0.25">
      <c r="D66" s="237"/>
      <c r="E66" s="41">
        <f t="shared" si="4"/>
        <v>63</v>
      </c>
      <c r="F66" s="7" t="str">
        <f>IF((E66&lt;='Alternative 3'!$B$12),F65+1,"x")</f>
        <v>x</v>
      </c>
      <c r="G66" s="129">
        <f>IF(E66&lt;='Alternative 3'!$B$12,G65+1,0)</f>
        <v>0</v>
      </c>
      <c r="H66" s="39">
        <f t="shared" si="5"/>
        <v>2.1360000000000001</v>
      </c>
      <c r="I66" s="43" t="e">
        <f t="shared" si="6"/>
        <v>#VALUE!</v>
      </c>
      <c r="J66" s="38" t="e">
        <f t="shared" si="7"/>
        <v>#VALUE!</v>
      </c>
      <c r="K66" s="9" t="e">
        <f t="shared" si="8"/>
        <v>#VALUE!</v>
      </c>
      <c r="L66" s="7" t="e">
        <f t="shared" si="9"/>
        <v>#VALUE!</v>
      </c>
      <c r="M66" s="7" t="e">
        <f t="shared" si="10"/>
        <v>#VALUE!</v>
      </c>
      <c r="N66" s="7" t="e">
        <f t="shared" si="11"/>
        <v>#VALUE!</v>
      </c>
      <c r="O66" s="7" t="e">
        <f t="shared" si="12"/>
        <v>#VALUE!</v>
      </c>
      <c r="P66" s="7" t="e">
        <f t="shared" si="13"/>
        <v>#VALUE!</v>
      </c>
      <c r="Q66" s="239"/>
    </row>
    <row r="67" spans="4:17" x14ac:dyDescent="0.25">
      <c r="D67" s="237"/>
      <c r="E67" s="41">
        <f t="shared" si="4"/>
        <v>64</v>
      </c>
      <c r="F67" s="7" t="str">
        <f>IF((E67&lt;='Alternative 3'!$B$12),F66+1,"x")</f>
        <v>x</v>
      </c>
      <c r="G67" s="129">
        <f>IF(E67&lt;='Alternative 3'!$B$12,G66+1,0)</f>
        <v>0</v>
      </c>
      <c r="H67" s="39">
        <f t="shared" si="5"/>
        <v>2.1360000000000001</v>
      </c>
      <c r="I67" s="43" t="e">
        <f t="shared" si="6"/>
        <v>#VALUE!</v>
      </c>
      <c r="J67" s="38" t="e">
        <f t="shared" si="7"/>
        <v>#VALUE!</v>
      </c>
      <c r="K67" s="9" t="e">
        <f t="shared" si="8"/>
        <v>#VALUE!</v>
      </c>
      <c r="L67" s="7" t="e">
        <f t="shared" si="9"/>
        <v>#VALUE!</v>
      </c>
      <c r="M67" s="7" t="e">
        <f t="shared" si="10"/>
        <v>#VALUE!</v>
      </c>
      <c r="N67" s="7" t="e">
        <f t="shared" si="11"/>
        <v>#VALUE!</v>
      </c>
      <c r="O67" s="7" t="e">
        <f t="shared" si="12"/>
        <v>#VALUE!</v>
      </c>
      <c r="P67" s="7" t="e">
        <f t="shared" si="13"/>
        <v>#VALUE!</v>
      </c>
      <c r="Q67" s="239"/>
    </row>
    <row r="68" spans="4:17" x14ac:dyDescent="0.25">
      <c r="D68" s="237"/>
      <c r="E68" s="41">
        <f t="shared" si="4"/>
        <v>65</v>
      </c>
      <c r="F68" s="7" t="str">
        <f>IF((E68&lt;='Alternative 3'!$B$12),F67+1,"x")</f>
        <v>x</v>
      </c>
      <c r="G68" s="129">
        <f>IF(E68&lt;='Alternative 3'!$B$12,G67+1,0)</f>
        <v>0</v>
      </c>
      <c r="H68" s="39">
        <f t="shared" si="5"/>
        <v>2.1360000000000001</v>
      </c>
      <c r="I68" s="43" t="e">
        <f t="shared" si="6"/>
        <v>#VALUE!</v>
      </c>
      <c r="J68" s="38" t="e">
        <f t="shared" si="7"/>
        <v>#VALUE!</v>
      </c>
      <c r="K68" s="9" t="e">
        <f t="shared" si="8"/>
        <v>#VALUE!</v>
      </c>
      <c r="L68" s="7" t="e">
        <f t="shared" si="9"/>
        <v>#VALUE!</v>
      </c>
      <c r="M68" s="7" t="e">
        <f t="shared" si="10"/>
        <v>#VALUE!</v>
      </c>
      <c r="N68" s="7" t="e">
        <f t="shared" si="11"/>
        <v>#VALUE!</v>
      </c>
      <c r="O68" s="7" t="e">
        <f t="shared" si="12"/>
        <v>#VALUE!</v>
      </c>
      <c r="P68" s="7" t="e">
        <f t="shared" si="13"/>
        <v>#VALUE!</v>
      </c>
      <c r="Q68" s="239"/>
    </row>
    <row r="69" spans="4:17" x14ac:dyDescent="0.25">
      <c r="D69" s="237"/>
      <c r="E69" s="41">
        <f t="shared" ref="E69:E92" si="14">E68+1</f>
        <v>66</v>
      </c>
      <c r="F69" s="7" t="str">
        <f>IF((E69&lt;='Alternative 3'!$B$12),F68+1,"x")</f>
        <v>x</v>
      </c>
      <c r="G69" s="129">
        <f>IF(E69&lt;='Alternative 3'!$B$12,G68+1,0)</f>
        <v>0</v>
      </c>
      <c r="H69" s="39">
        <f t="shared" ref="H69:H93" si="15">IF(F69&gt;0,(($B$16)-((($B$16)-($B$15))/$B$12)*G69),0)</f>
        <v>2.1360000000000001</v>
      </c>
      <c r="I69" s="43" t="e">
        <f t="shared" ref="I69:I93" si="16">IF(F69&gt;0,(($B$16/2)-((($B$16/2)-($B$15/2))/$B$12)*F69),0)</f>
        <v>#VALUE!</v>
      </c>
      <c r="J69" s="38" t="e">
        <f t="shared" ref="J69:J93" si="17">IF(F69&gt;0,I69-$B$17,0)</f>
        <v>#VALUE!</v>
      </c>
      <c r="K69" s="9" t="e">
        <f t="shared" ref="K69:K93" si="18">AVERAGE(I69:J69)</f>
        <v>#VALUE!</v>
      </c>
      <c r="L69" s="7" t="e">
        <f t="shared" ref="L69:L93" si="19">3.14159*(K69^3)*($B$17)</f>
        <v>#VALUE!</v>
      </c>
      <c r="M69" s="7" t="e">
        <f t="shared" ref="M69:M93" si="20">(3.141593)*(K69^2)</f>
        <v>#VALUE!</v>
      </c>
      <c r="N69" s="7" t="e">
        <f t="shared" ref="N69:N93" si="21">SQRT(L69/M69)</f>
        <v>#VALUE!</v>
      </c>
      <c r="O69" s="7" t="e">
        <f t="shared" ref="O69:O93" si="22">($I$9*F69)/N69</f>
        <v>#VALUE!</v>
      </c>
      <c r="P69" s="7" t="e">
        <f t="shared" ref="P69:P93" si="23">($I$9*F69)/K69</f>
        <v>#VALUE!</v>
      </c>
      <c r="Q69" s="239"/>
    </row>
    <row r="70" spans="4:17" x14ac:dyDescent="0.25">
      <c r="D70" s="237"/>
      <c r="E70" s="41">
        <f t="shared" si="14"/>
        <v>67</v>
      </c>
      <c r="F70" s="7" t="str">
        <f>IF((E70&lt;='Alternative 3'!$B$12),F69+1,"x")</f>
        <v>x</v>
      </c>
      <c r="G70" s="129">
        <f>IF(E70&lt;='Alternative 3'!$B$12,G69+1,0)</f>
        <v>0</v>
      </c>
      <c r="H70" s="39">
        <f t="shared" si="15"/>
        <v>2.1360000000000001</v>
      </c>
      <c r="I70" s="43" t="e">
        <f t="shared" si="16"/>
        <v>#VALUE!</v>
      </c>
      <c r="J70" s="38" t="e">
        <f t="shared" si="17"/>
        <v>#VALUE!</v>
      </c>
      <c r="K70" s="9" t="e">
        <f t="shared" si="18"/>
        <v>#VALUE!</v>
      </c>
      <c r="L70" s="7" t="e">
        <f t="shared" si="19"/>
        <v>#VALUE!</v>
      </c>
      <c r="M70" s="7" t="e">
        <f t="shared" si="20"/>
        <v>#VALUE!</v>
      </c>
      <c r="N70" s="7" t="e">
        <f t="shared" si="21"/>
        <v>#VALUE!</v>
      </c>
      <c r="O70" s="7" t="e">
        <f t="shared" si="22"/>
        <v>#VALUE!</v>
      </c>
      <c r="P70" s="7" t="e">
        <f t="shared" si="23"/>
        <v>#VALUE!</v>
      </c>
      <c r="Q70" s="239"/>
    </row>
    <row r="71" spans="4:17" x14ac:dyDescent="0.25">
      <c r="D71" s="237"/>
      <c r="E71" s="41">
        <f t="shared" si="14"/>
        <v>68</v>
      </c>
      <c r="F71" s="7" t="str">
        <f>IF((E71&lt;='Alternative 3'!$B$12),F70+1,"x")</f>
        <v>x</v>
      </c>
      <c r="G71" s="129">
        <f>IF(E71&lt;='Alternative 3'!$B$12,G70+1,0)</f>
        <v>0</v>
      </c>
      <c r="H71" s="39">
        <f t="shared" si="15"/>
        <v>2.1360000000000001</v>
      </c>
      <c r="I71" s="43" t="e">
        <f t="shared" si="16"/>
        <v>#VALUE!</v>
      </c>
      <c r="J71" s="38" t="e">
        <f t="shared" si="17"/>
        <v>#VALUE!</v>
      </c>
      <c r="K71" s="9" t="e">
        <f t="shared" si="18"/>
        <v>#VALUE!</v>
      </c>
      <c r="L71" s="7" t="e">
        <f t="shared" si="19"/>
        <v>#VALUE!</v>
      </c>
      <c r="M71" s="7" t="e">
        <f t="shared" si="20"/>
        <v>#VALUE!</v>
      </c>
      <c r="N71" s="7" t="e">
        <f t="shared" si="21"/>
        <v>#VALUE!</v>
      </c>
      <c r="O71" s="7" t="e">
        <f t="shared" si="22"/>
        <v>#VALUE!</v>
      </c>
      <c r="P71" s="7" t="e">
        <f t="shared" si="23"/>
        <v>#VALUE!</v>
      </c>
      <c r="Q71" s="239"/>
    </row>
    <row r="72" spans="4:17" x14ac:dyDescent="0.25">
      <c r="D72" s="237"/>
      <c r="E72" s="41">
        <f t="shared" si="14"/>
        <v>69</v>
      </c>
      <c r="F72" s="7" t="str">
        <f>IF((E72&lt;='Alternative 3'!$B$12),F71+1,"x")</f>
        <v>x</v>
      </c>
      <c r="G72" s="129">
        <f>IF(E72&lt;='Alternative 3'!$B$12,G71+1,0)</f>
        <v>0</v>
      </c>
      <c r="H72" s="39">
        <f t="shared" si="15"/>
        <v>2.1360000000000001</v>
      </c>
      <c r="I72" s="43" t="e">
        <f t="shared" si="16"/>
        <v>#VALUE!</v>
      </c>
      <c r="J72" s="38" t="e">
        <f t="shared" si="17"/>
        <v>#VALUE!</v>
      </c>
      <c r="K72" s="9" t="e">
        <f t="shared" si="18"/>
        <v>#VALUE!</v>
      </c>
      <c r="L72" s="7" t="e">
        <f t="shared" si="19"/>
        <v>#VALUE!</v>
      </c>
      <c r="M72" s="7" t="e">
        <f t="shared" si="20"/>
        <v>#VALUE!</v>
      </c>
      <c r="N72" s="7" t="e">
        <f t="shared" si="21"/>
        <v>#VALUE!</v>
      </c>
      <c r="O72" s="7" t="e">
        <f t="shared" si="22"/>
        <v>#VALUE!</v>
      </c>
      <c r="P72" s="7" t="e">
        <f t="shared" si="23"/>
        <v>#VALUE!</v>
      </c>
      <c r="Q72" s="239"/>
    </row>
    <row r="73" spans="4:17" x14ac:dyDescent="0.25">
      <c r="D73" s="237"/>
      <c r="E73" s="41">
        <f t="shared" si="14"/>
        <v>70</v>
      </c>
      <c r="F73" s="7" t="str">
        <f>IF((E73&lt;='Alternative 3'!$B$12),F72+1,"x")</f>
        <v>x</v>
      </c>
      <c r="G73" s="129">
        <f>IF(E73&lt;='Alternative 3'!$B$12,G72+1,0)</f>
        <v>0</v>
      </c>
      <c r="H73" s="39">
        <f t="shared" si="15"/>
        <v>2.1360000000000001</v>
      </c>
      <c r="I73" s="43" t="e">
        <f t="shared" si="16"/>
        <v>#VALUE!</v>
      </c>
      <c r="J73" s="38" t="e">
        <f t="shared" si="17"/>
        <v>#VALUE!</v>
      </c>
      <c r="K73" s="9" t="e">
        <f t="shared" si="18"/>
        <v>#VALUE!</v>
      </c>
      <c r="L73" s="7" t="e">
        <f t="shared" si="19"/>
        <v>#VALUE!</v>
      </c>
      <c r="M73" s="7" t="e">
        <f t="shared" si="20"/>
        <v>#VALUE!</v>
      </c>
      <c r="N73" s="7" t="e">
        <f t="shared" si="21"/>
        <v>#VALUE!</v>
      </c>
      <c r="O73" s="7" t="e">
        <f t="shared" si="22"/>
        <v>#VALUE!</v>
      </c>
      <c r="P73" s="7" t="e">
        <f t="shared" si="23"/>
        <v>#VALUE!</v>
      </c>
      <c r="Q73" s="239"/>
    </row>
    <row r="74" spans="4:17" x14ac:dyDescent="0.25">
      <c r="D74" s="237"/>
      <c r="E74" s="41">
        <f t="shared" si="14"/>
        <v>71</v>
      </c>
      <c r="F74" s="7" t="str">
        <f>IF((E74&lt;='Alternative 3'!$B$12),F73+1,"x")</f>
        <v>x</v>
      </c>
      <c r="G74" s="129">
        <f>IF(E74&lt;='Alternative 3'!$B$12,G73+1,0)</f>
        <v>0</v>
      </c>
      <c r="H74" s="39">
        <f t="shared" si="15"/>
        <v>2.1360000000000001</v>
      </c>
      <c r="I74" s="43" t="e">
        <f t="shared" si="16"/>
        <v>#VALUE!</v>
      </c>
      <c r="J74" s="38" t="e">
        <f t="shared" si="17"/>
        <v>#VALUE!</v>
      </c>
      <c r="K74" s="9" t="e">
        <f t="shared" si="18"/>
        <v>#VALUE!</v>
      </c>
      <c r="L74" s="7" t="e">
        <f t="shared" si="19"/>
        <v>#VALUE!</v>
      </c>
      <c r="M74" s="7" t="e">
        <f t="shared" si="20"/>
        <v>#VALUE!</v>
      </c>
      <c r="N74" s="7" t="e">
        <f t="shared" si="21"/>
        <v>#VALUE!</v>
      </c>
      <c r="O74" s="7" t="e">
        <f t="shared" si="22"/>
        <v>#VALUE!</v>
      </c>
      <c r="P74" s="7" t="e">
        <f t="shared" si="23"/>
        <v>#VALUE!</v>
      </c>
      <c r="Q74" s="239"/>
    </row>
    <row r="75" spans="4:17" x14ac:dyDescent="0.25">
      <c r="D75" s="237"/>
      <c r="E75" s="41">
        <f t="shared" si="14"/>
        <v>72</v>
      </c>
      <c r="F75" s="7" t="str">
        <f>IF((E75&lt;='Alternative 3'!$B$12),F74+1,"x")</f>
        <v>x</v>
      </c>
      <c r="G75" s="129">
        <f>IF(E75&lt;='Alternative 3'!$B$12,G74+1,0)</f>
        <v>0</v>
      </c>
      <c r="H75" s="39">
        <f t="shared" si="15"/>
        <v>2.1360000000000001</v>
      </c>
      <c r="I75" s="43" t="e">
        <f t="shared" si="16"/>
        <v>#VALUE!</v>
      </c>
      <c r="J75" s="38" t="e">
        <f t="shared" si="17"/>
        <v>#VALUE!</v>
      </c>
      <c r="K75" s="9" t="e">
        <f t="shared" si="18"/>
        <v>#VALUE!</v>
      </c>
      <c r="L75" s="7" t="e">
        <f t="shared" si="19"/>
        <v>#VALUE!</v>
      </c>
      <c r="M75" s="7" t="e">
        <f t="shared" si="20"/>
        <v>#VALUE!</v>
      </c>
      <c r="N75" s="7" t="e">
        <f t="shared" si="21"/>
        <v>#VALUE!</v>
      </c>
      <c r="O75" s="7" t="e">
        <f t="shared" si="22"/>
        <v>#VALUE!</v>
      </c>
      <c r="P75" s="7" t="e">
        <f t="shared" si="23"/>
        <v>#VALUE!</v>
      </c>
      <c r="Q75" s="239"/>
    </row>
    <row r="76" spans="4:17" x14ac:dyDescent="0.25">
      <c r="D76" s="237"/>
      <c r="E76" s="41">
        <f t="shared" si="14"/>
        <v>73</v>
      </c>
      <c r="F76" s="7" t="str">
        <f>IF((E76&lt;='Alternative 3'!$B$12),F75+1,"x")</f>
        <v>x</v>
      </c>
      <c r="G76" s="129">
        <f>IF(E76&lt;='Alternative 3'!$B$12,G75+1,0)</f>
        <v>0</v>
      </c>
      <c r="H76" s="39">
        <f t="shared" si="15"/>
        <v>2.1360000000000001</v>
      </c>
      <c r="I76" s="43" t="e">
        <f t="shared" si="16"/>
        <v>#VALUE!</v>
      </c>
      <c r="J76" s="38" t="e">
        <f t="shared" si="17"/>
        <v>#VALUE!</v>
      </c>
      <c r="K76" s="9" t="e">
        <f t="shared" si="18"/>
        <v>#VALUE!</v>
      </c>
      <c r="L76" s="7" t="e">
        <f t="shared" si="19"/>
        <v>#VALUE!</v>
      </c>
      <c r="M76" s="7" t="e">
        <f t="shared" si="20"/>
        <v>#VALUE!</v>
      </c>
      <c r="N76" s="7" t="e">
        <f t="shared" si="21"/>
        <v>#VALUE!</v>
      </c>
      <c r="O76" s="7" t="e">
        <f t="shared" si="22"/>
        <v>#VALUE!</v>
      </c>
      <c r="P76" s="7" t="e">
        <f t="shared" si="23"/>
        <v>#VALUE!</v>
      </c>
      <c r="Q76" s="239"/>
    </row>
    <row r="77" spans="4:17" x14ac:dyDescent="0.25">
      <c r="D77" s="237"/>
      <c r="E77" s="41">
        <f t="shared" si="14"/>
        <v>74</v>
      </c>
      <c r="F77" s="7" t="str">
        <f>IF((E77&lt;='Alternative 3'!$B$12),F76+1,"x")</f>
        <v>x</v>
      </c>
      <c r="G77" s="129">
        <f>IF(E77&lt;='Alternative 3'!$B$12,G76+1,0)</f>
        <v>0</v>
      </c>
      <c r="H77" s="39">
        <f t="shared" si="15"/>
        <v>2.1360000000000001</v>
      </c>
      <c r="I77" s="43" t="e">
        <f t="shared" si="16"/>
        <v>#VALUE!</v>
      </c>
      <c r="J77" s="38" t="e">
        <f t="shared" si="17"/>
        <v>#VALUE!</v>
      </c>
      <c r="K77" s="9" t="e">
        <f t="shared" si="18"/>
        <v>#VALUE!</v>
      </c>
      <c r="L77" s="7" t="e">
        <f t="shared" si="19"/>
        <v>#VALUE!</v>
      </c>
      <c r="M77" s="7" t="e">
        <f t="shared" si="20"/>
        <v>#VALUE!</v>
      </c>
      <c r="N77" s="7" t="e">
        <f t="shared" si="21"/>
        <v>#VALUE!</v>
      </c>
      <c r="O77" s="7" t="e">
        <f t="shared" si="22"/>
        <v>#VALUE!</v>
      </c>
      <c r="P77" s="7" t="e">
        <f t="shared" si="23"/>
        <v>#VALUE!</v>
      </c>
      <c r="Q77" s="239"/>
    </row>
    <row r="78" spans="4:17" x14ac:dyDescent="0.25">
      <c r="D78" s="237"/>
      <c r="E78" s="41">
        <f t="shared" si="14"/>
        <v>75</v>
      </c>
      <c r="F78" s="7" t="str">
        <f>IF((E78&lt;='Alternative 3'!$B$12),F77+1,"x")</f>
        <v>x</v>
      </c>
      <c r="G78" s="129">
        <f>IF(E78&lt;='Alternative 3'!$B$12,G77+1,0)</f>
        <v>0</v>
      </c>
      <c r="H78" s="39">
        <f t="shared" si="15"/>
        <v>2.1360000000000001</v>
      </c>
      <c r="I78" s="43" t="e">
        <f t="shared" si="16"/>
        <v>#VALUE!</v>
      </c>
      <c r="J78" s="38" t="e">
        <f t="shared" si="17"/>
        <v>#VALUE!</v>
      </c>
      <c r="K78" s="9" t="e">
        <f t="shared" si="18"/>
        <v>#VALUE!</v>
      </c>
      <c r="L78" s="7" t="e">
        <f t="shared" si="19"/>
        <v>#VALUE!</v>
      </c>
      <c r="M78" s="7" t="e">
        <f t="shared" si="20"/>
        <v>#VALUE!</v>
      </c>
      <c r="N78" s="7" t="e">
        <f t="shared" si="21"/>
        <v>#VALUE!</v>
      </c>
      <c r="O78" s="7" t="e">
        <f t="shared" si="22"/>
        <v>#VALUE!</v>
      </c>
      <c r="P78" s="7" t="e">
        <f t="shared" si="23"/>
        <v>#VALUE!</v>
      </c>
      <c r="Q78" s="239"/>
    </row>
    <row r="79" spans="4:17" x14ac:dyDescent="0.25">
      <c r="D79" s="237"/>
      <c r="E79" s="41">
        <f t="shared" si="14"/>
        <v>76</v>
      </c>
      <c r="F79" s="7" t="str">
        <f>IF((E79&lt;='Alternative 3'!$B$12),F78+1,"x")</f>
        <v>x</v>
      </c>
      <c r="G79" s="129">
        <f>IF(E79&lt;='Alternative 3'!$B$12,G78+1,0)</f>
        <v>0</v>
      </c>
      <c r="H79" s="39">
        <f t="shared" si="15"/>
        <v>2.1360000000000001</v>
      </c>
      <c r="I79" s="43" t="e">
        <f t="shared" si="16"/>
        <v>#VALUE!</v>
      </c>
      <c r="J79" s="38" t="e">
        <f t="shared" si="17"/>
        <v>#VALUE!</v>
      </c>
      <c r="K79" s="9" t="e">
        <f t="shared" si="18"/>
        <v>#VALUE!</v>
      </c>
      <c r="L79" s="7" t="e">
        <f t="shared" si="19"/>
        <v>#VALUE!</v>
      </c>
      <c r="M79" s="7" t="e">
        <f t="shared" si="20"/>
        <v>#VALUE!</v>
      </c>
      <c r="N79" s="7" t="e">
        <f t="shared" si="21"/>
        <v>#VALUE!</v>
      </c>
      <c r="O79" s="7" t="e">
        <f t="shared" si="22"/>
        <v>#VALUE!</v>
      </c>
      <c r="P79" s="7" t="e">
        <f t="shared" si="23"/>
        <v>#VALUE!</v>
      </c>
      <c r="Q79" s="239"/>
    </row>
    <row r="80" spans="4:17" x14ac:dyDescent="0.25">
      <c r="D80" s="237"/>
      <c r="E80" s="41">
        <f t="shared" si="14"/>
        <v>77</v>
      </c>
      <c r="F80" s="7" t="str">
        <f>IF((E80&lt;='Alternative 3'!$B$12),F79+1,"x")</f>
        <v>x</v>
      </c>
      <c r="G80" s="129">
        <f>IF(E80&lt;='Alternative 3'!$B$12,G79+1,0)</f>
        <v>0</v>
      </c>
      <c r="H80" s="39">
        <f t="shared" si="15"/>
        <v>2.1360000000000001</v>
      </c>
      <c r="I80" s="43" t="e">
        <f t="shared" si="16"/>
        <v>#VALUE!</v>
      </c>
      <c r="J80" s="38" t="e">
        <f t="shared" si="17"/>
        <v>#VALUE!</v>
      </c>
      <c r="K80" s="9" t="e">
        <f t="shared" si="18"/>
        <v>#VALUE!</v>
      </c>
      <c r="L80" s="7" t="e">
        <f t="shared" si="19"/>
        <v>#VALUE!</v>
      </c>
      <c r="M80" s="7" t="e">
        <f t="shared" si="20"/>
        <v>#VALUE!</v>
      </c>
      <c r="N80" s="7" t="e">
        <f t="shared" si="21"/>
        <v>#VALUE!</v>
      </c>
      <c r="O80" s="7" t="e">
        <f t="shared" si="22"/>
        <v>#VALUE!</v>
      </c>
      <c r="P80" s="7" t="e">
        <f t="shared" si="23"/>
        <v>#VALUE!</v>
      </c>
      <c r="Q80" s="239"/>
    </row>
    <row r="81" spans="4:17" x14ac:dyDescent="0.25">
      <c r="D81" s="237"/>
      <c r="E81" s="41">
        <f t="shared" si="14"/>
        <v>78</v>
      </c>
      <c r="F81" s="7" t="str">
        <f>IF((E81&lt;='Alternative 3'!$B$12),F80+1,"x")</f>
        <v>x</v>
      </c>
      <c r="G81" s="129">
        <f>IF(E81&lt;='Alternative 3'!$B$12,G80+1,0)</f>
        <v>0</v>
      </c>
      <c r="H81" s="39">
        <f t="shared" si="15"/>
        <v>2.1360000000000001</v>
      </c>
      <c r="I81" s="43" t="e">
        <f t="shared" si="16"/>
        <v>#VALUE!</v>
      </c>
      <c r="J81" s="38" t="e">
        <f t="shared" si="17"/>
        <v>#VALUE!</v>
      </c>
      <c r="K81" s="9" t="e">
        <f t="shared" si="18"/>
        <v>#VALUE!</v>
      </c>
      <c r="L81" s="7" t="e">
        <f t="shared" si="19"/>
        <v>#VALUE!</v>
      </c>
      <c r="M81" s="7" t="e">
        <f t="shared" si="20"/>
        <v>#VALUE!</v>
      </c>
      <c r="N81" s="7" t="e">
        <f t="shared" si="21"/>
        <v>#VALUE!</v>
      </c>
      <c r="O81" s="7" t="e">
        <f t="shared" si="22"/>
        <v>#VALUE!</v>
      </c>
      <c r="P81" s="7" t="e">
        <f t="shared" si="23"/>
        <v>#VALUE!</v>
      </c>
      <c r="Q81" s="239"/>
    </row>
    <row r="82" spans="4:17" x14ac:dyDescent="0.25">
      <c r="D82" s="237"/>
      <c r="E82" s="41">
        <f t="shared" si="14"/>
        <v>79</v>
      </c>
      <c r="F82" s="7" t="str">
        <f>IF((E82&lt;='Alternative 3'!$B$12),F81+1,"x")</f>
        <v>x</v>
      </c>
      <c r="G82" s="129">
        <f>IF(E82&lt;='Alternative 3'!$B$12,G81+1,0)</f>
        <v>0</v>
      </c>
      <c r="H82" s="39">
        <f t="shared" si="15"/>
        <v>2.1360000000000001</v>
      </c>
      <c r="I82" s="43" t="e">
        <f t="shared" si="16"/>
        <v>#VALUE!</v>
      </c>
      <c r="J82" s="38" t="e">
        <f t="shared" si="17"/>
        <v>#VALUE!</v>
      </c>
      <c r="K82" s="9" t="e">
        <f t="shared" si="18"/>
        <v>#VALUE!</v>
      </c>
      <c r="L82" s="7" t="e">
        <f t="shared" si="19"/>
        <v>#VALUE!</v>
      </c>
      <c r="M82" s="7" t="e">
        <f t="shared" si="20"/>
        <v>#VALUE!</v>
      </c>
      <c r="N82" s="7" t="e">
        <f t="shared" si="21"/>
        <v>#VALUE!</v>
      </c>
      <c r="O82" s="7" t="e">
        <f t="shared" si="22"/>
        <v>#VALUE!</v>
      </c>
      <c r="P82" s="7" t="e">
        <f t="shared" si="23"/>
        <v>#VALUE!</v>
      </c>
      <c r="Q82" s="239"/>
    </row>
    <row r="83" spans="4:17" x14ac:dyDescent="0.25">
      <c r="D83" s="237"/>
      <c r="E83" s="41">
        <f t="shared" si="14"/>
        <v>80</v>
      </c>
      <c r="F83" s="7" t="str">
        <f>IF((E83&lt;='Alternative 3'!$B$12),F82+1,"x")</f>
        <v>x</v>
      </c>
      <c r="G83" s="129">
        <f>IF(E83&lt;='Alternative 3'!$B$12,G82+1,0)</f>
        <v>0</v>
      </c>
      <c r="H83" s="39">
        <f t="shared" si="15"/>
        <v>2.1360000000000001</v>
      </c>
      <c r="I83" s="43" t="e">
        <f t="shared" si="16"/>
        <v>#VALUE!</v>
      </c>
      <c r="J83" s="38" t="e">
        <f t="shared" si="17"/>
        <v>#VALUE!</v>
      </c>
      <c r="K83" s="9" t="e">
        <f t="shared" si="18"/>
        <v>#VALUE!</v>
      </c>
      <c r="L83" s="7" t="e">
        <f t="shared" si="19"/>
        <v>#VALUE!</v>
      </c>
      <c r="M83" s="7" t="e">
        <f t="shared" si="20"/>
        <v>#VALUE!</v>
      </c>
      <c r="N83" s="7" t="e">
        <f t="shared" si="21"/>
        <v>#VALUE!</v>
      </c>
      <c r="O83" s="7" t="e">
        <f t="shared" si="22"/>
        <v>#VALUE!</v>
      </c>
      <c r="P83" s="7" t="e">
        <f t="shared" si="23"/>
        <v>#VALUE!</v>
      </c>
      <c r="Q83" s="239"/>
    </row>
    <row r="84" spans="4:17" x14ac:dyDescent="0.25">
      <c r="D84" s="237"/>
      <c r="E84" s="41">
        <f t="shared" si="14"/>
        <v>81</v>
      </c>
      <c r="F84" s="7" t="str">
        <f>IF((E84&lt;='Alternative 3'!$B$12),F83+1,"x")</f>
        <v>x</v>
      </c>
      <c r="G84" s="129">
        <f>IF(E84&lt;='Alternative 3'!$B$12,G83+1,0)</f>
        <v>0</v>
      </c>
      <c r="H84" s="39">
        <f t="shared" si="15"/>
        <v>2.1360000000000001</v>
      </c>
      <c r="I84" s="43" t="e">
        <f t="shared" si="16"/>
        <v>#VALUE!</v>
      </c>
      <c r="J84" s="38" t="e">
        <f t="shared" si="17"/>
        <v>#VALUE!</v>
      </c>
      <c r="K84" s="9" t="e">
        <f t="shared" si="18"/>
        <v>#VALUE!</v>
      </c>
      <c r="L84" s="7" t="e">
        <f t="shared" si="19"/>
        <v>#VALUE!</v>
      </c>
      <c r="M84" s="7" t="e">
        <f t="shared" si="20"/>
        <v>#VALUE!</v>
      </c>
      <c r="N84" s="7" t="e">
        <f t="shared" si="21"/>
        <v>#VALUE!</v>
      </c>
      <c r="O84" s="7" t="e">
        <f t="shared" si="22"/>
        <v>#VALUE!</v>
      </c>
      <c r="P84" s="7" t="e">
        <f t="shared" si="23"/>
        <v>#VALUE!</v>
      </c>
      <c r="Q84" s="239"/>
    </row>
    <row r="85" spans="4:17" x14ac:dyDescent="0.25">
      <c r="D85" s="237"/>
      <c r="E85" s="41">
        <f t="shared" si="14"/>
        <v>82</v>
      </c>
      <c r="F85" s="7" t="str">
        <f>IF((E85&lt;='Alternative 3'!$B$12),F84+1,"x")</f>
        <v>x</v>
      </c>
      <c r="G85" s="129">
        <f>IF(E85&lt;='Alternative 3'!$B$12,G84+1,0)</f>
        <v>0</v>
      </c>
      <c r="H85" s="39">
        <f t="shared" si="15"/>
        <v>2.1360000000000001</v>
      </c>
      <c r="I85" s="43" t="e">
        <f t="shared" si="16"/>
        <v>#VALUE!</v>
      </c>
      <c r="J85" s="38" t="e">
        <f t="shared" si="17"/>
        <v>#VALUE!</v>
      </c>
      <c r="K85" s="9" t="e">
        <f t="shared" si="18"/>
        <v>#VALUE!</v>
      </c>
      <c r="L85" s="7" t="e">
        <f t="shared" si="19"/>
        <v>#VALUE!</v>
      </c>
      <c r="M85" s="7" t="e">
        <f t="shared" si="20"/>
        <v>#VALUE!</v>
      </c>
      <c r="N85" s="7" t="e">
        <f t="shared" si="21"/>
        <v>#VALUE!</v>
      </c>
      <c r="O85" s="7" t="e">
        <f t="shared" si="22"/>
        <v>#VALUE!</v>
      </c>
      <c r="P85" s="7" t="e">
        <f t="shared" si="23"/>
        <v>#VALUE!</v>
      </c>
      <c r="Q85" s="239"/>
    </row>
    <row r="86" spans="4:17" x14ac:dyDescent="0.25">
      <c r="D86" s="237"/>
      <c r="E86" s="41">
        <f t="shared" si="14"/>
        <v>83</v>
      </c>
      <c r="F86" s="7" t="str">
        <f>IF((E86&lt;='Alternative 3'!$B$12),F85+1,"x")</f>
        <v>x</v>
      </c>
      <c r="G86" s="129">
        <f>IF(E86&lt;='Alternative 3'!$B$12,G85+1,0)</f>
        <v>0</v>
      </c>
      <c r="H86" s="39">
        <f t="shared" si="15"/>
        <v>2.1360000000000001</v>
      </c>
      <c r="I86" s="43" t="e">
        <f t="shared" si="16"/>
        <v>#VALUE!</v>
      </c>
      <c r="J86" s="38" t="e">
        <f t="shared" si="17"/>
        <v>#VALUE!</v>
      </c>
      <c r="K86" s="9" t="e">
        <f t="shared" si="18"/>
        <v>#VALUE!</v>
      </c>
      <c r="L86" s="7" t="e">
        <f t="shared" si="19"/>
        <v>#VALUE!</v>
      </c>
      <c r="M86" s="7" t="e">
        <f t="shared" si="20"/>
        <v>#VALUE!</v>
      </c>
      <c r="N86" s="7" t="e">
        <f t="shared" si="21"/>
        <v>#VALUE!</v>
      </c>
      <c r="O86" s="7" t="e">
        <f t="shared" si="22"/>
        <v>#VALUE!</v>
      </c>
      <c r="P86" s="7" t="e">
        <f t="shared" si="23"/>
        <v>#VALUE!</v>
      </c>
      <c r="Q86" s="239"/>
    </row>
    <row r="87" spans="4:17" x14ac:dyDescent="0.25">
      <c r="D87" s="237"/>
      <c r="E87" s="41">
        <f t="shared" si="14"/>
        <v>84</v>
      </c>
      <c r="F87" s="7" t="str">
        <f>IF((E87&lt;='Alternative 3'!$B$12),F86+1,"x")</f>
        <v>x</v>
      </c>
      <c r="G87" s="129">
        <f>IF(E87&lt;='Alternative 3'!$B$12,G86+1,0)</f>
        <v>0</v>
      </c>
      <c r="H87" s="39">
        <f t="shared" si="15"/>
        <v>2.1360000000000001</v>
      </c>
      <c r="I87" s="43" t="e">
        <f t="shared" si="16"/>
        <v>#VALUE!</v>
      </c>
      <c r="J87" s="38" t="e">
        <f t="shared" si="17"/>
        <v>#VALUE!</v>
      </c>
      <c r="K87" s="9" t="e">
        <f t="shared" si="18"/>
        <v>#VALUE!</v>
      </c>
      <c r="L87" s="7" t="e">
        <f t="shared" si="19"/>
        <v>#VALUE!</v>
      </c>
      <c r="M87" s="7" t="e">
        <f t="shared" si="20"/>
        <v>#VALUE!</v>
      </c>
      <c r="N87" s="7" t="e">
        <f t="shared" si="21"/>
        <v>#VALUE!</v>
      </c>
      <c r="O87" s="7" t="e">
        <f t="shared" si="22"/>
        <v>#VALUE!</v>
      </c>
      <c r="P87" s="7" t="e">
        <f t="shared" si="23"/>
        <v>#VALUE!</v>
      </c>
      <c r="Q87" s="239"/>
    </row>
    <row r="88" spans="4:17" x14ac:dyDescent="0.25">
      <c r="D88" s="237"/>
      <c r="E88" s="41">
        <f t="shared" si="14"/>
        <v>85</v>
      </c>
      <c r="F88" s="7" t="str">
        <f>IF((E88&lt;='Alternative 3'!$B$12),F87+1,"x")</f>
        <v>x</v>
      </c>
      <c r="G88" s="129">
        <f>IF(E88&lt;='Alternative 3'!$B$12,G87+1,0)</f>
        <v>0</v>
      </c>
      <c r="H88" s="39">
        <f t="shared" si="15"/>
        <v>2.1360000000000001</v>
      </c>
      <c r="I88" s="43" t="e">
        <f t="shared" si="16"/>
        <v>#VALUE!</v>
      </c>
      <c r="J88" s="38" t="e">
        <f t="shared" si="17"/>
        <v>#VALUE!</v>
      </c>
      <c r="K88" s="9" t="e">
        <f t="shared" si="18"/>
        <v>#VALUE!</v>
      </c>
      <c r="L88" s="7" t="e">
        <f t="shared" si="19"/>
        <v>#VALUE!</v>
      </c>
      <c r="M88" s="7" t="e">
        <f t="shared" si="20"/>
        <v>#VALUE!</v>
      </c>
      <c r="N88" s="7" t="e">
        <f t="shared" si="21"/>
        <v>#VALUE!</v>
      </c>
      <c r="O88" s="7" t="e">
        <f t="shared" si="22"/>
        <v>#VALUE!</v>
      </c>
      <c r="P88" s="7" t="e">
        <f t="shared" si="23"/>
        <v>#VALUE!</v>
      </c>
      <c r="Q88" s="239"/>
    </row>
    <row r="89" spans="4:17" x14ac:dyDescent="0.25">
      <c r="D89" s="237"/>
      <c r="E89" s="41">
        <f t="shared" si="14"/>
        <v>86</v>
      </c>
      <c r="F89" s="7" t="str">
        <f>IF((E89&lt;='Alternative 3'!$B$12),F88+1,"x")</f>
        <v>x</v>
      </c>
      <c r="G89" s="129">
        <f>IF(E89&lt;='Alternative 3'!$B$12,G88+1,0)</f>
        <v>0</v>
      </c>
      <c r="H89" s="39">
        <f t="shared" si="15"/>
        <v>2.1360000000000001</v>
      </c>
      <c r="I89" s="43" t="e">
        <f t="shared" si="16"/>
        <v>#VALUE!</v>
      </c>
      <c r="J89" s="38" t="e">
        <f t="shared" si="17"/>
        <v>#VALUE!</v>
      </c>
      <c r="K89" s="9" t="e">
        <f t="shared" si="18"/>
        <v>#VALUE!</v>
      </c>
      <c r="L89" s="7" t="e">
        <f t="shared" si="19"/>
        <v>#VALUE!</v>
      </c>
      <c r="M89" s="7" t="e">
        <f t="shared" si="20"/>
        <v>#VALUE!</v>
      </c>
      <c r="N89" s="7" t="e">
        <f t="shared" si="21"/>
        <v>#VALUE!</v>
      </c>
      <c r="O89" s="7" t="e">
        <f t="shared" si="22"/>
        <v>#VALUE!</v>
      </c>
      <c r="P89" s="7" t="e">
        <f t="shared" si="23"/>
        <v>#VALUE!</v>
      </c>
      <c r="Q89" s="239"/>
    </row>
    <row r="90" spans="4:17" x14ac:dyDescent="0.25">
      <c r="D90" s="237"/>
      <c r="E90" s="41">
        <f t="shared" si="14"/>
        <v>87</v>
      </c>
      <c r="F90" s="7" t="str">
        <f>IF((E90&lt;='Alternative 3'!$B$12),F89+1,"x")</f>
        <v>x</v>
      </c>
      <c r="G90" s="129">
        <f>IF(E90&lt;='Alternative 3'!$B$12,G89+1,0)</f>
        <v>0</v>
      </c>
      <c r="H90" s="39">
        <f t="shared" si="15"/>
        <v>2.1360000000000001</v>
      </c>
      <c r="I90" s="43" t="e">
        <f t="shared" si="16"/>
        <v>#VALUE!</v>
      </c>
      <c r="J90" s="38" t="e">
        <f t="shared" si="17"/>
        <v>#VALUE!</v>
      </c>
      <c r="K90" s="9" t="e">
        <f t="shared" si="18"/>
        <v>#VALUE!</v>
      </c>
      <c r="L90" s="7" t="e">
        <f t="shared" si="19"/>
        <v>#VALUE!</v>
      </c>
      <c r="M90" s="7" t="e">
        <f t="shared" si="20"/>
        <v>#VALUE!</v>
      </c>
      <c r="N90" s="7" t="e">
        <f t="shared" si="21"/>
        <v>#VALUE!</v>
      </c>
      <c r="O90" s="7" t="e">
        <f t="shared" si="22"/>
        <v>#VALUE!</v>
      </c>
      <c r="P90" s="7" t="e">
        <f t="shared" si="23"/>
        <v>#VALUE!</v>
      </c>
      <c r="Q90" s="239"/>
    </row>
    <row r="91" spans="4:17" x14ac:dyDescent="0.25">
      <c r="D91" s="237"/>
      <c r="E91" s="41">
        <f t="shared" si="14"/>
        <v>88</v>
      </c>
      <c r="F91" s="7" t="str">
        <f>IF((E91&lt;='Alternative 3'!$B$12),F90+1,"x")</f>
        <v>x</v>
      </c>
      <c r="G91" s="129">
        <f>IF(E91&lt;='Alternative 3'!$B$12,G90+1,0)</f>
        <v>0</v>
      </c>
      <c r="H91" s="39">
        <f t="shared" si="15"/>
        <v>2.1360000000000001</v>
      </c>
      <c r="I91" s="43" t="e">
        <f t="shared" si="16"/>
        <v>#VALUE!</v>
      </c>
      <c r="J91" s="38" t="e">
        <f t="shared" si="17"/>
        <v>#VALUE!</v>
      </c>
      <c r="K91" s="9" t="e">
        <f t="shared" si="18"/>
        <v>#VALUE!</v>
      </c>
      <c r="L91" s="7" t="e">
        <f t="shared" si="19"/>
        <v>#VALUE!</v>
      </c>
      <c r="M91" s="7" t="e">
        <f t="shared" si="20"/>
        <v>#VALUE!</v>
      </c>
      <c r="N91" s="7" t="e">
        <f t="shared" si="21"/>
        <v>#VALUE!</v>
      </c>
      <c r="O91" s="7" t="e">
        <f t="shared" si="22"/>
        <v>#VALUE!</v>
      </c>
      <c r="P91" s="7" t="e">
        <f t="shared" si="23"/>
        <v>#VALUE!</v>
      </c>
      <c r="Q91" s="239"/>
    </row>
    <row r="92" spans="4:17" x14ac:dyDescent="0.25">
      <c r="D92" s="237"/>
      <c r="E92" s="41">
        <f t="shared" si="14"/>
        <v>89</v>
      </c>
      <c r="F92" s="7" t="str">
        <f>IF((E92&lt;='Alternative 3'!$B$12),F91+1,"x")</f>
        <v>x</v>
      </c>
      <c r="G92" s="129">
        <f>IF(E92&lt;='Alternative 3'!$B$12,G91+1,0)</f>
        <v>0</v>
      </c>
      <c r="H92" s="39">
        <f t="shared" si="15"/>
        <v>2.1360000000000001</v>
      </c>
      <c r="I92" s="43" t="e">
        <f t="shared" si="16"/>
        <v>#VALUE!</v>
      </c>
      <c r="J92" s="38" t="e">
        <f t="shared" si="17"/>
        <v>#VALUE!</v>
      </c>
      <c r="K92" s="9" t="e">
        <f t="shared" si="18"/>
        <v>#VALUE!</v>
      </c>
      <c r="L92" s="7" t="e">
        <f t="shared" si="19"/>
        <v>#VALUE!</v>
      </c>
      <c r="M92" s="7" t="e">
        <f t="shared" si="20"/>
        <v>#VALUE!</v>
      </c>
      <c r="N92" s="7" t="e">
        <f t="shared" si="21"/>
        <v>#VALUE!</v>
      </c>
      <c r="O92" s="7" t="e">
        <f t="shared" si="22"/>
        <v>#VALUE!</v>
      </c>
      <c r="P92" s="7" t="e">
        <f t="shared" si="23"/>
        <v>#VALUE!</v>
      </c>
      <c r="Q92" s="239"/>
    </row>
    <row r="93" spans="4:17" x14ac:dyDescent="0.25">
      <c r="D93" s="237"/>
      <c r="E93" s="41">
        <f>E92+1</f>
        <v>90</v>
      </c>
      <c r="F93" s="7" t="str">
        <f>IF((E93&lt;='Alternative 3'!$B$12),F92+1,"x")</f>
        <v>x</v>
      </c>
      <c r="G93" s="129">
        <f>IF(E93&lt;='Alternative 3'!$B$12,G92+1,0)</f>
        <v>0</v>
      </c>
      <c r="H93" s="39">
        <f t="shared" si="15"/>
        <v>2.1360000000000001</v>
      </c>
      <c r="I93" s="43" t="e">
        <f t="shared" si="16"/>
        <v>#VALUE!</v>
      </c>
      <c r="J93" s="38" t="e">
        <f t="shared" si="17"/>
        <v>#VALUE!</v>
      </c>
      <c r="K93" s="9" t="e">
        <f t="shared" si="18"/>
        <v>#VALUE!</v>
      </c>
      <c r="L93" s="7" t="e">
        <f t="shared" si="19"/>
        <v>#VALUE!</v>
      </c>
      <c r="M93" s="7" t="e">
        <f t="shared" si="20"/>
        <v>#VALUE!</v>
      </c>
      <c r="N93" s="7" t="e">
        <f t="shared" si="21"/>
        <v>#VALUE!</v>
      </c>
      <c r="O93" s="7" t="e">
        <f t="shared" si="22"/>
        <v>#VALUE!</v>
      </c>
      <c r="P93" s="7" t="e">
        <f t="shared" si="23"/>
        <v>#VALUE!</v>
      </c>
      <c r="Q93" s="239"/>
    </row>
  </sheetData>
  <customSheetViews>
    <customSheetView guid="{73608749-DAD6-470A-871E-DA0A326E9E7B}" scale="80" topLeftCell="A16">
      <selection activeCell="P22" sqref="P22:P28"/>
      <pageMargins left="0.7" right="0.7" top="0.75" bottom="0.75" header="0.3" footer="0.3"/>
    </customSheetView>
  </customSheetViews>
  <mergeCells count="13">
    <mergeCell ref="S4:T4"/>
    <mergeCell ref="S2:T2"/>
    <mergeCell ref="S3:T3"/>
    <mergeCell ref="R1:T1"/>
    <mergeCell ref="A1:C1"/>
    <mergeCell ref="F1:P1"/>
    <mergeCell ref="D1:D93"/>
    <mergeCell ref="Q1:Q93"/>
    <mergeCell ref="A11:C11"/>
    <mergeCell ref="A18:C18"/>
    <mergeCell ref="A24:C24"/>
    <mergeCell ref="A31:C31"/>
    <mergeCell ref="A37:C37"/>
  </mergeCells>
  <conditionalFormatting sqref="F4:F93">
    <cfRule type="cellIs" dxfId="16" priority="1" operator="equal">
      <formula>$B$12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P94"/>
  <sheetViews>
    <sheetView topLeftCell="A2" zoomScale="70" zoomScaleNormal="70" workbookViewId="0">
      <selection activeCell="AW12" sqref="AW12"/>
    </sheetView>
  </sheetViews>
  <sheetFormatPr defaultColWidth="9.140625" defaultRowHeight="15" x14ac:dyDescent="0.25"/>
  <cols>
    <col min="1" max="1" width="8.7109375" style="7" bestFit="1" customWidth="1"/>
    <col min="2" max="2" width="11" style="13" bestFit="1" customWidth="1"/>
    <col min="3" max="3" width="15.85546875" style="13" bestFit="1" customWidth="1"/>
    <col min="4" max="4" width="13" style="13" bestFit="1" customWidth="1"/>
    <col min="5" max="11" width="14.85546875" style="13" bestFit="1" customWidth="1"/>
    <col min="12" max="12" width="7.140625" style="13" bestFit="1" customWidth="1"/>
    <col min="13" max="13" width="14.85546875" style="13" bestFit="1" customWidth="1"/>
    <col min="14" max="14" width="17.140625" style="13" bestFit="1" customWidth="1"/>
    <col min="15" max="15" width="2.7109375" style="70" customWidth="1"/>
    <col min="16" max="16" width="8.7109375" style="13" bestFit="1" customWidth="1"/>
    <col min="17" max="17" width="11" style="13" bestFit="1" customWidth="1"/>
    <col min="18" max="18" width="10.140625" style="13" bestFit="1" customWidth="1"/>
    <col min="19" max="19" width="13" style="13" bestFit="1" customWidth="1"/>
    <col min="20" max="26" width="14.85546875" style="13" bestFit="1" customWidth="1"/>
    <col min="27" max="27" width="7.42578125" style="13" bestFit="1" customWidth="1"/>
    <col min="28" max="28" width="14.85546875" style="13" bestFit="1" customWidth="1"/>
    <col min="29" max="29" width="17.140625" style="13" bestFit="1" customWidth="1"/>
    <col min="30" max="30" width="2.7109375" style="70" customWidth="1"/>
    <col min="31" max="31" width="22.140625" style="13" bestFit="1" customWidth="1"/>
    <col min="32" max="32" width="11" style="13" bestFit="1" customWidth="1"/>
    <col min="33" max="33" width="10.140625" style="13" bestFit="1" customWidth="1"/>
    <col min="34" max="34" width="13" style="13" bestFit="1" customWidth="1"/>
    <col min="35" max="41" width="14.85546875" style="13" bestFit="1" customWidth="1"/>
    <col min="42" max="42" width="7.42578125" style="13" bestFit="1" customWidth="1"/>
    <col min="43" max="44" width="14.85546875" style="13" bestFit="1" customWidth="1"/>
    <col min="45" max="16384" width="9.140625" style="15"/>
  </cols>
  <sheetData>
    <row r="1" spans="1:94" ht="15" hidden="1" customHeight="1" x14ac:dyDescent="0.25">
      <c r="A1" s="7">
        <v>7850</v>
      </c>
    </row>
    <row r="2" spans="1:94" s="69" customFormat="1" ht="30.75" customHeight="1" x14ac:dyDescent="0.25">
      <c r="A2" s="240" t="s">
        <v>120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71"/>
      <c r="P2" s="243" t="s">
        <v>121</v>
      </c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71"/>
      <c r="AE2" s="240" t="s">
        <v>122</v>
      </c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2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</row>
    <row r="3" spans="1:94" ht="55.5" customHeight="1" x14ac:dyDescent="0.25">
      <c r="A3" s="73" t="s">
        <v>36</v>
      </c>
      <c r="B3" s="72" t="s">
        <v>128</v>
      </c>
      <c r="C3" s="72" t="s">
        <v>129</v>
      </c>
      <c r="D3" s="72" t="s">
        <v>130</v>
      </c>
      <c r="E3" s="72" t="s">
        <v>131</v>
      </c>
      <c r="F3" s="72" t="s">
        <v>132</v>
      </c>
      <c r="G3" s="72" t="s">
        <v>133</v>
      </c>
      <c r="H3" s="72" t="s">
        <v>134</v>
      </c>
      <c r="I3" s="72" t="s">
        <v>135</v>
      </c>
      <c r="J3" s="72" t="s">
        <v>136</v>
      </c>
      <c r="K3" s="72" t="s">
        <v>137</v>
      </c>
      <c r="L3" s="72" t="s">
        <v>10</v>
      </c>
      <c r="M3" s="72" t="s">
        <v>138</v>
      </c>
      <c r="N3" s="72" t="s">
        <v>139</v>
      </c>
      <c r="P3" s="73" t="s">
        <v>36</v>
      </c>
      <c r="Q3" s="72" t="s">
        <v>128</v>
      </c>
      <c r="R3" s="72" t="s">
        <v>129</v>
      </c>
      <c r="S3" s="72" t="s">
        <v>130</v>
      </c>
      <c r="T3" s="72" t="s">
        <v>131</v>
      </c>
      <c r="U3" s="72" t="s">
        <v>132</v>
      </c>
      <c r="V3" s="72" t="s">
        <v>133</v>
      </c>
      <c r="W3" s="72" t="s">
        <v>134</v>
      </c>
      <c r="X3" s="72" t="s">
        <v>135</v>
      </c>
      <c r="Y3" s="72" t="s">
        <v>136</v>
      </c>
      <c r="Z3" s="72" t="s">
        <v>137</v>
      </c>
      <c r="AA3" s="72" t="s">
        <v>10</v>
      </c>
      <c r="AB3" s="72" t="s">
        <v>138</v>
      </c>
      <c r="AC3" s="72" t="s">
        <v>139</v>
      </c>
      <c r="AE3" s="73" t="s">
        <v>36</v>
      </c>
      <c r="AF3" s="72" t="s">
        <v>128</v>
      </c>
      <c r="AG3" s="72" t="s">
        <v>129</v>
      </c>
      <c r="AH3" s="72" t="s">
        <v>130</v>
      </c>
      <c r="AI3" s="72" t="s">
        <v>131</v>
      </c>
      <c r="AJ3" s="72" t="s">
        <v>132</v>
      </c>
      <c r="AK3" s="72" t="s">
        <v>133</v>
      </c>
      <c r="AL3" s="72" t="s">
        <v>134</v>
      </c>
      <c r="AM3" s="72" t="s">
        <v>135</v>
      </c>
      <c r="AN3" s="72" t="s">
        <v>136</v>
      </c>
      <c r="AO3" s="72" t="s">
        <v>137</v>
      </c>
      <c r="AP3" s="72" t="s">
        <v>10</v>
      </c>
      <c r="AQ3" s="72" t="s">
        <v>138</v>
      </c>
      <c r="AR3" s="72" t="s">
        <v>139</v>
      </c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</row>
    <row r="4" spans="1:94" x14ac:dyDescent="0.25">
      <c r="A4" s="7">
        <v>0</v>
      </c>
      <c r="B4" s="13">
        <v>0</v>
      </c>
      <c r="C4" s="74">
        <f>'Alternative 1'!I3</f>
        <v>1.0680000000000001</v>
      </c>
      <c r="D4" s="74">
        <f>'Alternative 1'!J3</f>
        <v>1.048</v>
      </c>
      <c r="E4" s="13">
        <f>(PI()*0*(C4^2+0^2+C4*0)*(1/3))</f>
        <v>0</v>
      </c>
      <c r="F4" s="13">
        <f>(PI()*0*(D4^2+0^2+D4*0)*(1/3))</f>
        <v>0</v>
      </c>
      <c r="G4" s="13">
        <f t="shared" ref="G4:G5" si="0">(E4-F4)</f>
        <v>0</v>
      </c>
      <c r="H4" s="13">
        <f>IF(NOT(B4=9999),G4*$A$1,9999)</f>
        <v>0</v>
      </c>
      <c r="I4" s="13">
        <f>SUM(H4:H$94)</f>
        <v>31215.543190081382</v>
      </c>
      <c r="J4" s="13">
        <f>SUM($H$4)</f>
        <v>0</v>
      </c>
      <c r="K4" s="13">
        <f t="shared" ref="K4:K5" si="1">ABS(I4-J4)</f>
        <v>31215.543190081382</v>
      </c>
      <c r="L4" s="13">
        <f t="shared" ref="L4:L5" si="2">B4</f>
        <v>0</v>
      </c>
      <c r="M4" s="13">
        <f>MIN(K4:K71)</f>
        <v>329.25845778385701</v>
      </c>
      <c r="N4" s="13">
        <f>VLOOKUP(M4,K4:L71,2,FALSE)</f>
        <v>16</v>
      </c>
      <c r="P4" s="7">
        <v>0</v>
      </c>
      <c r="Q4" s="13">
        <v>0</v>
      </c>
      <c r="R4" s="74">
        <f>'Alternative 2'!I3</f>
        <v>1.0680000000000001</v>
      </c>
      <c r="S4" s="74">
        <f>'Alternative 2'!J3</f>
        <v>1.048</v>
      </c>
      <c r="T4" s="13">
        <f>(PI()*0*(R4^2+0^2+R4*0)*(1/3))</f>
        <v>0</v>
      </c>
      <c r="U4" s="13">
        <f>(PI()*0*(S4^2+0^2+S4*0)*(1/3))</f>
        <v>0</v>
      </c>
      <c r="V4" s="13">
        <f t="shared" ref="V4:V5" si="3">(T4-U4)</f>
        <v>0</v>
      </c>
      <c r="W4" s="13">
        <f>IF(NOT(Q4=9999),V4*$A$1,9999)</f>
        <v>0</v>
      </c>
      <c r="X4" s="13">
        <f>SUM(W4:W$94)</f>
        <v>31215.543190081382</v>
      </c>
      <c r="Y4" s="13">
        <f>SUM($W$4)</f>
        <v>0</v>
      </c>
      <c r="Z4" s="13">
        <f t="shared" ref="Z4:Z5" si="4">ABS(X4-Y4)</f>
        <v>31215.543190081382</v>
      </c>
      <c r="AA4" s="13">
        <f t="shared" ref="AA4:AA35" si="5">Q4</f>
        <v>0</v>
      </c>
      <c r="AB4" s="13">
        <f>MIN(Z4:Z71)</f>
        <v>329.25845778385701</v>
      </c>
      <c r="AC4" s="13">
        <f>VLOOKUP(AB4,Z4:AA71,2,FALSE)</f>
        <v>16</v>
      </c>
      <c r="AE4" s="7">
        <v>0</v>
      </c>
      <c r="AF4" s="13">
        <v>0</v>
      </c>
      <c r="AG4" s="74">
        <f>'Alternative 3'!I3</f>
        <v>1.0680000000000001</v>
      </c>
      <c r="AH4" s="74">
        <f>'Alternative 3'!J3</f>
        <v>1.048</v>
      </c>
      <c r="AI4" s="13">
        <f>(PI()*0*(AG4^2+0^2+AG4*0)*(1/3))</f>
        <v>0</v>
      </c>
      <c r="AJ4" s="13">
        <f>(PI()*0*(AH4^2+0^2+AH4*0)*(1/3))</f>
        <v>0</v>
      </c>
      <c r="AK4" s="13">
        <f t="shared" ref="AK4:AK5" si="6">(AI4-AJ4)</f>
        <v>0</v>
      </c>
      <c r="AL4" s="13">
        <f>IF(NOT(AF4=9999),AK4*$A$1,9999)</f>
        <v>0</v>
      </c>
      <c r="AM4" s="13">
        <f>SUM(AL4:AL$94)</f>
        <v>31215.543190081382</v>
      </c>
      <c r="AN4" s="13">
        <f>SUM($AL$4)</f>
        <v>0</v>
      </c>
      <c r="AO4" s="13">
        <f t="shared" ref="AO4:AO5" si="7">ABS(AM4-AN4)</f>
        <v>31215.543190081382</v>
      </c>
      <c r="AP4" s="13">
        <f t="shared" ref="AP4:AP35" si="8">AF4</f>
        <v>0</v>
      </c>
      <c r="AQ4" s="13">
        <f>MIN(AO4:AO71)</f>
        <v>329.25845778385701</v>
      </c>
      <c r="AR4" s="13">
        <f>VLOOKUP(AQ4,AO4:AP71,2,FALSE)</f>
        <v>16</v>
      </c>
    </row>
    <row r="5" spans="1:94" x14ac:dyDescent="0.25">
      <c r="A5" s="7">
        <f t="shared" ref="A5:A68" si="9">A4+1</f>
        <v>1</v>
      </c>
      <c r="B5" s="13">
        <f>IF((A5&lt;='Alternative 1'!$B$12),B4+1,"x")</f>
        <v>1</v>
      </c>
      <c r="C5" s="74">
        <f>'Alternative 1'!I4</f>
        <v>1.0580555555555555</v>
      </c>
      <c r="D5" s="74">
        <f>'Alternative 1'!J4</f>
        <v>1.0380555555555555</v>
      </c>
      <c r="E5" s="13">
        <f t="shared" ref="E5" si="10">(PI()*1*(C4^2+C5^2+C4*C5)*(1/3))</f>
        <v>3.5501137299663545</v>
      </c>
      <c r="F5" s="13">
        <f t="shared" ref="F5" si="11">(PI()*1*(D4^2+D5^2+D4*D5)*(1/3))</f>
        <v>3.4177863567386479</v>
      </c>
      <c r="G5" s="13">
        <f t="shared" si="0"/>
        <v>0.1323273732277066</v>
      </c>
      <c r="H5" s="120">
        <f>IF(NOT(B5="x"),G5*$A$1,"x")</f>
        <v>1038.7698798374968</v>
      </c>
      <c r="I5" s="13">
        <f>SUM(H6:H$94)</f>
        <v>30176.773310243876</v>
      </c>
      <c r="J5" s="13">
        <f>SUM($H$4:H5)</f>
        <v>1038.7698798374968</v>
      </c>
      <c r="K5" s="13">
        <f t="shared" si="1"/>
        <v>29138.003430406381</v>
      </c>
      <c r="L5" s="13">
        <f t="shared" si="2"/>
        <v>1</v>
      </c>
      <c r="N5" s="13" t="s">
        <v>145</v>
      </c>
      <c r="P5" s="7">
        <f t="shared" ref="P5:P36" si="12">P4+1</f>
        <v>1</v>
      </c>
      <c r="Q5" s="89">
        <f>IF((AE5&lt;='Alternative 2'!$B$12),AF4+1,"x")</f>
        <v>1</v>
      </c>
      <c r="R5" s="74">
        <f>'Alternative 2'!I4</f>
        <v>1.0580555555555555</v>
      </c>
      <c r="S5" s="74">
        <f>'Alternative 2'!J4</f>
        <v>1.0380555555555555</v>
      </c>
      <c r="T5" s="13">
        <f t="shared" ref="T5" si="13">(PI()*1*(R4^2+R5^2+R4*R5)*(1/3))</f>
        <v>3.5501137299663545</v>
      </c>
      <c r="U5" s="13">
        <f t="shared" ref="U5" si="14">(PI()*1*(S4^2+S5^2+S4*S5)*(1/3))</f>
        <v>3.4177863567386479</v>
      </c>
      <c r="V5" s="13">
        <f t="shared" si="3"/>
        <v>0.1323273732277066</v>
      </c>
      <c r="W5" s="120">
        <f>IF(NOT(Q5="x"),V5*$A$1,"x")</f>
        <v>1038.7698798374968</v>
      </c>
      <c r="X5" s="13">
        <f>SUM(W6:W$94)</f>
        <v>30176.773310243876</v>
      </c>
      <c r="Y5" s="13">
        <f>SUM($W$4:W5)</f>
        <v>1038.7698798374968</v>
      </c>
      <c r="Z5" s="13">
        <f t="shared" si="4"/>
        <v>29138.003430406381</v>
      </c>
      <c r="AA5" s="13">
        <f t="shared" si="5"/>
        <v>1</v>
      </c>
      <c r="AC5" s="13" t="s">
        <v>146</v>
      </c>
      <c r="AE5" s="7">
        <f t="shared" ref="AE5:AE36" si="15">AE4+1</f>
        <v>1</v>
      </c>
      <c r="AF5" s="13">
        <f>IF((AE5&lt;='Alternative 3'!$B$12),AF4+1,"x")</f>
        <v>1</v>
      </c>
      <c r="AG5" s="74">
        <f>'Alternative 3'!I4</f>
        <v>1.0580555555555555</v>
      </c>
      <c r="AH5" s="74">
        <f>'Alternative 3'!J4</f>
        <v>1.0380555555555555</v>
      </c>
      <c r="AI5" s="13">
        <f t="shared" ref="AI5" si="16">(PI()*1*(AG4^2+AG5^2+AG4*AG5)*(1/3))</f>
        <v>3.5501137299663545</v>
      </c>
      <c r="AJ5" s="13">
        <f t="shared" ref="AJ5" si="17">(PI()*1*(AH4^2+AH5^2+AH4*AH5)*(1/3))</f>
        <v>3.4177863567386479</v>
      </c>
      <c r="AK5" s="13">
        <f t="shared" si="6"/>
        <v>0.1323273732277066</v>
      </c>
      <c r="AL5" s="89">
        <f>IF(NOT(AF5="x"),AK5*$A$1,"x")</f>
        <v>1038.7698798374968</v>
      </c>
      <c r="AM5" s="13">
        <f>SUM(AL6:AL$94)</f>
        <v>30176.773310243876</v>
      </c>
      <c r="AN5" s="13">
        <f>SUM($AL$4:AL5)</f>
        <v>1038.7698798374968</v>
      </c>
      <c r="AO5" s="13">
        <f t="shared" si="7"/>
        <v>29138.003430406381</v>
      </c>
      <c r="AP5" s="13">
        <f t="shared" si="8"/>
        <v>1</v>
      </c>
      <c r="AR5" s="13" t="s">
        <v>146</v>
      </c>
    </row>
    <row r="6" spans="1:94" x14ac:dyDescent="0.25">
      <c r="A6" s="7">
        <f t="shared" si="9"/>
        <v>2</v>
      </c>
      <c r="B6" s="122">
        <f>IF((A6&lt;='Alternative 1'!$B$12),B5+1,"x")</f>
        <v>2</v>
      </c>
      <c r="C6" s="74">
        <f>'Alternative 1'!I5</f>
        <v>1.0481111111111112</v>
      </c>
      <c r="D6" s="74">
        <f>'Alternative 1'!J5</f>
        <v>1.0281111111111112</v>
      </c>
      <c r="E6" s="122">
        <f t="shared" ref="E6:E69" si="18">(PI()*1*(C5^2+C6^2+C5*C6)*(1/3))</f>
        <v>3.4840034698201596</v>
      </c>
      <c r="F6" s="122">
        <f t="shared" ref="F6:F69" si="19">(PI()*1*(D5^2+D6^2+D5*D6)*(1/3))</f>
        <v>3.3529257523368816</v>
      </c>
      <c r="G6" s="122">
        <f t="shared" ref="G6:G69" si="20">(E6-F6)</f>
        <v>0.13107771748327801</v>
      </c>
      <c r="H6" s="122">
        <f t="shared" ref="H6:H69" si="21">IF(NOT(B6="x"),G6*$A$1,"x")</f>
        <v>1028.9600822437324</v>
      </c>
      <c r="I6" s="122">
        <f>SUM(H7:H$94)</f>
        <v>29147.813228000148</v>
      </c>
      <c r="J6" s="122">
        <f>SUM($H$4:H6)</f>
        <v>2067.7299620812291</v>
      </c>
      <c r="K6" s="122">
        <f t="shared" ref="K6:K69" si="22">ABS(I6-J6)</f>
        <v>27080.083265918918</v>
      </c>
      <c r="L6" s="122">
        <f t="shared" ref="L6:L69" si="23">B6</f>
        <v>2</v>
      </c>
      <c r="N6" s="75">
        <f>SUM(H4:H94)</f>
        <v>31215.543190081382</v>
      </c>
      <c r="P6" s="7">
        <f t="shared" si="12"/>
        <v>2</v>
      </c>
      <c r="Q6" s="122">
        <f>IF((AE6&lt;='Alternative 2'!$B$12),AF5+1,"x")</f>
        <v>2</v>
      </c>
      <c r="R6" s="74">
        <f>'Alternative 2'!I5</f>
        <v>1.0481111111111112</v>
      </c>
      <c r="S6" s="74">
        <f>'Alternative 2'!J5</f>
        <v>1.0281111111111112</v>
      </c>
      <c r="T6" s="122">
        <f t="shared" ref="T6:T69" si="24">(PI()*1*(R5^2+R6^2+R5*R6)*(1/3))</f>
        <v>3.4840034698201596</v>
      </c>
      <c r="U6" s="122">
        <f t="shared" ref="U6:U69" si="25">(PI()*1*(S5^2+S6^2+S5*S6)*(1/3))</f>
        <v>3.3529257523368816</v>
      </c>
      <c r="V6" s="122">
        <f t="shared" ref="V6:V69" si="26">(T6-U6)</f>
        <v>0.13107771748327801</v>
      </c>
      <c r="W6" s="122">
        <f t="shared" ref="W6:W69" si="27">IF(NOT(Q6="x"),V6*$A$1,"x")</f>
        <v>1028.9600822437324</v>
      </c>
      <c r="X6" s="122">
        <f>SUM(W7:W$94)</f>
        <v>29147.813228000148</v>
      </c>
      <c r="Y6" s="122">
        <f>SUM($W$4:W6)</f>
        <v>2067.7299620812291</v>
      </c>
      <c r="Z6" s="122">
        <f t="shared" ref="Z6:Z69" si="28">ABS(X6-Y6)</f>
        <v>27080.083265918918</v>
      </c>
      <c r="AA6" s="13">
        <f t="shared" si="5"/>
        <v>2</v>
      </c>
      <c r="AC6" s="75">
        <f>SUM(W4:W94)</f>
        <v>31215.543190081382</v>
      </c>
      <c r="AE6" s="7">
        <f t="shared" si="15"/>
        <v>2</v>
      </c>
      <c r="AF6" s="122">
        <f>IF((AE6&lt;='Alternative 3'!$B$12),AF5+1,"x")</f>
        <v>2</v>
      </c>
      <c r="AG6" s="74">
        <f>'Alternative 3'!I5</f>
        <v>1.0481111111111112</v>
      </c>
      <c r="AH6" s="74">
        <f>'Alternative 3'!J5</f>
        <v>1.0281111111111112</v>
      </c>
      <c r="AI6" s="122">
        <f t="shared" ref="AI6:AI69" si="29">(PI()*1*(AG5^2+AG6^2+AG5*AG6)*(1/3))</f>
        <v>3.4840034698201596</v>
      </c>
      <c r="AJ6" s="122">
        <f t="shared" ref="AJ6:AJ69" si="30">(PI()*1*(AH5^2+AH6^2+AH5*AH6)*(1/3))</f>
        <v>3.3529257523368816</v>
      </c>
      <c r="AK6" s="122">
        <f t="shared" ref="AK6:AK69" si="31">(AI6-AJ6)</f>
        <v>0.13107771748327801</v>
      </c>
      <c r="AL6" s="122">
        <f t="shared" ref="AL6:AL69" si="32">IF(NOT(AF6="x"),AK6*$A$1,"x")</f>
        <v>1028.9600822437324</v>
      </c>
      <c r="AM6" s="122">
        <f>SUM(AL7:AL$94)</f>
        <v>29147.813228000148</v>
      </c>
      <c r="AN6" s="122">
        <f>SUM($AL$4:AL6)</f>
        <v>2067.7299620812291</v>
      </c>
      <c r="AO6" s="122">
        <f t="shared" ref="AO6:AO69" si="33">ABS(AM6-AN6)</f>
        <v>27080.083265918918</v>
      </c>
      <c r="AP6" s="13">
        <f t="shared" si="8"/>
        <v>2</v>
      </c>
      <c r="AR6" s="13">
        <f>SUM(AL4:AL494)</f>
        <v>31215.543190081382</v>
      </c>
    </row>
    <row r="7" spans="1:94" x14ac:dyDescent="0.25">
      <c r="A7" s="7">
        <f t="shared" si="9"/>
        <v>3</v>
      </c>
      <c r="B7" s="122">
        <f>IF((A7&lt;='Alternative 1'!$B$12),B6+1,"x")</f>
        <v>3</v>
      </c>
      <c r="C7" s="74">
        <f>'Alternative 1'!I6</f>
        <v>1.0381666666666667</v>
      </c>
      <c r="D7" s="74">
        <f>'Alternative 1'!J6</f>
        <v>1.0181666666666667</v>
      </c>
      <c r="E7" s="122">
        <f t="shared" si="18"/>
        <v>3.4185145662802219</v>
      </c>
      <c r="F7" s="122">
        <f t="shared" si="19"/>
        <v>3.2886865045413725</v>
      </c>
      <c r="G7" s="122">
        <f t="shared" si="20"/>
        <v>0.12982806173884942</v>
      </c>
      <c r="H7" s="122">
        <f t="shared" si="21"/>
        <v>1019.1502846499679</v>
      </c>
      <c r="I7" s="122">
        <f>SUM(H8:H$94)</f>
        <v>28128.66294335018</v>
      </c>
      <c r="J7" s="122">
        <f>SUM($H$4:H7)</f>
        <v>3086.8802467311971</v>
      </c>
      <c r="K7" s="122">
        <f t="shared" si="22"/>
        <v>25041.782696618982</v>
      </c>
      <c r="L7" s="122">
        <f t="shared" si="23"/>
        <v>3</v>
      </c>
      <c r="P7" s="7">
        <f t="shared" si="12"/>
        <v>3</v>
      </c>
      <c r="Q7" s="122">
        <f>IF((AE7&lt;='Alternative 2'!$B$12),AF6+1,"x")</f>
        <v>3</v>
      </c>
      <c r="R7" s="74">
        <f>'Alternative 2'!I6</f>
        <v>1.0381666666666667</v>
      </c>
      <c r="S7" s="74">
        <f>'Alternative 2'!J6</f>
        <v>1.0181666666666667</v>
      </c>
      <c r="T7" s="122">
        <f t="shared" si="24"/>
        <v>3.4185145662802219</v>
      </c>
      <c r="U7" s="122">
        <f t="shared" si="25"/>
        <v>3.2886865045413725</v>
      </c>
      <c r="V7" s="122">
        <f t="shared" si="26"/>
        <v>0.12982806173884942</v>
      </c>
      <c r="W7" s="122">
        <f t="shared" si="27"/>
        <v>1019.1502846499679</v>
      </c>
      <c r="X7" s="122">
        <f>SUM(W8:W$94)</f>
        <v>28128.66294335018</v>
      </c>
      <c r="Y7" s="122">
        <f>SUM($W$4:W7)</f>
        <v>3086.8802467311971</v>
      </c>
      <c r="Z7" s="122">
        <f t="shared" si="28"/>
        <v>25041.782696618982</v>
      </c>
      <c r="AA7" s="13">
        <f t="shared" si="5"/>
        <v>3</v>
      </c>
      <c r="AE7" s="7">
        <f t="shared" si="15"/>
        <v>3</v>
      </c>
      <c r="AF7" s="122">
        <f>IF((AE7&lt;='Alternative 3'!$B$12),AF6+1,"x")</f>
        <v>3</v>
      </c>
      <c r="AG7" s="74">
        <f>'Alternative 3'!I6</f>
        <v>1.0381666666666667</v>
      </c>
      <c r="AH7" s="74">
        <f>'Alternative 3'!J6</f>
        <v>1.0181666666666667</v>
      </c>
      <c r="AI7" s="122">
        <f t="shared" si="29"/>
        <v>3.4185145662802219</v>
      </c>
      <c r="AJ7" s="122">
        <f t="shared" si="30"/>
        <v>3.2886865045413725</v>
      </c>
      <c r="AK7" s="122">
        <f t="shared" si="31"/>
        <v>0.12982806173884942</v>
      </c>
      <c r="AL7" s="122">
        <f t="shared" si="32"/>
        <v>1019.1502846499679</v>
      </c>
      <c r="AM7" s="122">
        <f>SUM(AL8:AL$94)</f>
        <v>28128.66294335018</v>
      </c>
      <c r="AN7" s="122">
        <f>SUM($AL$4:AL7)</f>
        <v>3086.8802467311971</v>
      </c>
      <c r="AO7" s="122">
        <f t="shared" si="33"/>
        <v>25041.782696618982</v>
      </c>
      <c r="AP7" s="13">
        <f t="shared" si="8"/>
        <v>3</v>
      </c>
    </row>
    <row r="8" spans="1:94" x14ac:dyDescent="0.25">
      <c r="A8" s="7">
        <f t="shared" si="9"/>
        <v>4</v>
      </c>
      <c r="B8" s="122">
        <f>IF((A8&lt;='Alternative 1'!$B$12),B7+1,"x")</f>
        <v>4</v>
      </c>
      <c r="C8" s="74">
        <f>'Alternative 1'!I7</f>
        <v>1.0282222222222224</v>
      </c>
      <c r="D8" s="74">
        <f>'Alternative 1'!J7</f>
        <v>1.0082222222222224</v>
      </c>
      <c r="E8" s="122">
        <f t="shared" si="18"/>
        <v>3.3536470193465417</v>
      </c>
      <c r="F8" s="122">
        <f t="shared" si="19"/>
        <v>3.2250686133521196</v>
      </c>
      <c r="G8" s="122">
        <f t="shared" si="20"/>
        <v>0.12857840599442216</v>
      </c>
      <c r="H8" s="122">
        <f t="shared" si="21"/>
        <v>1009.340487056214</v>
      </c>
      <c r="I8" s="122">
        <f>SUM(H9:H$94)</f>
        <v>27119.322456293965</v>
      </c>
      <c r="J8" s="122">
        <f>SUM($H$4:H8)</f>
        <v>4096.2207337874115</v>
      </c>
      <c r="K8" s="122">
        <f t="shared" si="22"/>
        <v>23023.101722506552</v>
      </c>
      <c r="L8" s="122">
        <f t="shared" si="23"/>
        <v>4</v>
      </c>
      <c r="P8" s="7">
        <f t="shared" si="12"/>
        <v>4</v>
      </c>
      <c r="Q8" s="122">
        <f>IF((AE8&lt;='Alternative 2'!$B$12),AF7+1,"x")</f>
        <v>4</v>
      </c>
      <c r="R8" s="74">
        <f>'Alternative 2'!I7</f>
        <v>1.0282222222222224</v>
      </c>
      <c r="S8" s="74">
        <f>'Alternative 2'!J7</f>
        <v>1.0082222222222224</v>
      </c>
      <c r="T8" s="122">
        <f t="shared" si="24"/>
        <v>3.3536470193465417</v>
      </c>
      <c r="U8" s="122">
        <f t="shared" si="25"/>
        <v>3.2250686133521196</v>
      </c>
      <c r="V8" s="122">
        <f t="shared" si="26"/>
        <v>0.12857840599442216</v>
      </c>
      <c r="W8" s="122">
        <f t="shared" si="27"/>
        <v>1009.340487056214</v>
      </c>
      <c r="X8" s="122">
        <f>SUM(W9:W$94)</f>
        <v>27119.322456293965</v>
      </c>
      <c r="Y8" s="122">
        <f>SUM($W$4:W8)</f>
        <v>4096.2207337874115</v>
      </c>
      <c r="Z8" s="122">
        <f t="shared" si="28"/>
        <v>23023.101722506552</v>
      </c>
      <c r="AA8" s="13">
        <f t="shared" si="5"/>
        <v>4</v>
      </c>
      <c r="AE8" s="7">
        <f t="shared" si="15"/>
        <v>4</v>
      </c>
      <c r="AF8" s="122">
        <f>IF((AE8&lt;='Alternative 3'!$B$12),AF7+1,"x")</f>
        <v>4</v>
      </c>
      <c r="AG8" s="74">
        <f>'Alternative 3'!I7</f>
        <v>1.0282222222222224</v>
      </c>
      <c r="AH8" s="74">
        <f>'Alternative 3'!J7</f>
        <v>1.0082222222222224</v>
      </c>
      <c r="AI8" s="122">
        <f t="shared" si="29"/>
        <v>3.3536470193465417</v>
      </c>
      <c r="AJ8" s="122">
        <f t="shared" si="30"/>
        <v>3.2250686133521196</v>
      </c>
      <c r="AK8" s="122">
        <f t="shared" si="31"/>
        <v>0.12857840599442216</v>
      </c>
      <c r="AL8" s="122">
        <f t="shared" si="32"/>
        <v>1009.340487056214</v>
      </c>
      <c r="AM8" s="122">
        <f>SUM(AL9:AL$94)</f>
        <v>27119.322456293965</v>
      </c>
      <c r="AN8" s="122">
        <f>SUM($AL$4:AL8)</f>
        <v>4096.2207337874115</v>
      </c>
      <c r="AO8" s="122">
        <f t="shared" si="33"/>
        <v>23023.101722506552</v>
      </c>
      <c r="AP8" s="13">
        <f t="shared" si="8"/>
        <v>4</v>
      </c>
    </row>
    <row r="9" spans="1:94" x14ac:dyDescent="0.25">
      <c r="A9" s="7">
        <f t="shared" si="9"/>
        <v>5</v>
      </c>
      <c r="B9" s="122">
        <f>IF((A9&lt;='Alternative 1'!$B$12),B8+1,"x")</f>
        <v>5</v>
      </c>
      <c r="C9" s="74">
        <f>'Alternative 1'!I8</f>
        <v>1.0182777777777778</v>
      </c>
      <c r="D9" s="74">
        <f>'Alternative 1'!J8</f>
        <v>0.99827777777777782</v>
      </c>
      <c r="E9" s="122">
        <f t="shared" si="18"/>
        <v>3.2894008290191192</v>
      </c>
      <c r="F9" s="122">
        <f t="shared" si="19"/>
        <v>3.1620720787691248</v>
      </c>
      <c r="G9" s="122">
        <f t="shared" si="20"/>
        <v>0.12732875024999446</v>
      </c>
      <c r="H9" s="122">
        <f t="shared" si="21"/>
        <v>999.53068946245651</v>
      </c>
      <c r="I9" s="122">
        <f>SUM(H10:H$94)</f>
        <v>26119.791766831509</v>
      </c>
      <c r="J9" s="122">
        <f>SUM($H$4:H9)</f>
        <v>5095.7514232498679</v>
      </c>
      <c r="K9" s="122">
        <f t="shared" si="22"/>
        <v>21024.040343581641</v>
      </c>
      <c r="L9" s="122">
        <f t="shared" si="23"/>
        <v>5</v>
      </c>
      <c r="P9" s="7">
        <f t="shared" si="12"/>
        <v>5</v>
      </c>
      <c r="Q9" s="122">
        <f>IF((AE9&lt;='Alternative 2'!$B$12),AF8+1,"x")</f>
        <v>5</v>
      </c>
      <c r="R9" s="74">
        <f>'Alternative 2'!I8</f>
        <v>1.0182777777777778</v>
      </c>
      <c r="S9" s="74">
        <f>'Alternative 2'!J8</f>
        <v>0.99827777777777782</v>
      </c>
      <c r="T9" s="122">
        <f t="shared" si="24"/>
        <v>3.2894008290191192</v>
      </c>
      <c r="U9" s="122">
        <f t="shared" si="25"/>
        <v>3.1620720787691248</v>
      </c>
      <c r="V9" s="122">
        <f t="shared" si="26"/>
        <v>0.12732875024999446</v>
      </c>
      <c r="W9" s="122">
        <f t="shared" si="27"/>
        <v>999.53068946245651</v>
      </c>
      <c r="X9" s="122">
        <f>SUM(W10:W$94)</f>
        <v>26119.791766831509</v>
      </c>
      <c r="Y9" s="122">
        <f>SUM($W$4:W9)</f>
        <v>5095.7514232498679</v>
      </c>
      <c r="Z9" s="122">
        <f t="shared" si="28"/>
        <v>21024.040343581641</v>
      </c>
      <c r="AA9" s="13">
        <f t="shared" si="5"/>
        <v>5</v>
      </c>
      <c r="AE9" s="7">
        <f t="shared" si="15"/>
        <v>5</v>
      </c>
      <c r="AF9" s="122">
        <f>IF((AE9&lt;='Alternative 3'!$B$12),AF8+1,"x")</f>
        <v>5</v>
      </c>
      <c r="AG9" s="74">
        <f>'Alternative 3'!I8</f>
        <v>1.0182777777777778</v>
      </c>
      <c r="AH9" s="74">
        <f>'Alternative 3'!J8</f>
        <v>0.99827777777777782</v>
      </c>
      <c r="AI9" s="122">
        <f t="shared" si="29"/>
        <v>3.2894008290191192</v>
      </c>
      <c r="AJ9" s="122">
        <f t="shared" si="30"/>
        <v>3.1620720787691248</v>
      </c>
      <c r="AK9" s="122">
        <f t="shared" si="31"/>
        <v>0.12732875024999446</v>
      </c>
      <c r="AL9" s="122">
        <f t="shared" si="32"/>
        <v>999.53068946245651</v>
      </c>
      <c r="AM9" s="122">
        <f>SUM(AL10:AL$94)</f>
        <v>26119.791766831509</v>
      </c>
      <c r="AN9" s="122">
        <f>SUM($AL$4:AL9)</f>
        <v>5095.7514232498679</v>
      </c>
      <c r="AO9" s="122">
        <f t="shared" si="33"/>
        <v>21024.040343581641</v>
      </c>
      <c r="AP9" s="13">
        <f t="shared" si="8"/>
        <v>5</v>
      </c>
    </row>
    <row r="10" spans="1:94" x14ac:dyDescent="0.25">
      <c r="A10" s="7">
        <f t="shared" si="9"/>
        <v>6</v>
      </c>
      <c r="B10" s="122">
        <f>IF((A10&lt;='Alternative 1'!$B$12),B9+1,"x")</f>
        <v>6</v>
      </c>
      <c r="C10" s="74">
        <f>'Alternative 1'!I9</f>
        <v>1.0083333333333333</v>
      </c>
      <c r="D10" s="74">
        <f>'Alternative 1'!J9</f>
        <v>0.98833333333333329</v>
      </c>
      <c r="E10" s="122">
        <f t="shared" si="18"/>
        <v>3.225775995297953</v>
      </c>
      <c r="F10" s="122">
        <f t="shared" si="19"/>
        <v>3.0996969007923862</v>
      </c>
      <c r="G10" s="122">
        <f t="shared" si="20"/>
        <v>0.12607909450556676</v>
      </c>
      <c r="H10" s="122">
        <f t="shared" si="21"/>
        <v>989.72089186869903</v>
      </c>
      <c r="I10" s="122">
        <f>SUM(H11:H$94)</f>
        <v>25130.07087496281</v>
      </c>
      <c r="J10" s="122">
        <f>SUM($H$4:H10)</f>
        <v>6085.4723151185672</v>
      </c>
      <c r="K10" s="122">
        <f t="shared" si="22"/>
        <v>19044.598559844242</v>
      </c>
      <c r="L10" s="122">
        <f t="shared" si="23"/>
        <v>6</v>
      </c>
      <c r="P10" s="7">
        <f t="shared" si="12"/>
        <v>6</v>
      </c>
      <c r="Q10" s="122">
        <f>IF((AE10&lt;='Alternative 2'!$B$12),AF9+1,"x")</f>
        <v>6</v>
      </c>
      <c r="R10" s="74">
        <f>'Alternative 2'!I9</f>
        <v>1.0083333333333333</v>
      </c>
      <c r="S10" s="74">
        <f>'Alternative 2'!J9</f>
        <v>0.98833333333333329</v>
      </c>
      <c r="T10" s="122">
        <f t="shared" si="24"/>
        <v>3.225775995297953</v>
      </c>
      <c r="U10" s="122">
        <f t="shared" si="25"/>
        <v>3.0996969007923862</v>
      </c>
      <c r="V10" s="122">
        <f t="shared" si="26"/>
        <v>0.12607909450556676</v>
      </c>
      <c r="W10" s="122">
        <f t="shared" si="27"/>
        <v>989.72089186869903</v>
      </c>
      <c r="X10" s="122">
        <f>SUM(W11:W$94)</f>
        <v>25130.07087496281</v>
      </c>
      <c r="Y10" s="122">
        <f>SUM($W$4:W10)</f>
        <v>6085.4723151185672</v>
      </c>
      <c r="Z10" s="122">
        <f t="shared" si="28"/>
        <v>19044.598559844242</v>
      </c>
      <c r="AA10" s="13">
        <f t="shared" si="5"/>
        <v>6</v>
      </c>
      <c r="AE10" s="7">
        <f t="shared" si="15"/>
        <v>6</v>
      </c>
      <c r="AF10" s="122">
        <f>IF((AE10&lt;='Alternative 3'!$B$12),AF9+1,"x")</f>
        <v>6</v>
      </c>
      <c r="AG10" s="74">
        <f>'Alternative 3'!I9</f>
        <v>1.0083333333333333</v>
      </c>
      <c r="AH10" s="74">
        <f>'Alternative 3'!J9</f>
        <v>0.98833333333333329</v>
      </c>
      <c r="AI10" s="122">
        <f t="shared" si="29"/>
        <v>3.225775995297953</v>
      </c>
      <c r="AJ10" s="122">
        <f t="shared" si="30"/>
        <v>3.0996969007923862</v>
      </c>
      <c r="AK10" s="122">
        <f t="shared" si="31"/>
        <v>0.12607909450556676</v>
      </c>
      <c r="AL10" s="122">
        <f t="shared" si="32"/>
        <v>989.72089186869903</v>
      </c>
      <c r="AM10" s="122">
        <f>SUM(AL11:AL$94)</f>
        <v>25130.07087496281</v>
      </c>
      <c r="AN10" s="122">
        <f>SUM($AL$4:AL10)</f>
        <v>6085.4723151185672</v>
      </c>
      <c r="AO10" s="122">
        <f t="shared" si="33"/>
        <v>19044.598559844242</v>
      </c>
      <c r="AP10" s="13">
        <f t="shared" si="8"/>
        <v>6</v>
      </c>
    </row>
    <row r="11" spans="1:94" x14ac:dyDescent="0.25">
      <c r="A11" s="7">
        <f t="shared" si="9"/>
        <v>7</v>
      </c>
      <c r="B11" s="122">
        <f>IF((A11&lt;='Alternative 1'!$B$12),B10+1,"x")</f>
        <v>7</v>
      </c>
      <c r="C11" s="74">
        <f>'Alternative 1'!I10</f>
        <v>0.99838888888888899</v>
      </c>
      <c r="D11" s="74">
        <f>'Alternative 1'!J10</f>
        <v>0.97838888888888897</v>
      </c>
      <c r="E11" s="122">
        <f t="shared" si="18"/>
        <v>3.1627725181830439</v>
      </c>
      <c r="F11" s="122">
        <f t="shared" si="19"/>
        <v>3.0379430794219058</v>
      </c>
      <c r="G11" s="122">
        <f t="shared" si="20"/>
        <v>0.12482943876113817</v>
      </c>
      <c r="H11" s="122">
        <f t="shared" si="21"/>
        <v>979.91109427493461</v>
      </c>
      <c r="I11" s="122">
        <f>SUM(H12:H$94)</f>
        <v>24150.159780687878</v>
      </c>
      <c r="J11" s="122">
        <f>SUM($H$4:H11)</f>
        <v>7065.383409393502</v>
      </c>
      <c r="K11" s="122">
        <f t="shared" si="22"/>
        <v>17084.776371294378</v>
      </c>
      <c r="L11" s="122">
        <f t="shared" si="23"/>
        <v>7</v>
      </c>
      <c r="P11" s="7">
        <f t="shared" si="12"/>
        <v>7</v>
      </c>
      <c r="Q11" s="122">
        <f>IF((AE11&lt;='Alternative 2'!$B$12),AF10+1,"x")</f>
        <v>7</v>
      </c>
      <c r="R11" s="74">
        <f>'Alternative 2'!I10</f>
        <v>0.99838888888888899</v>
      </c>
      <c r="S11" s="74">
        <f>'Alternative 2'!J10</f>
        <v>0.97838888888888897</v>
      </c>
      <c r="T11" s="122">
        <f t="shared" si="24"/>
        <v>3.1627725181830439</v>
      </c>
      <c r="U11" s="122">
        <f t="shared" si="25"/>
        <v>3.0379430794219058</v>
      </c>
      <c r="V11" s="122">
        <f t="shared" si="26"/>
        <v>0.12482943876113817</v>
      </c>
      <c r="W11" s="122">
        <f t="shared" si="27"/>
        <v>979.91109427493461</v>
      </c>
      <c r="X11" s="122">
        <f>SUM(W12:W$94)</f>
        <v>24150.159780687878</v>
      </c>
      <c r="Y11" s="122">
        <f>SUM($W$4:W11)</f>
        <v>7065.383409393502</v>
      </c>
      <c r="Z11" s="122">
        <f t="shared" si="28"/>
        <v>17084.776371294378</v>
      </c>
      <c r="AA11" s="13">
        <f t="shared" si="5"/>
        <v>7</v>
      </c>
      <c r="AE11" s="7">
        <f t="shared" si="15"/>
        <v>7</v>
      </c>
      <c r="AF11" s="122">
        <f>IF((AE11&lt;='Alternative 3'!$B$12),AF10+1,"x")</f>
        <v>7</v>
      </c>
      <c r="AG11" s="74">
        <f>'Alternative 3'!I10</f>
        <v>0.99838888888888899</v>
      </c>
      <c r="AH11" s="74">
        <f>'Alternative 3'!J10</f>
        <v>0.97838888888888897</v>
      </c>
      <c r="AI11" s="122">
        <f t="shared" si="29"/>
        <v>3.1627725181830439</v>
      </c>
      <c r="AJ11" s="122">
        <f t="shared" si="30"/>
        <v>3.0379430794219058</v>
      </c>
      <c r="AK11" s="122">
        <f t="shared" si="31"/>
        <v>0.12482943876113817</v>
      </c>
      <c r="AL11" s="122">
        <f t="shared" si="32"/>
        <v>979.91109427493461</v>
      </c>
      <c r="AM11" s="122">
        <f>SUM(AL12:AL$94)</f>
        <v>24150.159780687878</v>
      </c>
      <c r="AN11" s="122">
        <f>SUM($AL$4:AL11)</f>
        <v>7065.383409393502</v>
      </c>
      <c r="AO11" s="122">
        <f t="shared" si="33"/>
        <v>17084.776371294378</v>
      </c>
      <c r="AP11" s="13">
        <f t="shared" si="8"/>
        <v>7</v>
      </c>
    </row>
    <row r="12" spans="1:94" x14ac:dyDescent="0.25">
      <c r="A12" s="7">
        <f t="shared" si="9"/>
        <v>8</v>
      </c>
      <c r="B12" s="122">
        <f>IF((A12&lt;='Alternative 1'!$B$12),B11+1,"x")</f>
        <v>8</v>
      </c>
      <c r="C12" s="74">
        <f>'Alternative 1'!I11</f>
        <v>0.98844444444444446</v>
      </c>
      <c r="D12" s="74">
        <f>'Alternative 1'!J11</f>
        <v>0.96844444444444444</v>
      </c>
      <c r="E12" s="122">
        <f t="shared" si="18"/>
        <v>3.100390397674393</v>
      </c>
      <c r="F12" s="122">
        <f t="shared" si="19"/>
        <v>2.9768106146576825</v>
      </c>
      <c r="G12" s="122">
        <f t="shared" si="20"/>
        <v>0.12357978301671046</v>
      </c>
      <c r="H12" s="122">
        <f t="shared" si="21"/>
        <v>970.10129668117713</v>
      </c>
      <c r="I12" s="122">
        <f>SUM(H13:H$94)</f>
        <v>23180.058484006699</v>
      </c>
      <c r="J12" s="122">
        <f>SUM($H$4:H12)</f>
        <v>8035.4847060746788</v>
      </c>
      <c r="K12" s="122">
        <f t="shared" si="22"/>
        <v>15144.573777932019</v>
      </c>
      <c r="L12" s="122">
        <f t="shared" si="23"/>
        <v>8</v>
      </c>
      <c r="P12" s="7">
        <f t="shared" si="12"/>
        <v>8</v>
      </c>
      <c r="Q12" s="122">
        <f>IF((AE12&lt;='Alternative 2'!$B$12),AF11+1,"x")</f>
        <v>8</v>
      </c>
      <c r="R12" s="74">
        <f>'Alternative 2'!I11</f>
        <v>0.98844444444444446</v>
      </c>
      <c r="S12" s="74">
        <f>'Alternative 2'!J11</f>
        <v>0.96844444444444444</v>
      </c>
      <c r="T12" s="122">
        <f t="shared" si="24"/>
        <v>3.100390397674393</v>
      </c>
      <c r="U12" s="122">
        <f t="shared" si="25"/>
        <v>2.9768106146576825</v>
      </c>
      <c r="V12" s="122">
        <f t="shared" si="26"/>
        <v>0.12357978301671046</v>
      </c>
      <c r="W12" s="122">
        <f t="shared" si="27"/>
        <v>970.10129668117713</v>
      </c>
      <c r="X12" s="122">
        <f>SUM(W13:W$94)</f>
        <v>23180.058484006699</v>
      </c>
      <c r="Y12" s="122">
        <f>SUM($W$4:W12)</f>
        <v>8035.4847060746788</v>
      </c>
      <c r="Z12" s="122">
        <f t="shared" si="28"/>
        <v>15144.573777932019</v>
      </c>
      <c r="AA12" s="13">
        <f t="shared" si="5"/>
        <v>8</v>
      </c>
      <c r="AE12" s="7">
        <f t="shared" si="15"/>
        <v>8</v>
      </c>
      <c r="AF12" s="122">
        <f>IF((AE12&lt;='Alternative 3'!$B$12),AF11+1,"x")</f>
        <v>8</v>
      </c>
      <c r="AG12" s="74">
        <f>'Alternative 3'!I11</f>
        <v>0.98844444444444446</v>
      </c>
      <c r="AH12" s="74">
        <f>'Alternative 3'!J11</f>
        <v>0.96844444444444444</v>
      </c>
      <c r="AI12" s="122">
        <f t="shared" si="29"/>
        <v>3.100390397674393</v>
      </c>
      <c r="AJ12" s="122">
        <f t="shared" si="30"/>
        <v>2.9768106146576825</v>
      </c>
      <c r="AK12" s="122">
        <f t="shared" si="31"/>
        <v>0.12357978301671046</v>
      </c>
      <c r="AL12" s="122">
        <f t="shared" si="32"/>
        <v>970.10129668117713</v>
      </c>
      <c r="AM12" s="122">
        <f>SUM(AL13:AL$94)</f>
        <v>23180.058484006699</v>
      </c>
      <c r="AN12" s="122">
        <f>SUM($AL$4:AL12)</f>
        <v>8035.4847060746788</v>
      </c>
      <c r="AO12" s="122">
        <f t="shared" si="33"/>
        <v>15144.573777932019</v>
      </c>
      <c r="AP12" s="13">
        <f t="shared" si="8"/>
        <v>8</v>
      </c>
    </row>
    <row r="13" spans="1:94" x14ac:dyDescent="0.25">
      <c r="A13" s="7">
        <f t="shared" si="9"/>
        <v>9</v>
      </c>
      <c r="B13" s="122">
        <f>IF((A13&lt;='Alternative 1'!$B$12),B12+1,"x")</f>
        <v>9</v>
      </c>
      <c r="C13" s="74">
        <f>'Alternative 1'!I12</f>
        <v>0.97850000000000004</v>
      </c>
      <c r="D13" s="74">
        <f>'Alternative 1'!J12</f>
        <v>0.95850000000000002</v>
      </c>
      <c r="E13" s="122">
        <f t="shared" si="18"/>
        <v>3.0386296337719987</v>
      </c>
      <c r="F13" s="122">
        <f t="shared" si="19"/>
        <v>2.9162995064997159</v>
      </c>
      <c r="G13" s="122">
        <f t="shared" si="20"/>
        <v>0.12233012727228276</v>
      </c>
      <c r="H13" s="122">
        <f t="shared" si="21"/>
        <v>960.29149908741965</v>
      </c>
      <c r="I13" s="122">
        <f>SUM(H14:H$94)</f>
        <v>22219.766984919279</v>
      </c>
      <c r="J13" s="122">
        <f>SUM($H$4:H13)</f>
        <v>8995.7762051620994</v>
      </c>
      <c r="K13" s="122">
        <f t="shared" si="22"/>
        <v>13223.99077975718</v>
      </c>
      <c r="L13" s="122">
        <f t="shared" si="23"/>
        <v>9</v>
      </c>
      <c r="P13" s="7">
        <f t="shared" si="12"/>
        <v>9</v>
      </c>
      <c r="Q13" s="122">
        <f>IF((AE13&lt;='Alternative 2'!$B$12),AF12+1,"x")</f>
        <v>9</v>
      </c>
      <c r="R13" s="74">
        <f>'Alternative 2'!I12</f>
        <v>0.97850000000000004</v>
      </c>
      <c r="S13" s="74">
        <f>'Alternative 2'!J12</f>
        <v>0.95850000000000002</v>
      </c>
      <c r="T13" s="122">
        <f t="shared" si="24"/>
        <v>3.0386296337719987</v>
      </c>
      <c r="U13" s="122">
        <f t="shared" si="25"/>
        <v>2.9162995064997159</v>
      </c>
      <c r="V13" s="122">
        <f t="shared" si="26"/>
        <v>0.12233012727228276</v>
      </c>
      <c r="W13" s="122">
        <f t="shared" si="27"/>
        <v>960.29149908741965</v>
      </c>
      <c r="X13" s="122">
        <f>SUM(W14:W$94)</f>
        <v>22219.766984919279</v>
      </c>
      <c r="Y13" s="122">
        <f>SUM($W$4:W13)</f>
        <v>8995.7762051620994</v>
      </c>
      <c r="Z13" s="122">
        <f t="shared" si="28"/>
        <v>13223.99077975718</v>
      </c>
      <c r="AA13" s="13">
        <f t="shared" si="5"/>
        <v>9</v>
      </c>
      <c r="AE13" s="7">
        <f t="shared" si="15"/>
        <v>9</v>
      </c>
      <c r="AF13" s="122">
        <f>IF((AE13&lt;='Alternative 3'!$B$12),AF12+1,"x")</f>
        <v>9</v>
      </c>
      <c r="AG13" s="74">
        <f>'Alternative 3'!I12</f>
        <v>0.97850000000000004</v>
      </c>
      <c r="AH13" s="74">
        <f>'Alternative 3'!J12</f>
        <v>0.95850000000000002</v>
      </c>
      <c r="AI13" s="122">
        <f t="shared" si="29"/>
        <v>3.0386296337719987</v>
      </c>
      <c r="AJ13" s="122">
        <f t="shared" si="30"/>
        <v>2.9162995064997159</v>
      </c>
      <c r="AK13" s="122">
        <f t="shared" si="31"/>
        <v>0.12233012727228276</v>
      </c>
      <c r="AL13" s="122">
        <f t="shared" si="32"/>
        <v>960.29149908741965</v>
      </c>
      <c r="AM13" s="122">
        <f>SUM(AL14:AL$94)</f>
        <v>22219.766984919279</v>
      </c>
      <c r="AN13" s="122">
        <f>SUM($AL$4:AL13)</f>
        <v>8995.7762051620994</v>
      </c>
      <c r="AO13" s="122">
        <f t="shared" si="33"/>
        <v>13223.99077975718</v>
      </c>
      <c r="AP13" s="13">
        <f t="shared" si="8"/>
        <v>9</v>
      </c>
    </row>
    <row r="14" spans="1:94" x14ac:dyDescent="0.25">
      <c r="A14" s="7">
        <f t="shared" si="9"/>
        <v>10</v>
      </c>
      <c r="B14" s="122">
        <f>IF((A14&lt;='Alternative 1'!$B$12),B13+1,"x")</f>
        <v>10</v>
      </c>
      <c r="C14" s="74">
        <f>'Alternative 1'!I13</f>
        <v>0.96855555555555561</v>
      </c>
      <c r="D14" s="74">
        <f>'Alternative 1'!J13</f>
        <v>0.9485555555555556</v>
      </c>
      <c r="E14" s="122">
        <f t="shared" si="18"/>
        <v>2.9774902264758616</v>
      </c>
      <c r="F14" s="122">
        <f t="shared" si="19"/>
        <v>2.8564097549480074</v>
      </c>
      <c r="G14" s="122">
        <f t="shared" si="20"/>
        <v>0.12108047152785417</v>
      </c>
      <c r="H14" s="122">
        <f t="shared" si="21"/>
        <v>950.48170149365524</v>
      </c>
      <c r="I14" s="122">
        <f>SUM(H15:H$94)</f>
        <v>21269.285283425626</v>
      </c>
      <c r="J14" s="122">
        <f>SUM($H$4:H14)</f>
        <v>9946.2579066557555</v>
      </c>
      <c r="K14" s="122">
        <f t="shared" si="22"/>
        <v>11323.027376769871</v>
      </c>
      <c r="L14" s="122">
        <f t="shared" si="23"/>
        <v>10</v>
      </c>
      <c r="P14" s="7">
        <f t="shared" si="12"/>
        <v>10</v>
      </c>
      <c r="Q14" s="122">
        <f>IF((AE14&lt;='Alternative 2'!$B$12),AF13+1,"x")</f>
        <v>10</v>
      </c>
      <c r="R14" s="74">
        <f>'Alternative 2'!I13</f>
        <v>0.96855555555555561</v>
      </c>
      <c r="S14" s="74">
        <f>'Alternative 2'!J13</f>
        <v>0.9485555555555556</v>
      </c>
      <c r="T14" s="122">
        <f t="shared" si="24"/>
        <v>2.9774902264758616</v>
      </c>
      <c r="U14" s="122">
        <f t="shared" si="25"/>
        <v>2.8564097549480074</v>
      </c>
      <c r="V14" s="122">
        <f t="shared" si="26"/>
        <v>0.12108047152785417</v>
      </c>
      <c r="W14" s="122">
        <f t="shared" si="27"/>
        <v>950.48170149365524</v>
      </c>
      <c r="X14" s="122">
        <f>SUM(W15:W$94)</f>
        <v>21269.285283425626</v>
      </c>
      <c r="Y14" s="122">
        <f>SUM($W$4:W14)</f>
        <v>9946.2579066557555</v>
      </c>
      <c r="Z14" s="122">
        <f t="shared" si="28"/>
        <v>11323.027376769871</v>
      </c>
      <c r="AA14" s="13">
        <f t="shared" si="5"/>
        <v>10</v>
      </c>
      <c r="AE14" s="7">
        <f t="shared" si="15"/>
        <v>10</v>
      </c>
      <c r="AF14" s="122">
        <f>IF((AE14&lt;='Alternative 3'!$B$12),AF13+1,"x")</f>
        <v>10</v>
      </c>
      <c r="AG14" s="74">
        <f>'Alternative 3'!I13</f>
        <v>0.96855555555555561</v>
      </c>
      <c r="AH14" s="74">
        <f>'Alternative 3'!J13</f>
        <v>0.9485555555555556</v>
      </c>
      <c r="AI14" s="122">
        <f t="shared" si="29"/>
        <v>2.9774902264758616</v>
      </c>
      <c r="AJ14" s="122">
        <f t="shared" si="30"/>
        <v>2.8564097549480074</v>
      </c>
      <c r="AK14" s="122">
        <f t="shared" si="31"/>
        <v>0.12108047152785417</v>
      </c>
      <c r="AL14" s="122">
        <f t="shared" si="32"/>
        <v>950.48170149365524</v>
      </c>
      <c r="AM14" s="122">
        <f>SUM(AL15:AL$94)</f>
        <v>21269.285283425626</v>
      </c>
      <c r="AN14" s="122">
        <f>SUM($AL$4:AL14)</f>
        <v>9946.2579066557555</v>
      </c>
      <c r="AO14" s="122">
        <f t="shared" si="33"/>
        <v>11323.027376769871</v>
      </c>
      <c r="AP14" s="13">
        <f t="shared" si="8"/>
        <v>10</v>
      </c>
    </row>
    <row r="15" spans="1:94" x14ac:dyDescent="0.25">
      <c r="A15" s="7">
        <f t="shared" si="9"/>
        <v>11</v>
      </c>
      <c r="B15" s="122">
        <f>IF((A15&lt;='Alternative 1'!$B$12),B14+1,"x")</f>
        <v>11</v>
      </c>
      <c r="C15" s="74">
        <f>'Alternative 1'!I14</f>
        <v>0.95861111111111119</v>
      </c>
      <c r="D15" s="74">
        <f>'Alternative 1'!J14</f>
        <v>0.93861111111111117</v>
      </c>
      <c r="E15" s="122">
        <f t="shared" si="18"/>
        <v>2.9169721757859826</v>
      </c>
      <c r="F15" s="122">
        <f t="shared" si="19"/>
        <v>2.7971413600025556</v>
      </c>
      <c r="G15" s="122">
        <f t="shared" si="20"/>
        <v>0.11983081578342691</v>
      </c>
      <c r="H15" s="122">
        <f t="shared" si="21"/>
        <v>940.67190389990128</v>
      </c>
      <c r="I15" s="122">
        <f>SUM(H16:H$94)</f>
        <v>20328.613379525723</v>
      </c>
      <c r="J15" s="122">
        <f>SUM($H$4:H15)</f>
        <v>10886.929810555657</v>
      </c>
      <c r="K15" s="122">
        <f t="shared" si="22"/>
        <v>9441.6835689700656</v>
      </c>
      <c r="L15" s="122">
        <f t="shared" si="23"/>
        <v>11</v>
      </c>
      <c r="P15" s="7">
        <f t="shared" si="12"/>
        <v>11</v>
      </c>
      <c r="Q15" s="122">
        <f>IF((AE15&lt;='Alternative 2'!$B$12),AF14+1,"x")</f>
        <v>11</v>
      </c>
      <c r="R15" s="74">
        <f>'Alternative 2'!I14</f>
        <v>0.95861111111111119</v>
      </c>
      <c r="S15" s="74">
        <f>'Alternative 2'!J14</f>
        <v>0.93861111111111117</v>
      </c>
      <c r="T15" s="122">
        <f t="shared" si="24"/>
        <v>2.9169721757859826</v>
      </c>
      <c r="U15" s="122">
        <f t="shared" si="25"/>
        <v>2.7971413600025556</v>
      </c>
      <c r="V15" s="122">
        <f t="shared" si="26"/>
        <v>0.11983081578342691</v>
      </c>
      <c r="W15" s="122">
        <f t="shared" si="27"/>
        <v>940.67190389990128</v>
      </c>
      <c r="X15" s="122">
        <f>SUM(W16:W$94)</f>
        <v>20328.613379525723</v>
      </c>
      <c r="Y15" s="122">
        <f>SUM($W$4:W15)</f>
        <v>10886.929810555657</v>
      </c>
      <c r="Z15" s="122">
        <f t="shared" si="28"/>
        <v>9441.6835689700656</v>
      </c>
      <c r="AA15" s="13">
        <f t="shared" si="5"/>
        <v>11</v>
      </c>
      <c r="AE15" s="7">
        <f t="shared" si="15"/>
        <v>11</v>
      </c>
      <c r="AF15" s="122">
        <f>IF((AE15&lt;='Alternative 3'!$B$12),AF14+1,"x")</f>
        <v>11</v>
      </c>
      <c r="AG15" s="74">
        <f>'Alternative 3'!I14</f>
        <v>0.95861111111111119</v>
      </c>
      <c r="AH15" s="74">
        <f>'Alternative 3'!J14</f>
        <v>0.93861111111111117</v>
      </c>
      <c r="AI15" s="122">
        <f t="shared" si="29"/>
        <v>2.9169721757859826</v>
      </c>
      <c r="AJ15" s="122">
        <f t="shared" si="30"/>
        <v>2.7971413600025556</v>
      </c>
      <c r="AK15" s="122">
        <f t="shared" si="31"/>
        <v>0.11983081578342691</v>
      </c>
      <c r="AL15" s="122">
        <f t="shared" si="32"/>
        <v>940.67190389990128</v>
      </c>
      <c r="AM15" s="122">
        <f>SUM(AL16:AL$94)</f>
        <v>20328.613379525723</v>
      </c>
      <c r="AN15" s="122">
        <f>SUM($AL$4:AL15)</f>
        <v>10886.929810555657</v>
      </c>
      <c r="AO15" s="122">
        <f t="shared" si="33"/>
        <v>9441.6835689700656</v>
      </c>
      <c r="AP15" s="13">
        <f t="shared" si="8"/>
        <v>11</v>
      </c>
    </row>
    <row r="16" spans="1:94" x14ac:dyDescent="0.25">
      <c r="A16" s="7">
        <f t="shared" si="9"/>
        <v>12</v>
      </c>
      <c r="B16" s="122">
        <f>IF((A16&lt;='Alternative 1'!$B$12),B15+1,"x")</f>
        <v>12</v>
      </c>
      <c r="C16" s="74">
        <f>'Alternative 1'!I15</f>
        <v>0.94866666666666666</v>
      </c>
      <c r="D16" s="74">
        <f>'Alternative 1'!J15</f>
        <v>0.92866666666666664</v>
      </c>
      <c r="E16" s="122">
        <f t="shared" si="18"/>
        <v>2.8570754817023589</v>
      </c>
      <c r="F16" s="122">
        <f t="shared" si="19"/>
        <v>2.7384943216633606</v>
      </c>
      <c r="G16" s="122">
        <f t="shared" si="20"/>
        <v>0.11858116003899832</v>
      </c>
      <c r="H16" s="122">
        <f t="shared" si="21"/>
        <v>930.86210630613687</v>
      </c>
      <c r="I16" s="122">
        <f>SUM(H17:H$94)</f>
        <v>19397.751273219586</v>
      </c>
      <c r="J16" s="122">
        <f>SUM($H$4:H16)</f>
        <v>11817.791916861794</v>
      </c>
      <c r="K16" s="122">
        <f t="shared" si="22"/>
        <v>7579.9593563577928</v>
      </c>
      <c r="L16" s="122">
        <f t="shared" si="23"/>
        <v>12</v>
      </c>
      <c r="P16" s="7">
        <f t="shared" si="12"/>
        <v>12</v>
      </c>
      <c r="Q16" s="122">
        <f>IF((AE16&lt;='Alternative 2'!$B$12),AF15+1,"x")</f>
        <v>12</v>
      </c>
      <c r="R16" s="74">
        <f>'Alternative 2'!I15</f>
        <v>0.94866666666666666</v>
      </c>
      <c r="S16" s="74">
        <f>'Alternative 2'!J15</f>
        <v>0.92866666666666664</v>
      </c>
      <c r="T16" s="122">
        <f t="shared" si="24"/>
        <v>2.8570754817023589</v>
      </c>
      <c r="U16" s="122">
        <f t="shared" si="25"/>
        <v>2.7384943216633606</v>
      </c>
      <c r="V16" s="122">
        <f t="shared" si="26"/>
        <v>0.11858116003899832</v>
      </c>
      <c r="W16" s="122">
        <f t="shared" si="27"/>
        <v>930.86210630613687</v>
      </c>
      <c r="X16" s="122">
        <f>SUM(W17:W$94)</f>
        <v>19397.751273219586</v>
      </c>
      <c r="Y16" s="122">
        <f>SUM($W$4:W16)</f>
        <v>11817.791916861794</v>
      </c>
      <c r="Z16" s="122">
        <f t="shared" si="28"/>
        <v>7579.9593563577928</v>
      </c>
      <c r="AA16" s="13">
        <f t="shared" si="5"/>
        <v>12</v>
      </c>
      <c r="AE16" s="7">
        <f t="shared" si="15"/>
        <v>12</v>
      </c>
      <c r="AF16" s="122">
        <f>IF((AE16&lt;='Alternative 3'!$B$12),AF15+1,"x")</f>
        <v>12</v>
      </c>
      <c r="AG16" s="74">
        <f>'Alternative 3'!I15</f>
        <v>0.94866666666666666</v>
      </c>
      <c r="AH16" s="74">
        <f>'Alternative 3'!J15</f>
        <v>0.92866666666666664</v>
      </c>
      <c r="AI16" s="122">
        <f t="shared" si="29"/>
        <v>2.8570754817023589</v>
      </c>
      <c r="AJ16" s="122">
        <f t="shared" si="30"/>
        <v>2.7384943216633606</v>
      </c>
      <c r="AK16" s="122">
        <f t="shared" si="31"/>
        <v>0.11858116003899832</v>
      </c>
      <c r="AL16" s="122">
        <f t="shared" si="32"/>
        <v>930.86210630613687</v>
      </c>
      <c r="AM16" s="122">
        <f>SUM(AL17:AL$94)</f>
        <v>19397.751273219586</v>
      </c>
      <c r="AN16" s="122">
        <f>SUM($AL$4:AL16)</f>
        <v>11817.791916861794</v>
      </c>
      <c r="AO16" s="122">
        <f t="shared" si="33"/>
        <v>7579.9593563577928</v>
      </c>
      <c r="AP16" s="13">
        <f t="shared" si="8"/>
        <v>12</v>
      </c>
    </row>
    <row r="17" spans="1:42" x14ac:dyDescent="0.25">
      <c r="A17" s="7">
        <f t="shared" si="9"/>
        <v>13</v>
      </c>
      <c r="B17" s="122">
        <f>IF((A17&lt;='Alternative 1'!$B$12),B16+1,"x")</f>
        <v>13</v>
      </c>
      <c r="C17" s="74">
        <f>'Alternative 1'!I16</f>
        <v>0.93872222222222224</v>
      </c>
      <c r="D17" s="74">
        <f>'Alternative 1'!J16</f>
        <v>0.91872222222222222</v>
      </c>
      <c r="E17" s="122">
        <f t="shared" si="18"/>
        <v>2.7978001442249938</v>
      </c>
      <c r="F17" s="122">
        <f t="shared" si="19"/>
        <v>2.6804686399304227</v>
      </c>
      <c r="G17" s="122">
        <f t="shared" si="20"/>
        <v>0.11733150429457107</v>
      </c>
      <c r="H17" s="122">
        <f t="shared" si="21"/>
        <v>921.05230871238291</v>
      </c>
      <c r="I17" s="122">
        <f>SUM(H18:H$94)</f>
        <v>18476.698964507206</v>
      </c>
      <c r="J17" s="122">
        <f>SUM($H$4:H17)</f>
        <v>12738.844225574176</v>
      </c>
      <c r="K17" s="122">
        <f t="shared" si="22"/>
        <v>5737.8547389330306</v>
      </c>
      <c r="L17" s="122">
        <f t="shared" si="23"/>
        <v>13</v>
      </c>
      <c r="P17" s="7">
        <f t="shared" si="12"/>
        <v>13</v>
      </c>
      <c r="Q17" s="122">
        <f>IF((AE17&lt;='Alternative 2'!$B$12),AF16+1,"x")</f>
        <v>13</v>
      </c>
      <c r="R17" s="74">
        <f>'Alternative 2'!I16</f>
        <v>0.93872222222222224</v>
      </c>
      <c r="S17" s="74">
        <f>'Alternative 2'!J16</f>
        <v>0.91872222222222222</v>
      </c>
      <c r="T17" s="122">
        <f t="shared" si="24"/>
        <v>2.7978001442249938</v>
      </c>
      <c r="U17" s="122">
        <f t="shared" si="25"/>
        <v>2.6804686399304227</v>
      </c>
      <c r="V17" s="122">
        <f t="shared" si="26"/>
        <v>0.11733150429457107</v>
      </c>
      <c r="W17" s="122">
        <f t="shared" si="27"/>
        <v>921.05230871238291</v>
      </c>
      <c r="X17" s="122">
        <f>SUM(W18:W$94)</f>
        <v>18476.698964507206</v>
      </c>
      <c r="Y17" s="122">
        <f>SUM($W$4:W17)</f>
        <v>12738.844225574176</v>
      </c>
      <c r="Z17" s="122">
        <f t="shared" si="28"/>
        <v>5737.8547389330306</v>
      </c>
      <c r="AA17" s="13">
        <f t="shared" si="5"/>
        <v>13</v>
      </c>
      <c r="AE17" s="7">
        <f t="shared" si="15"/>
        <v>13</v>
      </c>
      <c r="AF17" s="122">
        <f>IF((AE17&lt;='Alternative 3'!$B$12),AF16+1,"x")</f>
        <v>13</v>
      </c>
      <c r="AG17" s="74">
        <f>'Alternative 3'!I16</f>
        <v>0.93872222222222224</v>
      </c>
      <c r="AH17" s="74">
        <f>'Alternative 3'!J16</f>
        <v>0.91872222222222222</v>
      </c>
      <c r="AI17" s="122">
        <f t="shared" si="29"/>
        <v>2.7978001442249938</v>
      </c>
      <c r="AJ17" s="122">
        <f t="shared" si="30"/>
        <v>2.6804686399304227</v>
      </c>
      <c r="AK17" s="122">
        <f t="shared" si="31"/>
        <v>0.11733150429457107</v>
      </c>
      <c r="AL17" s="122">
        <f t="shared" si="32"/>
        <v>921.05230871238291</v>
      </c>
      <c r="AM17" s="122">
        <f>SUM(AL18:AL$94)</f>
        <v>18476.698964507206</v>
      </c>
      <c r="AN17" s="122">
        <f>SUM($AL$4:AL17)</f>
        <v>12738.844225574176</v>
      </c>
      <c r="AO17" s="122">
        <f t="shared" si="33"/>
        <v>5737.8547389330306</v>
      </c>
      <c r="AP17" s="13">
        <f t="shared" si="8"/>
        <v>13</v>
      </c>
    </row>
    <row r="18" spans="1:42" x14ac:dyDescent="0.25">
      <c r="A18" s="7">
        <f t="shared" si="9"/>
        <v>14</v>
      </c>
      <c r="B18" s="122">
        <f>IF((A18&lt;='Alternative 1'!$B$12),B17+1,"x")</f>
        <v>14</v>
      </c>
      <c r="C18" s="74">
        <f>'Alternative 1'!I17</f>
        <v>0.92877777777777781</v>
      </c>
      <c r="D18" s="74">
        <f>'Alternative 1'!J17</f>
        <v>0.9087777777777778</v>
      </c>
      <c r="E18" s="122">
        <f t="shared" si="18"/>
        <v>2.7391461633538858</v>
      </c>
      <c r="F18" s="122">
        <f t="shared" si="19"/>
        <v>2.6230643148037434</v>
      </c>
      <c r="G18" s="122">
        <f t="shared" si="20"/>
        <v>0.11608184855014247</v>
      </c>
      <c r="H18" s="122">
        <f t="shared" si="21"/>
        <v>911.24251111861838</v>
      </c>
      <c r="I18" s="122">
        <f>SUM(H19:H$94)</f>
        <v>17565.456453388586</v>
      </c>
      <c r="J18" s="122">
        <f>SUM($H$4:H18)</f>
        <v>13650.086736692794</v>
      </c>
      <c r="K18" s="122">
        <f t="shared" si="22"/>
        <v>3915.3697166957918</v>
      </c>
      <c r="L18" s="122">
        <f t="shared" si="23"/>
        <v>14</v>
      </c>
      <c r="P18" s="7">
        <f t="shared" si="12"/>
        <v>14</v>
      </c>
      <c r="Q18" s="122">
        <f>IF((AE18&lt;='Alternative 2'!$B$12),AF17+1,"x")</f>
        <v>14</v>
      </c>
      <c r="R18" s="74">
        <f>'Alternative 2'!I17</f>
        <v>0.92877777777777781</v>
      </c>
      <c r="S18" s="74">
        <f>'Alternative 2'!J17</f>
        <v>0.9087777777777778</v>
      </c>
      <c r="T18" s="122">
        <f t="shared" si="24"/>
        <v>2.7391461633538858</v>
      </c>
      <c r="U18" s="122">
        <f t="shared" si="25"/>
        <v>2.6230643148037434</v>
      </c>
      <c r="V18" s="122">
        <f t="shared" si="26"/>
        <v>0.11608184855014247</v>
      </c>
      <c r="W18" s="122">
        <f t="shared" si="27"/>
        <v>911.24251111861838</v>
      </c>
      <c r="X18" s="122">
        <f>SUM(W19:W$94)</f>
        <v>17565.456453388586</v>
      </c>
      <c r="Y18" s="122">
        <f>SUM($W$4:W18)</f>
        <v>13650.086736692794</v>
      </c>
      <c r="Z18" s="122">
        <f t="shared" si="28"/>
        <v>3915.3697166957918</v>
      </c>
      <c r="AA18" s="13">
        <f t="shared" si="5"/>
        <v>14</v>
      </c>
      <c r="AE18" s="7">
        <f t="shared" si="15"/>
        <v>14</v>
      </c>
      <c r="AF18" s="122">
        <f>IF((AE18&lt;='Alternative 3'!$B$12),AF17+1,"x")</f>
        <v>14</v>
      </c>
      <c r="AG18" s="74">
        <f>'Alternative 3'!I17</f>
        <v>0.92877777777777781</v>
      </c>
      <c r="AH18" s="74">
        <f>'Alternative 3'!J17</f>
        <v>0.9087777777777778</v>
      </c>
      <c r="AI18" s="122">
        <f t="shared" si="29"/>
        <v>2.7391461633538858</v>
      </c>
      <c r="AJ18" s="122">
        <f t="shared" si="30"/>
        <v>2.6230643148037434</v>
      </c>
      <c r="AK18" s="122">
        <f t="shared" si="31"/>
        <v>0.11608184855014247</v>
      </c>
      <c r="AL18" s="122">
        <f t="shared" si="32"/>
        <v>911.24251111861838</v>
      </c>
      <c r="AM18" s="122">
        <f>SUM(AL19:AL$94)</f>
        <v>17565.456453388586</v>
      </c>
      <c r="AN18" s="122">
        <f>SUM($AL$4:AL18)</f>
        <v>13650.086736692794</v>
      </c>
      <c r="AO18" s="122">
        <f t="shared" si="33"/>
        <v>3915.3697166957918</v>
      </c>
      <c r="AP18" s="13">
        <f t="shared" si="8"/>
        <v>14</v>
      </c>
    </row>
    <row r="19" spans="1:42" x14ac:dyDescent="0.25">
      <c r="A19" s="7">
        <f t="shared" si="9"/>
        <v>15</v>
      </c>
      <c r="B19" s="122">
        <f>IF((A19&lt;='Alternative 1'!$B$12),B18+1,"x")</f>
        <v>15</v>
      </c>
      <c r="C19" s="74">
        <f>'Alternative 1'!I18</f>
        <v>0.91883333333333339</v>
      </c>
      <c r="D19" s="74">
        <f>'Alternative 1'!J18</f>
        <v>0.89883333333333337</v>
      </c>
      <c r="E19" s="122">
        <f t="shared" si="18"/>
        <v>2.681113539089035</v>
      </c>
      <c r="F19" s="122">
        <f t="shared" si="19"/>
        <v>2.5662813462833203</v>
      </c>
      <c r="G19" s="122">
        <f t="shared" si="20"/>
        <v>0.11483219280571477</v>
      </c>
      <c r="H19" s="122">
        <f t="shared" si="21"/>
        <v>901.43271352486101</v>
      </c>
      <c r="I19" s="122">
        <f>SUM(H20:H$94)</f>
        <v>16664.023739863722</v>
      </c>
      <c r="J19" s="122">
        <f>SUM($H$4:H19)</f>
        <v>14551.519450217655</v>
      </c>
      <c r="K19" s="122">
        <f t="shared" si="22"/>
        <v>2112.5042896460673</v>
      </c>
      <c r="L19" s="122">
        <f t="shared" si="23"/>
        <v>15</v>
      </c>
      <c r="P19" s="7">
        <f t="shared" si="12"/>
        <v>15</v>
      </c>
      <c r="Q19" s="122">
        <f>IF((AE19&lt;='Alternative 2'!$B$12),AF18+1,"x")</f>
        <v>15</v>
      </c>
      <c r="R19" s="74">
        <f>'Alternative 2'!I18</f>
        <v>0.91883333333333339</v>
      </c>
      <c r="S19" s="74">
        <f>'Alternative 2'!J18</f>
        <v>0.89883333333333337</v>
      </c>
      <c r="T19" s="122">
        <f t="shared" si="24"/>
        <v>2.681113539089035</v>
      </c>
      <c r="U19" s="122">
        <f t="shared" si="25"/>
        <v>2.5662813462833203</v>
      </c>
      <c r="V19" s="122">
        <f t="shared" si="26"/>
        <v>0.11483219280571477</v>
      </c>
      <c r="W19" s="122">
        <f t="shared" si="27"/>
        <v>901.43271352486101</v>
      </c>
      <c r="X19" s="122">
        <f>SUM(W20:W$94)</f>
        <v>16664.023739863722</v>
      </c>
      <c r="Y19" s="122">
        <f>SUM($W$4:W19)</f>
        <v>14551.519450217655</v>
      </c>
      <c r="Z19" s="122">
        <f t="shared" si="28"/>
        <v>2112.5042896460673</v>
      </c>
      <c r="AA19" s="13">
        <f t="shared" si="5"/>
        <v>15</v>
      </c>
      <c r="AE19" s="7">
        <f t="shared" si="15"/>
        <v>15</v>
      </c>
      <c r="AF19" s="122">
        <f>IF((AE19&lt;='Alternative 3'!$B$12),AF18+1,"x")</f>
        <v>15</v>
      </c>
      <c r="AG19" s="74">
        <f>'Alternative 3'!I18</f>
        <v>0.91883333333333339</v>
      </c>
      <c r="AH19" s="74">
        <f>'Alternative 3'!J18</f>
        <v>0.89883333333333337</v>
      </c>
      <c r="AI19" s="122">
        <f t="shared" si="29"/>
        <v>2.681113539089035</v>
      </c>
      <c r="AJ19" s="122">
        <f t="shared" si="30"/>
        <v>2.5662813462833203</v>
      </c>
      <c r="AK19" s="122">
        <f t="shared" si="31"/>
        <v>0.11483219280571477</v>
      </c>
      <c r="AL19" s="122">
        <f t="shared" si="32"/>
        <v>901.43271352486101</v>
      </c>
      <c r="AM19" s="122">
        <f>SUM(AL20:AL$94)</f>
        <v>16664.023739863722</v>
      </c>
      <c r="AN19" s="122">
        <f>SUM($AL$4:AL19)</f>
        <v>14551.519450217655</v>
      </c>
      <c r="AO19" s="122">
        <f t="shared" si="33"/>
        <v>2112.5042896460673</v>
      </c>
      <c r="AP19" s="13">
        <f t="shared" si="8"/>
        <v>15</v>
      </c>
    </row>
    <row r="20" spans="1:42" x14ac:dyDescent="0.25">
      <c r="A20" s="7">
        <f t="shared" si="9"/>
        <v>16</v>
      </c>
      <c r="B20" s="122">
        <f>IF((A20&lt;='Alternative 1'!$B$12),B19+1,"x")</f>
        <v>16</v>
      </c>
      <c r="C20" s="74">
        <f>'Alternative 1'!I19</f>
        <v>0.90888888888888886</v>
      </c>
      <c r="D20" s="74">
        <f>'Alternative 1'!J19</f>
        <v>0.88888888888888884</v>
      </c>
      <c r="E20" s="122">
        <f t="shared" si="18"/>
        <v>2.6237022714304419</v>
      </c>
      <c r="F20" s="122">
        <f t="shared" si="19"/>
        <v>2.5101197343691544</v>
      </c>
      <c r="G20" s="122">
        <f t="shared" si="20"/>
        <v>0.11358253706128751</v>
      </c>
      <c r="H20" s="122">
        <f t="shared" si="21"/>
        <v>891.62291593110695</v>
      </c>
      <c r="I20" s="122">
        <f>SUM(H21:H$94)</f>
        <v>15772.400823932618</v>
      </c>
      <c r="J20" s="122">
        <f>SUM($H$4:H20)</f>
        <v>15443.142366148761</v>
      </c>
      <c r="K20" s="122">
        <f t="shared" si="22"/>
        <v>329.25845778385701</v>
      </c>
      <c r="L20" s="122">
        <f t="shared" si="23"/>
        <v>16</v>
      </c>
      <c r="P20" s="7">
        <f t="shared" si="12"/>
        <v>16</v>
      </c>
      <c r="Q20" s="122">
        <f>IF((AE20&lt;='Alternative 2'!$B$12),AF19+1,"x")</f>
        <v>16</v>
      </c>
      <c r="R20" s="74">
        <f>'Alternative 2'!I19</f>
        <v>0.90888888888888886</v>
      </c>
      <c r="S20" s="74">
        <f>'Alternative 2'!J19</f>
        <v>0.88888888888888884</v>
      </c>
      <c r="T20" s="122">
        <f t="shared" si="24"/>
        <v>2.6237022714304419</v>
      </c>
      <c r="U20" s="122">
        <f t="shared" si="25"/>
        <v>2.5101197343691544</v>
      </c>
      <c r="V20" s="122">
        <f t="shared" si="26"/>
        <v>0.11358253706128751</v>
      </c>
      <c r="W20" s="122">
        <f t="shared" si="27"/>
        <v>891.62291593110695</v>
      </c>
      <c r="X20" s="122">
        <f>SUM(W21:W$94)</f>
        <v>15772.400823932618</v>
      </c>
      <c r="Y20" s="122">
        <f>SUM($W$4:W20)</f>
        <v>15443.142366148761</v>
      </c>
      <c r="Z20" s="122">
        <f t="shared" si="28"/>
        <v>329.25845778385701</v>
      </c>
      <c r="AA20" s="13">
        <f t="shared" si="5"/>
        <v>16</v>
      </c>
      <c r="AE20" s="7">
        <f t="shared" si="15"/>
        <v>16</v>
      </c>
      <c r="AF20" s="122">
        <f>IF((AE20&lt;='Alternative 3'!$B$12),AF19+1,"x")</f>
        <v>16</v>
      </c>
      <c r="AG20" s="74">
        <f>'Alternative 3'!I19</f>
        <v>0.90888888888888886</v>
      </c>
      <c r="AH20" s="74">
        <f>'Alternative 3'!J19</f>
        <v>0.88888888888888884</v>
      </c>
      <c r="AI20" s="122">
        <f t="shared" si="29"/>
        <v>2.6237022714304419</v>
      </c>
      <c r="AJ20" s="122">
        <f t="shared" si="30"/>
        <v>2.5101197343691544</v>
      </c>
      <c r="AK20" s="122">
        <f t="shared" si="31"/>
        <v>0.11358253706128751</v>
      </c>
      <c r="AL20" s="122">
        <f t="shared" si="32"/>
        <v>891.62291593110695</v>
      </c>
      <c r="AM20" s="122">
        <f>SUM(AL21:AL$94)</f>
        <v>15772.400823932618</v>
      </c>
      <c r="AN20" s="122">
        <f>SUM($AL$4:AL20)</f>
        <v>15443.142366148761</v>
      </c>
      <c r="AO20" s="122">
        <f t="shared" si="33"/>
        <v>329.25845778385701</v>
      </c>
      <c r="AP20" s="13">
        <f t="shared" si="8"/>
        <v>16</v>
      </c>
    </row>
    <row r="21" spans="1:42" x14ac:dyDescent="0.25">
      <c r="A21" s="7">
        <f t="shared" si="9"/>
        <v>17</v>
      </c>
      <c r="B21" s="122">
        <f>IF((A21&lt;='Alternative 1'!$B$12),B20+1,"x")</f>
        <v>17</v>
      </c>
      <c r="C21" s="74">
        <f>'Alternative 1'!I20</f>
        <v>0.89894444444444443</v>
      </c>
      <c r="D21" s="74">
        <f>'Alternative 1'!J20</f>
        <v>0.87894444444444442</v>
      </c>
      <c r="E21" s="122">
        <f t="shared" si="18"/>
        <v>2.566912360378105</v>
      </c>
      <c r="F21" s="122">
        <f t="shared" si="19"/>
        <v>2.4545794790612456</v>
      </c>
      <c r="G21" s="122">
        <f t="shared" si="20"/>
        <v>0.11233288131685937</v>
      </c>
      <c r="H21" s="122">
        <f t="shared" si="21"/>
        <v>881.81311833734605</v>
      </c>
      <c r="I21" s="122">
        <f>SUM(H22:H$94)</f>
        <v>14890.587705595271</v>
      </c>
      <c r="J21" s="122">
        <f>SUM($H$4:H21)</f>
        <v>16324.955484486107</v>
      </c>
      <c r="K21" s="122">
        <f t="shared" si="22"/>
        <v>1434.3677788908353</v>
      </c>
      <c r="L21" s="122">
        <f t="shared" si="23"/>
        <v>17</v>
      </c>
      <c r="P21" s="7">
        <f t="shared" si="12"/>
        <v>17</v>
      </c>
      <c r="Q21" s="122">
        <f>IF((AE21&lt;='Alternative 2'!$B$12),AF20+1,"x")</f>
        <v>17</v>
      </c>
      <c r="R21" s="74">
        <f>'Alternative 2'!I20</f>
        <v>0.89894444444444443</v>
      </c>
      <c r="S21" s="74">
        <f>'Alternative 2'!J20</f>
        <v>0.87894444444444442</v>
      </c>
      <c r="T21" s="122">
        <f t="shared" si="24"/>
        <v>2.566912360378105</v>
      </c>
      <c r="U21" s="122">
        <f t="shared" si="25"/>
        <v>2.4545794790612456</v>
      </c>
      <c r="V21" s="122">
        <f t="shared" si="26"/>
        <v>0.11233288131685937</v>
      </c>
      <c r="W21" s="122">
        <f t="shared" si="27"/>
        <v>881.81311833734605</v>
      </c>
      <c r="X21" s="122">
        <f>SUM(W22:W$94)</f>
        <v>14890.587705595271</v>
      </c>
      <c r="Y21" s="122">
        <f>SUM($W$4:W21)</f>
        <v>16324.955484486107</v>
      </c>
      <c r="Z21" s="122">
        <f t="shared" si="28"/>
        <v>1434.3677788908353</v>
      </c>
      <c r="AA21" s="13">
        <f t="shared" si="5"/>
        <v>17</v>
      </c>
      <c r="AE21" s="7">
        <f t="shared" si="15"/>
        <v>17</v>
      </c>
      <c r="AF21" s="122">
        <f>IF((AE21&lt;='Alternative 3'!$B$12),AF20+1,"x")</f>
        <v>17</v>
      </c>
      <c r="AG21" s="74">
        <f>'Alternative 3'!I20</f>
        <v>0.89894444444444443</v>
      </c>
      <c r="AH21" s="74">
        <f>'Alternative 3'!J20</f>
        <v>0.87894444444444442</v>
      </c>
      <c r="AI21" s="122">
        <f t="shared" si="29"/>
        <v>2.566912360378105</v>
      </c>
      <c r="AJ21" s="122">
        <f t="shared" si="30"/>
        <v>2.4545794790612456</v>
      </c>
      <c r="AK21" s="122">
        <f t="shared" si="31"/>
        <v>0.11233288131685937</v>
      </c>
      <c r="AL21" s="122">
        <f t="shared" si="32"/>
        <v>881.81311833734605</v>
      </c>
      <c r="AM21" s="122">
        <f>SUM(AL22:AL$94)</f>
        <v>14890.587705595271</v>
      </c>
      <c r="AN21" s="122">
        <f>SUM($AL$4:AL21)</f>
        <v>16324.955484486107</v>
      </c>
      <c r="AO21" s="122">
        <f t="shared" si="33"/>
        <v>1434.3677788908353</v>
      </c>
      <c r="AP21" s="13">
        <f t="shared" si="8"/>
        <v>17</v>
      </c>
    </row>
    <row r="22" spans="1:42" x14ac:dyDescent="0.25">
      <c r="A22" s="7">
        <f t="shared" si="9"/>
        <v>18</v>
      </c>
      <c r="B22" s="122">
        <f>IF((A22&lt;='Alternative 1'!$B$12),B21+1,"x")</f>
        <v>18</v>
      </c>
      <c r="C22" s="74">
        <f>'Alternative 1'!I21</f>
        <v>0.88900000000000001</v>
      </c>
      <c r="D22" s="74">
        <f>'Alternative 1'!J21</f>
        <v>0.86899999999999999</v>
      </c>
      <c r="E22" s="122">
        <f t="shared" si="18"/>
        <v>2.5107438059320257</v>
      </c>
      <c r="F22" s="122">
        <f t="shared" si="19"/>
        <v>2.3996605803595945</v>
      </c>
      <c r="G22" s="122">
        <f t="shared" si="20"/>
        <v>0.11108322557243122</v>
      </c>
      <c r="H22" s="122">
        <f t="shared" si="21"/>
        <v>872.00332074358505</v>
      </c>
      <c r="I22" s="122">
        <f>SUM(H23:H$94)</f>
        <v>14018.584384851687</v>
      </c>
      <c r="J22" s="122">
        <f>SUM($H$4:H22)</f>
        <v>17196.958805229693</v>
      </c>
      <c r="K22" s="122">
        <f t="shared" si="22"/>
        <v>3178.3744203780061</v>
      </c>
      <c r="L22" s="122">
        <f t="shared" si="23"/>
        <v>18</v>
      </c>
      <c r="P22" s="7">
        <f t="shared" si="12"/>
        <v>18</v>
      </c>
      <c r="Q22" s="122">
        <f>IF((AE22&lt;='Alternative 2'!$B$12),AF21+1,"x")</f>
        <v>18</v>
      </c>
      <c r="R22" s="74">
        <f>'Alternative 2'!I21</f>
        <v>0.88900000000000001</v>
      </c>
      <c r="S22" s="74">
        <f>'Alternative 2'!J21</f>
        <v>0.86899999999999999</v>
      </c>
      <c r="T22" s="122">
        <f t="shared" si="24"/>
        <v>2.5107438059320257</v>
      </c>
      <c r="U22" s="122">
        <f t="shared" si="25"/>
        <v>2.3996605803595945</v>
      </c>
      <c r="V22" s="122">
        <f t="shared" si="26"/>
        <v>0.11108322557243122</v>
      </c>
      <c r="W22" s="122">
        <f t="shared" si="27"/>
        <v>872.00332074358505</v>
      </c>
      <c r="X22" s="122">
        <f>SUM(W23:W$94)</f>
        <v>14018.584384851687</v>
      </c>
      <c r="Y22" s="122">
        <f>SUM($W$4:W22)</f>
        <v>17196.958805229693</v>
      </c>
      <c r="Z22" s="122">
        <f t="shared" si="28"/>
        <v>3178.3744203780061</v>
      </c>
      <c r="AA22" s="13">
        <f t="shared" si="5"/>
        <v>18</v>
      </c>
      <c r="AE22" s="7">
        <f t="shared" si="15"/>
        <v>18</v>
      </c>
      <c r="AF22" s="122">
        <f>IF((AE22&lt;='Alternative 3'!$B$12),AF21+1,"x")</f>
        <v>18</v>
      </c>
      <c r="AG22" s="74">
        <f>'Alternative 3'!I21</f>
        <v>0.88900000000000001</v>
      </c>
      <c r="AH22" s="74">
        <f>'Alternative 3'!J21</f>
        <v>0.86899999999999999</v>
      </c>
      <c r="AI22" s="122">
        <f t="shared" si="29"/>
        <v>2.5107438059320257</v>
      </c>
      <c r="AJ22" s="122">
        <f t="shared" si="30"/>
        <v>2.3996605803595945</v>
      </c>
      <c r="AK22" s="122">
        <f t="shared" si="31"/>
        <v>0.11108322557243122</v>
      </c>
      <c r="AL22" s="122">
        <f t="shared" si="32"/>
        <v>872.00332074358505</v>
      </c>
      <c r="AM22" s="122">
        <f>SUM(AL23:AL$94)</f>
        <v>14018.584384851687</v>
      </c>
      <c r="AN22" s="122">
        <f>SUM($AL$4:AL22)</f>
        <v>17196.958805229693</v>
      </c>
      <c r="AO22" s="122">
        <f t="shared" si="33"/>
        <v>3178.3744203780061</v>
      </c>
      <c r="AP22" s="13">
        <f t="shared" si="8"/>
        <v>18</v>
      </c>
    </row>
    <row r="23" spans="1:42" x14ac:dyDescent="0.25">
      <c r="A23" s="7">
        <f t="shared" si="9"/>
        <v>19</v>
      </c>
      <c r="B23" s="122">
        <f>IF((A23&lt;='Alternative 1'!$B$12),B22+1,"x")</f>
        <v>19</v>
      </c>
      <c r="C23" s="74">
        <f>'Alternative 1'!I22</f>
        <v>0.87905555555555559</v>
      </c>
      <c r="D23" s="74">
        <f>'Alternative 1'!J22</f>
        <v>0.85905555555555557</v>
      </c>
      <c r="E23" s="122">
        <f t="shared" si="18"/>
        <v>2.4551966080922041</v>
      </c>
      <c r="F23" s="122">
        <f t="shared" si="19"/>
        <v>2.345363038264201</v>
      </c>
      <c r="G23" s="122">
        <f t="shared" si="20"/>
        <v>0.10983356982800307</v>
      </c>
      <c r="H23" s="122">
        <f t="shared" si="21"/>
        <v>862.19352314982416</v>
      </c>
      <c r="I23" s="122">
        <f>SUM(H24:H$94)</f>
        <v>13156.390861701862</v>
      </c>
      <c r="J23" s="122">
        <f>SUM($H$4:H23)</f>
        <v>18059.152328379518</v>
      </c>
      <c r="K23" s="122">
        <f t="shared" si="22"/>
        <v>4902.7614666776553</v>
      </c>
      <c r="L23" s="122">
        <f t="shared" si="23"/>
        <v>19</v>
      </c>
      <c r="P23" s="7">
        <f t="shared" si="12"/>
        <v>19</v>
      </c>
      <c r="Q23" s="122">
        <f>IF((AE23&lt;='Alternative 2'!$B$12),AF22+1,"x")</f>
        <v>19</v>
      </c>
      <c r="R23" s="74">
        <f>'Alternative 2'!I22</f>
        <v>0.87905555555555559</v>
      </c>
      <c r="S23" s="74">
        <f>'Alternative 2'!J22</f>
        <v>0.85905555555555557</v>
      </c>
      <c r="T23" s="122">
        <f t="shared" si="24"/>
        <v>2.4551966080922041</v>
      </c>
      <c r="U23" s="122">
        <f t="shared" si="25"/>
        <v>2.345363038264201</v>
      </c>
      <c r="V23" s="122">
        <f t="shared" si="26"/>
        <v>0.10983356982800307</v>
      </c>
      <c r="W23" s="122">
        <f t="shared" si="27"/>
        <v>862.19352314982416</v>
      </c>
      <c r="X23" s="122">
        <f>SUM(W24:W$94)</f>
        <v>13156.390861701862</v>
      </c>
      <c r="Y23" s="122">
        <f>SUM($W$4:W23)</f>
        <v>18059.152328379518</v>
      </c>
      <c r="Z23" s="122">
        <f t="shared" si="28"/>
        <v>4902.7614666776553</v>
      </c>
      <c r="AA23" s="13">
        <f t="shared" si="5"/>
        <v>19</v>
      </c>
      <c r="AE23" s="7">
        <f t="shared" si="15"/>
        <v>19</v>
      </c>
      <c r="AF23" s="122">
        <f>IF((AE23&lt;='Alternative 3'!$B$12),AF22+1,"x")</f>
        <v>19</v>
      </c>
      <c r="AG23" s="74">
        <f>'Alternative 3'!I22</f>
        <v>0.87905555555555559</v>
      </c>
      <c r="AH23" s="74">
        <f>'Alternative 3'!J22</f>
        <v>0.85905555555555557</v>
      </c>
      <c r="AI23" s="122">
        <f t="shared" si="29"/>
        <v>2.4551966080922041</v>
      </c>
      <c r="AJ23" s="122">
        <f t="shared" si="30"/>
        <v>2.345363038264201</v>
      </c>
      <c r="AK23" s="122">
        <f t="shared" si="31"/>
        <v>0.10983356982800307</v>
      </c>
      <c r="AL23" s="122">
        <f t="shared" si="32"/>
        <v>862.19352314982416</v>
      </c>
      <c r="AM23" s="122">
        <f>SUM(AL24:AL$94)</f>
        <v>13156.390861701862</v>
      </c>
      <c r="AN23" s="122">
        <f>SUM($AL$4:AL23)</f>
        <v>18059.152328379518</v>
      </c>
      <c r="AO23" s="122">
        <f t="shared" si="33"/>
        <v>4902.7614666776553</v>
      </c>
      <c r="AP23" s="13">
        <f t="shared" si="8"/>
        <v>19</v>
      </c>
    </row>
    <row r="24" spans="1:42" x14ac:dyDescent="0.25">
      <c r="A24" s="7">
        <f t="shared" si="9"/>
        <v>20</v>
      </c>
      <c r="B24" s="122">
        <f>IF((A24&lt;='Alternative 1'!$B$12),B23+1,"x")</f>
        <v>20</v>
      </c>
      <c r="C24" s="74">
        <f>'Alternative 1'!I23</f>
        <v>0.86911111111111117</v>
      </c>
      <c r="D24" s="74">
        <f>'Alternative 1'!J23</f>
        <v>0.84911111111111115</v>
      </c>
      <c r="E24" s="122">
        <f t="shared" si="18"/>
        <v>2.4002707668586396</v>
      </c>
      <c r="F24" s="122">
        <f t="shared" si="19"/>
        <v>2.2916868527750638</v>
      </c>
      <c r="G24" s="122">
        <f t="shared" si="20"/>
        <v>0.10858391408357582</v>
      </c>
      <c r="H24" s="122">
        <f t="shared" si="21"/>
        <v>852.3837255560702</v>
      </c>
      <c r="I24" s="122">
        <f>SUM(H25:H$94)</f>
        <v>12304.007136145792</v>
      </c>
      <c r="J24" s="122">
        <f>SUM($H$4:H24)</f>
        <v>18911.53605393559</v>
      </c>
      <c r="K24" s="122">
        <f t="shared" si="22"/>
        <v>6607.5289177897976</v>
      </c>
      <c r="L24" s="122">
        <f t="shared" si="23"/>
        <v>20</v>
      </c>
      <c r="P24" s="7">
        <f t="shared" si="12"/>
        <v>20</v>
      </c>
      <c r="Q24" s="122">
        <f>IF((AE24&lt;='Alternative 2'!$B$12),AF23+1,"x")</f>
        <v>20</v>
      </c>
      <c r="R24" s="74">
        <f>'Alternative 2'!I23</f>
        <v>0.86911111111111117</v>
      </c>
      <c r="S24" s="74">
        <f>'Alternative 2'!J23</f>
        <v>0.84911111111111115</v>
      </c>
      <c r="T24" s="122">
        <f t="shared" si="24"/>
        <v>2.4002707668586396</v>
      </c>
      <c r="U24" s="122">
        <f t="shared" si="25"/>
        <v>2.2916868527750638</v>
      </c>
      <c r="V24" s="122">
        <f t="shared" si="26"/>
        <v>0.10858391408357582</v>
      </c>
      <c r="W24" s="122">
        <f t="shared" si="27"/>
        <v>852.3837255560702</v>
      </c>
      <c r="X24" s="122">
        <f>SUM(W25:W$94)</f>
        <v>12304.007136145792</v>
      </c>
      <c r="Y24" s="122">
        <f>SUM($W$4:W24)</f>
        <v>18911.53605393559</v>
      </c>
      <c r="Z24" s="122">
        <f t="shared" si="28"/>
        <v>6607.5289177897976</v>
      </c>
      <c r="AA24" s="13">
        <f t="shared" si="5"/>
        <v>20</v>
      </c>
      <c r="AE24" s="7">
        <f t="shared" si="15"/>
        <v>20</v>
      </c>
      <c r="AF24" s="122">
        <f>IF((AE24&lt;='Alternative 3'!$B$12),AF23+1,"x")</f>
        <v>20</v>
      </c>
      <c r="AG24" s="74">
        <f>'Alternative 3'!I23</f>
        <v>0.86911111111111117</v>
      </c>
      <c r="AH24" s="74">
        <f>'Alternative 3'!J23</f>
        <v>0.84911111111111115</v>
      </c>
      <c r="AI24" s="122">
        <f t="shared" si="29"/>
        <v>2.4002707668586396</v>
      </c>
      <c r="AJ24" s="122">
        <f t="shared" si="30"/>
        <v>2.2916868527750638</v>
      </c>
      <c r="AK24" s="122">
        <f t="shared" si="31"/>
        <v>0.10858391408357582</v>
      </c>
      <c r="AL24" s="122">
        <f t="shared" si="32"/>
        <v>852.3837255560702</v>
      </c>
      <c r="AM24" s="122">
        <f>SUM(AL25:AL$94)</f>
        <v>12304.007136145792</v>
      </c>
      <c r="AN24" s="122">
        <f>SUM($AL$4:AL24)</f>
        <v>18911.53605393559</v>
      </c>
      <c r="AO24" s="122">
        <f t="shared" si="33"/>
        <v>6607.5289177897976</v>
      </c>
      <c r="AP24" s="13">
        <f t="shared" si="8"/>
        <v>20</v>
      </c>
    </row>
    <row r="25" spans="1:42" x14ac:dyDescent="0.25">
      <c r="A25" s="7">
        <f t="shared" si="9"/>
        <v>21</v>
      </c>
      <c r="B25" s="122">
        <f>IF((A25&lt;='Alternative 1'!$B$12),B24+1,"x")</f>
        <v>21</v>
      </c>
      <c r="C25" s="74">
        <f>'Alternative 1'!I24</f>
        <v>0.85916666666666663</v>
      </c>
      <c r="D25" s="74">
        <f>'Alternative 1'!J24</f>
        <v>0.83916666666666662</v>
      </c>
      <c r="E25" s="122">
        <f t="shared" si="18"/>
        <v>2.3459662822313319</v>
      </c>
      <c r="F25" s="122">
        <f t="shared" si="19"/>
        <v>2.2386320238921846</v>
      </c>
      <c r="G25" s="122">
        <f t="shared" si="20"/>
        <v>0.10733425833914723</v>
      </c>
      <c r="H25" s="122">
        <f t="shared" si="21"/>
        <v>842.57392796230567</v>
      </c>
      <c r="I25" s="122">
        <f>SUM(H26:H$94)</f>
        <v>11461.433208183485</v>
      </c>
      <c r="J25" s="122">
        <f>SUM($H$4:H25)</f>
        <v>19754.109981897895</v>
      </c>
      <c r="K25" s="122">
        <f t="shared" si="22"/>
        <v>8292.6767737144091</v>
      </c>
      <c r="L25" s="122">
        <f t="shared" si="23"/>
        <v>21</v>
      </c>
      <c r="P25" s="7">
        <f t="shared" si="12"/>
        <v>21</v>
      </c>
      <c r="Q25" s="122">
        <f>IF((AE25&lt;='Alternative 2'!$B$12),AF24+1,"x")</f>
        <v>21</v>
      </c>
      <c r="R25" s="74">
        <f>'Alternative 2'!I24</f>
        <v>0.85916666666666663</v>
      </c>
      <c r="S25" s="74">
        <f>'Alternative 2'!J24</f>
        <v>0.83916666666666662</v>
      </c>
      <c r="T25" s="122">
        <f t="shared" si="24"/>
        <v>2.3459662822313319</v>
      </c>
      <c r="U25" s="122">
        <f t="shared" si="25"/>
        <v>2.2386320238921846</v>
      </c>
      <c r="V25" s="122">
        <f t="shared" si="26"/>
        <v>0.10733425833914723</v>
      </c>
      <c r="W25" s="122">
        <f t="shared" si="27"/>
        <v>842.57392796230567</v>
      </c>
      <c r="X25" s="122">
        <f>SUM(W26:W$94)</f>
        <v>11461.433208183485</v>
      </c>
      <c r="Y25" s="122">
        <f>SUM($W$4:W25)</f>
        <v>19754.109981897895</v>
      </c>
      <c r="Z25" s="122">
        <f t="shared" si="28"/>
        <v>8292.6767737144091</v>
      </c>
      <c r="AA25" s="13">
        <f t="shared" si="5"/>
        <v>21</v>
      </c>
      <c r="AE25" s="7">
        <f t="shared" si="15"/>
        <v>21</v>
      </c>
      <c r="AF25" s="122">
        <f>IF((AE25&lt;='Alternative 3'!$B$12),AF24+1,"x")</f>
        <v>21</v>
      </c>
      <c r="AG25" s="74">
        <f>'Alternative 3'!I24</f>
        <v>0.85916666666666663</v>
      </c>
      <c r="AH25" s="74">
        <f>'Alternative 3'!J24</f>
        <v>0.83916666666666662</v>
      </c>
      <c r="AI25" s="122">
        <f t="shared" si="29"/>
        <v>2.3459662822313319</v>
      </c>
      <c r="AJ25" s="122">
        <f t="shared" si="30"/>
        <v>2.2386320238921846</v>
      </c>
      <c r="AK25" s="122">
        <f t="shared" si="31"/>
        <v>0.10733425833914723</v>
      </c>
      <c r="AL25" s="122">
        <f t="shared" si="32"/>
        <v>842.57392796230567</v>
      </c>
      <c r="AM25" s="122">
        <f>SUM(AL26:AL$94)</f>
        <v>11461.433208183485</v>
      </c>
      <c r="AN25" s="122">
        <f>SUM($AL$4:AL25)</f>
        <v>19754.109981897895</v>
      </c>
      <c r="AO25" s="122">
        <f t="shared" si="33"/>
        <v>8292.6767737144091</v>
      </c>
      <c r="AP25" s="13">
        <f t="shared" si="8"/>
        <v>21</v>
      </c>
    </row>
    <row r="26" spans="1:42" x14ac:dyDescent="0.25">
      <c r="A26" s="7">
        <f t="shared" si="9"/>
        <v>22</v>
      </c>
      <c r="B26" s="122">
        <f>IF((A26&lt;='Alternative 1'!$B$12),B25+1,"x")</f>
        <v>22</v>
      </c>
      <c r="C26" s="74">
        <f>'Alternative 1'!I25</f>
        <v>0.84922222222222221</v>
      </c>
      <c r="D26" s="74">
        <f>'Alternative 1'!J25</f>
        <v>0.82922222222222219</v>
      </c>
      <c r="E26" s="122">
        <f t="shared" si="18"/>
        <v>2.2922831542102813</v>
      </c>
      <c r="F26" s="122">
        <f t="shared" si="19"/>
        <v>2.1861985516155622</v>
      </c>
      <c r="G26" s="122">
        <f t="shared" si="20"/>
        <v>0.10608460259471908</v>
      </c>
      <c r="H26" s="122">
        <f t="shared" si="21"/>
        <v>832.76413036854478</v>
      </c>
      <c r="I26" s="122">
        <f>SUM(H27:H$94)</f>
        <v>10628.669077814942</v>
      </c>
      <c r="J26" s="122">
        <f>SUM($H$4:H26)</f>
        <v>20586.87411226644</v>
      </c>
      <c r="K26" s="122">
        <f t="shared" si="22"/>
        <v>9958.2050344514973</v>
      </c>
      <c r="L26" s="122">
        <f t="shared" si="23"/>
        <v>22</v>
      </c>
      <c r="P26" s="7">
        <f t="shared" si="12"/>
        <v>22</v>
      </c>
      <c r="Q26" s="122">
        <f>IF((AE26&lt;='Alternative 2'!$B$12),AF25+1,"x")</f>
        <v>22</v>
      </c>
      <c r="R26" s="74">
        <f>'Alternative 2'!I25</f>
        <v>0.84922222222222221</v>
      </c>
      <c r="S26" s="74">
        <f>'Alternative 2'!J25</f>
        <v>0.82922222222222219</v>
      </c>
      <c r="T26" s="122">
        <f t="shared" si="24"/>
        <v>2.2922831542102813</v>
      </c>
      <c r="U26" s="122">
        <f t="shared" si="25"/>
        <v>2.1861985516155622</v>
      </c>
      <c r="V26" s="122">
        <f t="shared" si="26"/>
        <v>0.10608460259471908</v>
      </c>
      <c r="W26" s="122">
        <f t="shared" si="27"/>
        <v>832.76413036854478</v>
      </c>
      <c r="X26" s="122">
        <f>SUM(W27:W$94)</f>
        <v>10628.669077814942</v>
      </c>
      <c r="Y26" s="122">
        <f>SUM($W$4:W26)</f>
        <v>20586.87411226644</v>
      </c>
      <c r="Z26" s="122">
        <f t="shared" si="28"/>
        <v>9958.2050344514973</v>
      </c>
      <c r="AA26" s="13">
        <f t="shared" si="5"/>
        <v>22</v>
      </c>
      <c r="AE26" s="7">
        <f t="shared" si="15"/>
        <v>22</v>
      </c>
      <c r="AF26" s="122">
        <f>IF((AE26&lt;='Alternative 3'!$B$12),AF25+1,"x")</f>
        <v>22</v>
      </c>
      <c r="AG26" s="74">
        <f>'Alternative 3'!I25</f>
        <v>0.84922222222222221</v>
      </c>
      <c r="AH26" s="74">
        <f>'Alternative 3'!J25</f>
        <v>0.82922222222222219</v>
      </c>
      <c r="AI26" s="122">
        <f t="shared" si="29"/>
        <v>2.2922831542102813</v>
      </c>
      <c r="AJ26" s="122">
        <f t="shared" si="30"/>
        <v>2.1861985516155622</v>
      </c>
      <c r="AK26" s="122">
        <f t="shared" si="31"/>
        <v>0.10608460259471908</v>
      </c>
      <c r="AL26" s="122">
        <f t="shared" si="32"/>
        <v>832.76413036854478</v>
      </c>
      <c r="AM26" s="122">
        <f>SUM(AL27:AL$94)</f>
        <v>10628.669077814942</v>
      </c>
      <c r="AN26" s="122">
        <f>SUM($AL$4:AL26)</f>
        <v>20586.87411226644</v>
      </c>
      <c r="AO26" s="122">
        <f t="shared" si="33"/>
        <v>9958.2050344514973</v>
      </c>
      <c r="AP26" s="13">
        <f t="shared" si="8"/>
        <v>22</v>
      </c>
    </row>
    <row r="27" spans="1:42" x14ac:dyDescent="0.25">
      <c r="A27" s="7">
        <f t="shared" si="9"/>
        <v>23</v>
      </c>
      <c r="B27" s="122">
        <f>IF((A27&lt;='Alternative 1'!$B$12),B26+1,"x")</f>
        <v>23</v>
      </c>
      <c r="C27" s="74">
        <f>'Alternative 1'!I26</f>
        <v>0.83927777777777779</v>
      </c>
      <c r="D27" s="74">
        <f>'Alternative 1'!J26</f>
        <v>0.81927777777777777</v>
      </c>
      <c r="E27" s="122">
        <f t="shared" si="18"/>
        <v>2.2392213827954883</v>
      </c>
      <c r="F27" s="122">
        <f t="shared" si="19"/>
        <v>2.1343864359451969</v>
      </c>
      <c r="G27" s="122">
        <f t="shared" si="20"/>
        <v>0.10483494685029138</v>
      </c>
      <c r="H27" s="122">
        <f t="shared" si="21"/>
        <v>822.9543327747873</v>
      </c>
      <c r="I27" s="122">
        <f>SUM(H28:H$94)</f>
        <v>9805.7147450401553</v>
      </c>
      <c r="J27" s="122">
        <f>SUM($H$4:H27)</f>
        <v>21409.828445041228</v>
      </c>
      <c r="K27" s="122">
        <f t="shared" si="22"/>
        <v>11604.113700001073</v>
      </c>
      <c r="L27" s="122">
        <f t="shared" si="23"/>
        <v>23</v>
      </c>
      <c r="P27" s="7">
        <f t="shared" si="12"/>
        <v>23</v>
      </c>
      <c r="Q27" s="122">
        <f>IF((AE27&lt;='Alternative 2'!$B$12),AF26+1,"x")</f>
        <v>23</v>
      </c>
      <c r="R27" s="74">
        <f>'Alternative 2'!I26</f>
        <v>0.83927777777777779</v>
      </c>
      <c r="S27" s="74">
        <f>'Alternative 2'!J26</f>
        <v>0.81927777777777777</v>
      </c>
      <c r="T27" s="122">
        <f t="shared" si="24"/>
        <v>2.2392213827954883</v>
      </c>
      <c r="U27" s="122">
        <f t="shared" si="25"/>
        <v>2.1343864359451969</v>
      </c>
      <c r="V27" s="122">
        <f t="shared" si="26"/>
        <v>0.10483494685029138</v>
      </c>
      <c r="W27" s="122">
        <f t="shared" si="27"/>
        <v>822.9543327747873</v>
      </c>
      <c r="X27" s="122">
        <f>SUM(W28:W$94)</f>
        <v>9805.7147450401553</v>
      </c>
      <c r="Y27" s="122">
        <f>SUM($W$4:W27)</f>
        <v>21409.828445041228</v>
      </c>
      <c r="Z27" s="122">
        <f t="shared" si="28"/>
        <v>11604.113700001073</v>
      </c>
      <c r="AA27" s="13">
        <f t="shared" si="5"/>
        <v>23</v>
      </c>
      <c r="AE27" s="7">
        <f t="shared" si="15"/>
        <v>23</v>
      </c>
      <c r="AF27" s="122">
        <f>IF((AE27&lt;='Alternative 3'!$B$12),AF26+1,"x")</f>
        <v>23</v>
      </c>
      <c r="AG27" s="74">
        <f>'Alternative 3'!I26</f>
        <v>0.83927777777777779</v>
      </c>
      <c r="AH27" s="74">
        <f>'Alternative 3'!J26</f>
        <v>0.81927777777777777</v>
      </c>
      <c r="AI27" s="122">
        <f t="shared" si="29"/>
        <v>2.2392213827954883</v>
      </c>
      <c r="AJ27" s="122">
        <f t="shared" si="30"/>
        <v>2.1343864359451969</v>
      </c>
      <c r="AK27" s="122">
        <f t="shared" si="31"/>
        <v>0.10483494685029138</v>
      </c>
      <c r="AL27" s="122">
        <f t="shared" si="32"/>
        <v>822.9543327747873</v>
      </c>
      <c r="AM27" s="122">
        <f>SUM(AL28:AL$94)</f>
        <v>9805.7147450401553</v>
      </c>
      <c r="AN27" s="122">
        <f>SUM($AL$4:AL27)</f>
        <v>21409.828445041228</v>
      </c>
      <c r="AO27" s="122">
        <f t="shared" si="33"/>
        <v>11604.113700001073</v>
      </c>
      <c r="AP27" s="13">
        <f t="shared" si="8"/>
        <v>23</v>
      </c>
    </row>
    <row r="28" spans="1:42" x14ac:dyDescent="0.25">
      <c r="A28" s="7">
        <f t="shared" si="9"/>
        <v>24</v>
      </c>
      <c r="B28" s="122">
        <f>IF((A28&lt;='Alternative 1'!$B$12),B27+1,"x")</f>
        <v>24</v>
      </c>
      <c r="C28" s="74">
        <f>'Alternative 1'!I27</f>
        <v>0.82933333333333337</v>
      </c>
      <c r="D28" s="74">
        <f>'Alternative 1'!J27</f>
        <v>0.80933333333333335</v>
      </c>
      <c r="E28" s="122">
        <f t="shared" si="18"/>
        <v>2.186780967986953</v>
      </c>
      <c r="F28" s="122">
        <f t="shared" si="19"/>
        <v>2.0831956768810893</v>
      </c>
      <c r="G28" s="122">
        <f t="shared" si="20"/>
        <v>0.10358529110586367</v>
      </c>
      <c r="H28" s="122">
        <f t="shared" si="21"/>
        <v>813.14453518102982</v>
      </c>
      <c r="I28" s="122">
        <f>SUM(H29:H$94)</f>
        <v>8992.5702098591246</v>
      </c>
      <c r="J28" s="122">
        <f>SUM($H$4:H28)</f>
        <v>22222.972980222257</v>
      </c>
      <c r="K28" s="122">
        <f t="shared" si="22"/>
        <v>13230.402770363133</v>
      </c>
      <c r="L28" s="122">
        <f t="shared" si="23"/>
        <v>24</v>
      </c>
      <c r="P28" s="7">
        <f t="shared" si="12"/>
        <v>24</v>
      </c>
      <c r="Q28" s="122">
        <f>IF((AE28&lt;='Alternative 2'!$B$12),AF27+1,"x")</f>
        <v>24</v>
      </c>
      <c r="R28" s="74">
        <f>'Alternative 2'!I27</f>
        <v>0.82933333333333337</v>
      </c>
      <c r="S28" s="74">
        <f>'Alternative 2'!J27</f>
        <v>0.80933333333333335</v>
      </c>
      <c r="T28" s="122">
        <f t="shared" si="24"/>
        <v>2.186780967986953</v>
      </c>
      <c r="U28" s="122">
        <f t="shared" si="25"/>
        <v>2.0831956768810893</v>
      </c>
      <c r="V28" s="122">
        <f t="shared" si="26"/>
        <v>0.10358529110586367</v>
      </c>
      <c r="W28" s="122">
        <f t="shared" si="27"/>
        <v>813.14453518102982</v>
      </c>
      <c r="X28" s="122">
        <f>SUM(W29:W$94)</f>
        <v>8992.5702098591246</v>
      </c>
      <c r="Y28" s="122">
        <f>SUM($W$4:W28)</f>
        <v>22222.972980222257</v>
      </c>
      <c r="Z28" s="122">
        <f t="shared" si="28"/>
        <v>13230.402770363133</v>
      </c>
      <c r="AA28" s="13">
        <f t="shared" si="5"/>
        <v>24</v>
      </c>
      <c r="AE28" s="7">
        <f t="shared" si="15"/>
        <v>24</v>
      </c>
      <c r="AF28" s="122">
        <f>IF((AE28&lt;='Alternative 3'!$B$12),AF27+1,"x")</f>
        <v>24</v>
      </c>
      <c r="AG28" s="74">
        <f>'Alternative 3'!I27</f>
        <v>0.82933333333333337</v>
      </c>
      <c r="AH28" s="74">
        <f>'Alternative 3'!J27</f>
        <v>0.80933333333333335</v>
      </c>
      <c r="AI28" s="122">
        <f t="shared" si="29"/>
        <v>2.186780967986953</v>
      </c>
      <c r="AJ28" s="122">
        <f t="shared" si="30"/>
        <v>2.0831956768810893</v>
      </c>
      <c r="AK28" s="122">
        <f t="shared" si="31"/>
        <v>0.10358529110586367</v>
      </c>
      <c r="AL28" s="122">
        <f t="shared" si="32"/>
        <v>813.14453518102982</v>
      </c>
      <c r="AM28" s="122">
        <f>SUM(AL29:AL$94)</f>
        <v>8992.5702098591246</v>
      </c>
      <c r="AN28" s="122">
        <f>SUM($AL$4:AL28)</f>
        <v>22222.972980222257</v>
      </c>
      <c r="AO28" s="122">
        <f t="shared" si="33"/>
        <v>13230.402770363133</v>
      </c>
      <c r="AP28" s="13">
        <f t="shared" si="8"/>
        <v>24</v>
      </c>
    </row>
    <row r="29" spans="1:42" x14ac:dyDescent="0.25">
      <c r="A29" s="7">
        <f t="shared" si="9"/>
        <v>25</v>
      </c>
      <c r="B29" s="122">
        <f>IF((A29&lt;='Alternative 1'!$B$12),B28+1,"x")</f>
        <v>25</v>
      </c>
      <c r="C29" s="74">
        <f>'Alternative 1'!I28</f>
        <v>0.81938888888888894</v>
      </c>
      <c r="D29" s="74">
        <f>'Alternative 1'!J28</f>
        <v>0.79938888888888893</v>
      </c>
      <c r="E29" s="122">
        <f t="shared" si="18"/>
        <v>2.1349619097846744</v>
      </c>
      <c r="F29" s="122">
        <f t="shared" si="19"/>
        <v>2.0326262744232384</v>
      </c>
      <c r="G29" s="122">
        <f t="shared" si="20"/>
        <v>0.10233563536143597</v>
      </c>
      <c r="H29" s="122">
        <f t="shared" si="21"/>
        <v>803.33473758727234</v>
      </c>
      <c r="I29" s="122">
        <f>SUM(H30:H$94)</f>
        <v>8189.2354722718528</v>
      </c>
      <c r="J29" s="122">
        <f>SUM($H$4:H29)</f>
        <v>23026.30771780953</v>
      </c>
      <c r="K29" s="122">
        <f t="shared" si="22"/>
        <v>14837.072245537678</v>
      </c>
      <c r="L29" s="122">
        <f t="shared" si="23"/>
        <v>25</v>
      </c>
      <c r="P29" s="7">
        <f t="shared" si="12"/>
        <v>25</v>
      </c>
      <c r="Q29" s="122">
        <f>IF((AE29&lt;='Alternative 2'!$B$12),AF28+1,"x")</f>
        <v>25</v>
      </c>
      <c r="R29" s="74">
        <f>'Alternative 2'!I28</f>
        <v>0.81938888888888894</v>
      </c>
      <c r="S29" s="74">
        <f>'Alternative 2'!J28</f>
        <v>0.79938888888888893</v>
      </c>
      <c r="T29" s="122">
        <f t="shared" si="24"/>
        <v>2.1349619097846744</v>
      </c>
      <c r="U29" s="122">
        <f t="shared" si="25"/>
        <v>2.0326262744232384</v>
      </c>
      <c r="V29" s="122">
        <f t="shared" si="26"/>
        <v>0.10233563536143597</v>
      </c>
      <c r="W29" s="122">
        <f t="shared" si="27"/>
        <v>803.33473758727234</v>
      </c>
      <c r="X29" s="122">
        <f>SUM(W30:W$94)</f>
        <v>8189.2354722718528</v>
      </c>
      <c r="Y29" s="122">
        <f>SUM($W$4:W29)</f>
        <v>23026.30771780953</v>
      </c>
      <c r="Z29" s="122">
        <f t="shared" si="28"/>
        <v>14837.072245537678</v>
      </c>
      <c r="AA29" s="13">
        <f t="shared" si="5"/>
        <v>25</v>
      </c>
      <c r="AE29" s="7">
        <f t="shared" si="15"/>
        <v>25</v>
      </c>
      <c r="AF29" s="122">
        <f>IF((AE29&lt;='Alternative 3'!$B$12),AF28+1,"x")</f>
        <v>25</v>
      </c>
      <c r="AG29" s="74">
        <f>'Alternative 3'!I28</f>
        <v>0.81938888888888894</v>
      </c>
      <c r="AH29" s="74">
        <f>'Alternative 3'!J28</f>
        <v>0.79938888888888893</v>
      </c>
      <c r="AI29" s="122">
        <f t="shared" si="29"/>
        <v>2.1349619097846744</v>
      </c>
      <c r="AJ29" s="122">
        <f t="shared" si="30"/>
        <v>2.0326262744232384</v>
      </c>
      <c r="AK29" s="122">
        <f t="shared" si="31"/>
        <v>0.10233563536143597</v>
      </c>
      <c r="AL29" s="122">
        <f t="shared" si="32"/>
        <v>803.33473758727234</v>
      </c>
      <c r="AM29" s="122">
        <f>SUM(AL30:AL$94)</f>
        <v>8189.2354722718528</v>
      </c>
      <c r="AN29" s="122">
        <f>SUM($AL$4:AL29)</f>
        <v>23026.30771780953</v>
      </c>
      <c r="AO29" s="122">
        <f t="shared" si="33"/>
        <v>14837.072245537678</v>
      </c>
      <c r="AP29" s="13">
        <f t="shared" si="8"/>
        <v>25</v>
      </c>
    </row>
    <row r="30" spans="1:42" x14ac:dyDescent="0.25">
      <c r="A30" s="7">
        <f t="shared" si="9"/>
        <v>26</v>
      </c>
      <c r="B30" s="122">
        <f>IF((A30&lt;='Alternative 1'!$B$12),B29+1,"x")</f>
        <v>26</v>
      </c>
      <c r="C30" s="74">
        <f>'Alternative 1'!I29</f>
        <v>0.80944444444444441</v>
      </c>
      <c r="D30" s="74">
        <f>'Alternative 1'!J29</f>
        <v>0.78944444444444439</v>
      </c>
      <c r="E30" s="122">
        <f t="shared" si="18"/>
        <v>2.0837642081886529</v>
      </c>
      <c r="F30" s="122">
        <f t="shared" si="19"/>
        <v>1.9826782285716453</v>
      </c>
      <c r="G30" s="122">
        <f t="shared" si="20"/>
        <v>0.1010859796170076</v>
      </c>
      <c r="H30" s="122">
        <f t="shared" si="21"/>
        <v>793.52493999350975</v>
      </c>
      <c r="I30" s="122">
        <f>SUM(H31:H$94)</f>
        <v>7395.7105322783418</v>
      </c>
      <c r="J30" s="122">
        <f>SUM($H$4:H30)</f>
        <v>23819.832657803039</v>
      </c>
      <c r="K30" s="122">
        <f t="shared" si="22"/>
        <v>16424.122125524696</v>
      </c>
      <c r="L30" s="122">
        <f t="shared" si="23"/>
        <v>26</v>
      </c>
      <c r="P30" s="7">
        <f t="shared" si="12"/>
        <v>26</v>
      </c>
      <c r="Q30" s="122">
        <f>IF((AE30&lt;='Alternative 2'!$B$12),AF29+1,"x")</f>
        <v>26</v>
      </c>
      <c r="R30" s="74">
        <f>'Alternative 2'!I29</f>
        <v>0.80944444444444441</v>
      </c>
      <c r="S30" s="74">
        <f>'Alternative 2'!J29</f>
        <v>0.78944444444444439</v>
      </c>
      <c r="T30" s="122">
        <f t="shared" si="24"/>
        <v>2.0837642081886529</v>
      </c>
      <c r="U30" s="122">
        <f t="shared" si="25"/>
        <v>1.9826782285716453</v>
      </c>
      <c r="V30" s="122">
        <f t="shared" si="26"/>
        <v>0.1010859796170076</v>
      </c>
      <c r="W30" s="122">
        <f t="shared" si="27"/>
        <v>793.52493999350975</v>
      </c>
      <c r="X30" s="122">
        <f>SUM(W31:W$94)</f>
        <v>7395.7105322783418</v>
      </c>
      <c r="Y30" s="122">
        <f>SUM($W$4:W30)</f>
        <v>23819.832657803039</v>
      </c>
      <c r="Z30" s="122">
        <f t="shared" si="28"/>
        <v>16424.122125524696</v>
      </c>
      <c r="AA30" s="13">
        <f t="shared" si="5"/>
        <v>26</v>
      </c>
      <c r="AE30" s="7">
        <f t="shared" si="15"/>
        <v>26</v>
      </c>
      <c r="AF30" s="122">
        <f>IF((AE30&lt;='Alternative 3'!$B$12),AF29+1,"x")</f>
        <v>26</v>
      </c>
      <c r="AG30" s="74">
        <f>'Alternative 3'!I29</f>
        <v>0.80944444444444441</v>
      </c>
      <c r="AH30" s="74">
        <f>'Alternative 3'!J29</f>
        <v>0.78944444444444439</v>
      </c>
      <c r="AI30" s="122">
        <f t="shared" si="29"/>
        <v>2.0837642081886529</v>
      </c>
      <c r="AJ30" s="122">
        <f t="shared" si="30"/>
        <v>1.9826782285716453</v>
      </c>
      <c r="AK30" s="122">
        <f t="shared" si="31"/>
        <v>0.1010859796170076</v>
      </c>
      <c r="AL30" s="122">
        <f t="shared" si="32"/>
        <v>793.52493999350975</v>
      </c>
      <c r="AM30" s="122">
        <f>SUM(AL31:AL$94)</f>
        <v>7395.7105322783418</v>
      </c>
      <c r="AN30" s="122">
        <f>SUM($AL$4:AL30)</f>
        <v>23819.832657803039</v>
      </c>
      <c r="AO30" s="122">
        <f t="shared" si="33"/>
        <v>16424.122125524696</v>
      </c>
      <c r="AP30" s="13">
        <f t="shared" si="8"/>
        <v>26</v>
      </c>
    </row>
    <row r="31" spans="1:42" x14ac:dyDescent="0.25">
      <c r="A31" s="7">
        <f t="shared" si="9"/>
        <v>27</v>
      </c>
      <c r="B31" s="122">
        <f>IF((A31&lt;='Alternative 1'!$B$12),B30+1,"x")</f>
        <v>27</v>
      </c>
      <c r="C31" s="74">
        <f>'Alternative 1'!I30</f>
        <v>0.79949999999999999</v>
      </c>
      <c r="D31" s="74">
        <f>'Alternative 1'!J30</f>
        <v>0.77949999999999997</v>
      </c>
      <c r="E31" s="122">
        <f t="shared" si="18"/>
        <v>2.0331878631988887</v>
      </c>
      <c r="F31" s="122">
        <f t="shared" si="19"/>
        <v>1.933351539326309</v>
      </c>
      <c r="G31" s="122">
        <f t="shared" si="20"/>
        <v>9.983632387257968E-2</v>
      </c>
      <c r="H31" s="122">
        <f t="shared" si="21"/>
        <v>783.71514239975045</v>
      </c>
      <c r="I31" s="122">
        <f>SUM(H32:H$94)</f>
        <v>6611.9953898785916</v>
      </c>
      <c r="J31" s="122">
        <f>SUM($H$4:H31)</f>
        <v>24603.547800202788</v>
      </c>
      <c r="K31" s="122">
        <f t="shared" si="22"/>
        <v>17991.552410324199</v>
      </c>
      <c r="L31" s="122">
        <f t="shared" si="23"/>
        <v>27</v>
      </c>
      <c r="P31" s="7">
        <f t="shared" si="12"/>
        <v>27</v>
      </c>
      <c r="Q31" s="122">
        <f>IF((AE31&lt;='Alternative 2'!$B$12),AF30+1,"x")</f>
        <v>27</v>
      </c>
      <c r="R31" s="74">
        <f>'Alternative 2'!I30</f>
        <v>0.79949999999999999</v>
      </c>
      <c r="S31" s="74">
        <f>'Alternative 2'!J30</f>
        <v>0.77949999999999997</v>
      </c>
      <c r="T31" s="122">
        <f t="shared" si="24"/>
        <v>2.0331878631988887</v>
      </c>
      <c r="U31" s="122">
        <f t="shared" si="25"/>
        <v>1.933351539326309</v>
      </c>
      <c r="V31" s="122">
        <f t="shared" si="26"/>
        <v>9.983632387257968E-2</v>
      </c>
      <c r="W31" s="122">
        <f t="shared" si="27"/>
        <v>783.71514239975045</v>
      </c>
      <c r="X31" s="122">
        <f>SUM(W32:W$94)</f>
        <v>6611.9953898785916</v>
      </c>
      <c r="Y31" s="122">
        <f>SUM($W$4:W31)</f>
        <v>24603.547800202788</v>
      </c>
      <c r="Z31" s="122">
        <f t="shared" si="28"/>
        <v>17991.552410324199</v>
      </c>
      <c r="AA31" s="13">
        <f t="shared" si="5"/>
        <v>27</v>
      </c>
      <c r="AE31" s="7">
        <f t="shared" si="15"/>
        <v>27</v>
      </c>
      <c r="AF31" s="122">
        <f>IF((AE31&lt;='Alternative 3'!$B$12),AF30+1,"x")</f>
        <v>27</v>
      </c>
      <c r="AG31" s="74">
        <f>'Alternative 3'!I30</f>
        <v>0.79949999999999999</v>
      </c>
      <c r="AH31" s="74">
        <f>'Alternative 3'!J30</f>
        <v>0.77949999999999997</v>
      </c>
      <c r="AI31" s="122">
        <f t="shared" si="29"/>
        <v>2.0331878631988887</v>
      </c>
      <c r="AJ31" s="122">
        <f t="shared" si="30"/>
        <v>1.933351539326309</v>
      </c>
      <c r="AK31" s="122">
        <f t="shared" si="31"/>
        <v>9.983632387257968E-2</v>
      </c>
      <c r="AL31" s="122">
        <f t="shared" si="32"/>
        <v>783.71514239975045</v>
      </c>
      <c r="AM31" s="122">
        <f>SUM(AL32:AL$94)</f>
        <v>6611.9953898785916</v>
      </c>
      <c r="AN31" s="122">
        <f>SUM($AL$4:AL31)</f>
        <v>24603.547800202788</v>
      </c>
      <c r="AO31" s="122">
        <f t="shared" si="33"/>
        <v>17991.552410324199</v>
      </c>
      <c r="AP31" s="13">
        <f t="shared" si="8"/>
        <v>27</v>
      </c>
    </row>
    <row r="32" spans="1:42" x14ac:dyDescent="0.25">
      <c r="A32" s="7">
        <f t="shared" si="9"/>
        <v>28</v>
      </c>
      <c r="B32" s="122">
        <f>IF((A32&lt;='Alternative 1'!$B$12),B31+1,"x")</f>
        <v>28</v>
      </c>
      <c r="C32" s="74">
        <f>'Alternative 1'!I31</f>
        <v>0.78955555555555557</v>
      </c>
      <c r="D32" s="74">
        <f>'Alternative 1'!J31</f>
        <v>0.76955555555555555</v>
      </c>
      <c r="E32" s="122">
        <f t="shared" si="18"/>
        <v>1.983232874815382</v>
      </c>
      <c r="F32" s="122">
        <f t="shared" si="19"/>
        <v>1.88464620668723</v>
      </c>
      <c r="G32" s="122">
        <f t="shared" si="20"/>
        <v>9.8586668128151977E-2</v>
      </c>
      <c r="H32" s="122">
        <f t="shared" si="21"/>
        <v>773.90534480599297</v>
      </c>
      <c r="I32" s="122">
        <f>SUM(H33:H$94)</f>
        <v>5838.0900450725985</v>
      </c>
      <c r="J32" s="122">
        <f>SUM($H$4:H32)</f>
        <v>25377.453145008782</v>
      </c>
      <c r="K32" s="122">
        <f t="shared" si="22"/>
        <v>19539.363099936185</v>
      </c>
      <c r="L32" s="122">
        <f t="shared" si="23"/>
        <v>28</v>
      </c>
      <c r="P32" s="7">
        <f t="shared" si="12"/>
        <v>28</v>
      </c>
      <c r="Q32" s="122">
        <f>IF((AE32&lt;='Alternative 2'!$B$12),AF31+1,"x")</f>
        <v>28</v>
      </c>
      <c r="R32" s="74">
        <f>'Alternative 2'!I31</f>
        <v>0.78955555555555557</v>
      </c>
      <c r="S32" s="74">
        <f>'Alternative 2'!J31</f>
        <v>0.76955555555555555</v>
      </c>
      <c r="T32" s="122">
        <f t="shared" si="24"/>
        <v>1.983232874815382</v>
      </c>
      <c r="U32" s="122">
        <f t="shared" si="25"/>
        <v>1.88464620668723</v>
      </c>
      <c r="V32" s="122">
        <f t="shared" si="26"/>
        <v>9.8586668128151977E-2</v>
      </c>
      <c r="W32" s="122">
        <f t="shared" si="27"/>
        <v>773.90534480599297</v>
      </c>
      <c r="X32" s="122">
        <f>SUM(W33:W$94)</f>
        <v>5838.0900450725985</v>
      </c>
      <c r="Y32" s="122">
        <f>SUM($W$4:W32)</f>
        <v>25377.453145008782</v>
      </c>
      <c r="Z32" s="122">
        <f t="shared" si="28"/>
        <v>19539.363099936185</v>
      </c>
      <c r="AA32" s="13">
        <f t="shared" si="5"/>
        <v>28</v>
      </c>
      <c r="AE32" s="7">
        <f t="shared" si="15"/>
        <v>28</v>
      </c>
      <c r="AF32" s="122">
        <f>IF((AE32&lt;='Alternative 3'!$B$12),AF31+1,"x")</f>
        <v>28</v>
      </c>
      <c r="AG32" s="74">
        <f>'Alternative 3'!I31</f>
        <v>0.78955555555555557</v>
      </c>
      <c r="AH32" s="74">
        <f>'Alternative 3'!J31</f>
        <v>0.76955555555555555</v>
      </c>
      <c r="AI32" s="122">
        <f t="shared" si="29"/>
        <v>1.983232874815382</v>
      </c>
      <c r="AJ32" s="122">
        <f t="shared" si="30"/>
        <v>1.88464620668723</v>
      </c>
      <c r="AK32" s="122">
        <f t="shared" si="31"/>
        <v>9.8586668128151977E-2</v>
      </c>
      <c r="AL32" s="122">
        <f t="shared" si="32"/>
        <v>773.90534480599297</v>
      </c>
      <c r="AM32" s="122">
        <f>SUM(AL33:AL$94)</f>
        <v>5838.0900450725985</v>
      </c>
      <c r="AN32" s="122">
        <f>SUM($AL$4:AL32)</f>
        <v>25377.453145008782</v>
      </c>
      <c r="AO32" s="122">
        <f t="shared" si="33"/>
        <v>19539.363099936185</v>
      </c>
      <c r="AP32" s="13">
        <f t="shared" si="8"/>
        <v>28</v>
      </c>
    </row>
    <row r="33" spans="1:42" x14ac:dyDescent="0.25">
      <c r="A33" s="7">
        <f t="shared" si="9"/>
        <v>29</v>
      </c>
      <c r="B33" s="122">
        <f>IF((A33&lt;='Alternative 1'!$B$12),B32+1,"x")</f>
        <v>29</v>
      </c>
      <c r="C33" s="74">
        <f>'Alternative 1'!I32</f>
        <v>0.77961111111111103</v>
      </c>
      <c r="D33" s="74">
        <f>'Alternative 1'!J32</f>
        <v>0.75961111111111101</v>
      </c>
      <c r="E33" s="122">
        <f t="shared" si="18"/>
        <v>1.9338992430381321</v>
      </c>
      <c r="F33" s="122">
        <f t="shared" si="19"/>
        <v>1.8365622306544083</v>
      </c>
      <c r="G33" s="122">
        <f t="shared" si="20"/>
        <v>9.7337012383723831E-2</v>
      </c>
      <c r="H33" s="122">
        <f t="shared" si="21"/>
        <v>764.09554721223208</v>
      </c>
      <c r="I33" s="122">
        <f>SUM(H34:H$94)</f>
        <v>5073.9944978603671</v>
      </c>
      <c r="J33" s="122">
        <f>SUM($H$4:H33)</f>
        <v>26141.548692221015</v>
      </c>
      <c r="K33" s="122">
        <f t="shared" si="22"/>
        <v>21067.554194360648</v>
      </c>
      <c r="L33" s="122">
        <f t="shared" si="23"/>
        <v>29</v>
      </c>
      <c r="P33" s="7">
        <f t="shared" si="12"/>
        <v>29</v>
      </c>
      <c r="Q33" s="122">
        <f>IF((AE33&lt;='Alternative 2'!$B$12),AF32+1,"x")</f>
        <v>29</v>
      </c>
      <c r="R33" s="74">
        <f>'Alternative 2'!I32</f>
        <v>0.77961111111111103</v>
      </c>
      <c r="S33" s="74">
        <f>'Alternative 2'!J32</f>
        <v>0.75961111111111101</v>
      </c>
      <c r="T33" s="122">
        <f t="shared" si="24"/>
        <v>1.9338992430381321</v>
      </c>
      <c r="U33" s="122">
        <f t="shared" si="25"/>
        <v>1.8365622306544083</v>
      </c>
      <c r="V33" s="122">
        <f t="shared" si="26"/>
        <v>9.7337012383723831E-2</v>
      </c>
      <c r="W33" s="122">
        <f t="shared" si="27"/>
        <v>764.09554721223208</v>
      </c>
      <c r="X33" s="122">
        <f>SUM(W34:W$94)</f>
        <v>5073.9944978603671</v>
      </c>
      <c r="Y33" s="122">
        <f>SUM($W$4:W33)</f>
        <v>26141.548692221015</v>
      </c>
      <c r="Z33" s="122">
        <f t="shared" si="28"/>
        <v>21067.554194360648</v>
      </c>
      <c r="AA33" s="13">
        <f t="shared" si="5"/>
        <v>29</v>
      </c>
      <c r="AE33" s="7">
        <f t="shared" si="15"/>
        <v>29</v>
      </c>
      <c r="AF33" s="122">
        <f>IF((AE33&lt;='Alternative 3'!$B$12),AF32+1,"x")</f>
        <v>29</v>
      </c>
      <c r="AG33" s="74">
        <f>'Alternative 3'!I32</f>
        <v>0.77961111111111103</v>
      </c>
      <c r="AH33" s="74">
        <f>'Alternative 3'!J32</f>
        <v>0.75961111111111101</v>
      </c>
      <c r="AI33" s="122">
        <f t="shared" si="29"/>
        <v>1.9338992430381321</v>
      </c>
      <c r="AJ33" s="122">
        <f t="shared" si="30"/>
        <v>1.8365622306544083</v>
      </c>
      <c r="AK33" s="122">
        <f t="shared" si="31"/>
        <v>9.7337012383723831E-2</v>
      </c>
      <c r="AL33" s="122">
        <f t="shared" si="32"/>
        <v>764.09554721223208</v>
      </c>
      <c r="AM33" s="122">
        <f>SUM(AL34:AL$94)</f>
        <v>5073.9944978603671</v>
      </c>
      <c r="AN33" s="122">
        <f>SUM($AL$4:AL33)</f>
        <v>26141.548692221015</v>
      </c>
      <c r="AO33" s="122">
        <f t="shared" si="33"/>
        <v>21067.554194360648</v>
      </c>
      <c r="AP33" s="13">
        <f t="shared" si="8"/>
        <v>29</v>
      </c>
    </row>
    <row r="34" spans="1:42" x14ac:dyDescent="0.25">
      <c r="A34" s="7">
        <f t="shared" si="9"/>
        <v>30</v>
      </c>
      <c r="B34" s="122">
        <f>IF((A34&lt;='Alternative 1'!$B$12),B33+1,"x")</f>
        <v>30</v>
      </c>
      <c r="C34" s="74">
        <f>'Alternative 1'!I33</f>
        <v>0.76966666666666672</v>
      </c>
      <c r="D34" s="74">
        <f>'Alternative 1'!J33</f>
        <v>0.7496666666666667</v>
      </c>
      <c r="E34" s="122">
        <f t="shared" si="18"/>
        <v>1.8851869678671396</v>
      </c>
      <c r="F34" s="122">
        <f t="shared" si="19"/>
        <v>1.7890996112278439</v>
      </c>
      <c r="G34" s="122">
        <f t="shared" si="20"/>
        <v>9.6087356639295685E-2</v>
      </c>
      <c r="H34" s="122">
        <f t="shared" si="21"/>
        <v>754.28574961847107</v>
      </c>
      <c r="I34" s="122">
        <f>SUM(H35:H$94)</f>
        <v>4319.7087482418956</v>
      </c>
      <c r="J34" s="122">
        <f>SUM($H$4:H34)</f>
        <v>26895.834441839484</v>
      </c>
      <c r="K34" s="122">
        <f t="shared" si="22"/>
        <v>22576.125693597591</v>
      </c>
      <c r="L34" s="122">
        <f t="shared" si="23"/>
        <v>30</v>
      </c>
      <c r="P34" s="7">
        <f t="shared" si="12"/>
        <v>30</v>
      </c>
      <c r="Q34" s="122">
        <f>IF((AE34&lt;='Alternative 2'!$B$12),AF33+1,"x")</f>
        <v>30</v>
      </c>
      <c r="R34" s="74">
        <f>'Alternative 2'!I33</f>
        <v>0.76966666666666672</v>
      </c>
      <c r="S34" s="74">
        <f>'Alternative 2'!J33</f>
        <v>0.7496666666666667</v>
      </c>
      <c r="T34" s="122">
        <f t="shared" si="24"/>
        <v>1.8851869678671396</v>
      </c>
      <c r="U34" s="122">
        <f t="shared" si="25"/>
        <v>1.7890996112278439</v>
      </c>
      <c r="V34" s="122">
        <f t="shared" si="26"/>
        <v>9.6087356639295685E-2</v>
      </c>
      <c r="W34" s="122">
        <f t="shared" si="27"/>
        <v>754.28574961847107</v>
      </c>
      <c r="X34" s="122">
        <f>SUM(W35:W$94)</f>
        <v>4319.7087482418956</v>
      </c>
      <c r="Y34" s="122">
        <f>SUM($W$4:W34)</f>
        <v>26895.834441839484</v>
      </c>
      <c r="Z34" s="122">
        <f t="shared" si="28"/>
        <v>22576.125693597591</v>
      </c>
      <c r="AA34" s="13">
        <f t="shared" si="5"/>
        <v>30</v>
      </c>
      <c r="AE34" s="7">
        <f t="shared" si="15"/>
        <v>30</v>
      </c>
      <c r="AF34" s="122">
        <f>IF((AE34&lt;='Alternative 3'!$B$12),AF33+1,"x")</f>
        <v>30</v>
      </c>
      <c r="AG34" s="74">
        <f>'Alternative 3'!I33</f>
        <v>0.76966666666666672</v>
      </c>
      <c r="AH34" s="74">
        <f>'Alternative 3'!J33</f>
        <v>0.7496666666666667</v>
      </c>
      <c r="AI34" s="122">
        <f t="shared" si="29"/>
        <v>1.8851869678671396</v>
      </c>
      <c r="AJ34" s="122">
        <f t="shared" si="30"/>
        <v>1.7890996112278439</v>
      </c>
      <c r="AK34" s="122">
        <f t="shared" si="31"/>
        <v>9.6087356639295685E-2</v>
      </c>
      <c r="AL34" s="122">
        <f t="shared" si="32"/>
        <v>754.28574961847107</v>
      </c>
      <c r="AM34" s="122">
        <f>SUM(AL35:AL$94)</f>
        <v>4319.7087482418956</v>
      </c>
      <c r="AN34" s="122">
        <f>SUM($AL$4:AL34)</f>
        <v>26895.834441839484</v>
      </c>
      <c r="AO34" s="122">
        <f t="shared" si="33"/>
        <v>22576.125693597591</v>
      </c>
      <c r="AP34" s="13">
        <f t="shared" si="8"/>
        <v>30</v>
      </c>
    </row>
    <row r="35" spans="1:42" x14ac:dyDescent="0.25">
      <c r="A35" s="7">
        <f t="shared" si="9"/>
        <v>31</v>
      </c>
      <c r="B35" s="122">
        <f>IF((A35&lt;='Alternative 1'!$B$12),B34+1,"x")</f>
        <v>31</v>
      </c>
      <c r="C35" s="74">
        <f>'Alternative 1'!I34</f>
        <v>0.75972222222222219</v>
      </c>
      <c r="D35" s="74">
        <f>'Alternative 1'!J34</f>
        <v>0.73972222222222217</v>
      </c>
      <c r="E35" s="122">
        <f t="shared" si="18"/>
        <v>1.8370960493024047</v>
      </c>
      <c r="F35" s="122">
        <f t="shared" si="19"/>
        <v>1.7422583484075365</v>
      </c>
      <c r="G35" s="122">
        <f t="shared" si="20"/>
        <v>9.4837700894868204E-2</v>
      </c>
      <c r="H35" s="122">
        <f t="shared" si="21"/>
        <v>744.47595202471541</v>
      </c>
      <c r="I35" s="122">
        <f>SUM(H36:H$94)</f>
        <v>3575.2327962171803</v>
      </c>
      <c r="J35" s="122">
        <f>SUM($H$4:H35)</f>
        <v>27640.310393864202</v>
      </c>
      <c r="K35" s="122">
        <f t="shared" si="22"/>
        <v>24065.077597647021</v>
      </c>
      <c r="L35" s="122">
        <f t="shared" si="23"/>
        <v>31</v>
      </c>
      <c r="P35" s="7">
        <f t="shared" si="12"/>
        <v>31</v>
      </c>
      <c r="Q35" s="122">
        <f>IF((AE35&lt;='Alternative 2'!$B$12),AF34+1,"x")</f>
        <v>31</v>
      </c>
      <c r="R35" s="74">
        <f>'Alternative 2'!I34</f>
        <v>0.75972222222222219</v>
      </c>
      <c r="S35" s="74">
        <f>'Alternative 2'!J34</f>
        <v>0.73972222222222217</v>
      </c>
      <c r="T35" s="122">
        <f t="shared" si="24"/>
        <v>1.8370960493024047</v>
      </c>
      <c r="U35" s="122">
        <f t="shared" si="25"/>
        <v>1.7422583484075365</v>
      </c>
      <c r="V35" s="122">
        <f t="shared" si="26"/>
        <v>9.4837700894868204E-2</v>
      </c>
      <c r="W35" s="122">
        <f t="shared" si="27"/>
        <v>744.47595202471541</v>
      </c>
      <c r="X35" s="122">
        <f>SUM(W36:W$94)</f>
        <v>3575.2327962171803</v>
      </c>
      <c r="Y35" s="122">
        <f>SUM($W$4:W35)</f>
        <v>27640.310393864202</v>
      </c>
      <c r="Z35" s="122">
        <f t="shared" si="28"/>
        <v>24065.077597647021</v>
      </c>
      <c r="AA35" s="13">
        <f t="shared" si="5"/>
        <v>31</v>
      </c>
      <c r="AE35" s="7">
        <f t="shared" si="15"/>
        <v>31</v>
      </c>
      <c r="AF35" s="122">
        <f>IF((AE35&lt;='Alternative 3'!$B$12),AF34+1,"x")</f>
        <v>31</v>
      </c>
      <c r="AG35" s="74">
        <f>'Alternative 3'!I34</f>
        <v>0.75972222222222219</v>
      </c>
      <c r="AH35" s="74">
        <f>'Alternative 3'!J34</f>
        <v>0.73972222222222217</v>
      </c>
      <c r="AI35" s="122">
        <f t="shared" si="29"/>
        <v>1.8370960493024047</v>
      </c>
      <c r="AJ35" s="122">
        <f t="shared" si="30"/>
        <v>1.7422583484075365</v>
      </c>
      <c r="AK35" s="122">
        <f t="shared" si="31"/>
        <v>9.4837700894868204E-2</v>
      </c>
      <c r="AL35" s="122">
        <f t="shared" si="32"/>
        <v>744.47595202471541</v>
      </c>
      <c r="AM35" s="122">
        <f>SUM(AL36:AL$94)</f>
        <v>3575.2327962171803</v>
      </c>
      <c r="AN35" s="122">
        <f>SUM($AL$4:AL35)</f>
        <v>27640.310393864202</v>
      </c>
      <c r="AO35" s="122">
        <f t="shared" si="33"/>
        <v>24065.077597647021</v>
      </c>
      <c r="AP35" s="13">
        <f t="shared" si="8"/>
        <v>31</v>
      </c>
    </row>
    <row r="36" spans="1:42" x14ac:dyDescent="0.25">
      <c r="A36" s="7">
        <f t="shared" si="9"/>
        <v>32</v>
      </c>
      <c r="B36" s="122">
        <f>IF((A36&lt;='Alternative 1'!$B$12),B35+1,"x")</f>
        <v>32</v>
      </c>
      <c r="C36" s="74">
        <f>'Alternative 1'!I35</f>
        <v>0.74977777777777777</v>
      </c>
      <c r="D36" s="74">
        <f>'Alternative 1'!J35</f>
        <v>0.72977777777777775</v>
      </c>
      <c r="E36" s="122">
        <f t="shared" si="18"/>
        <v>1.7896264873439265</v>
      </c>
      <c r="F36" s="122">
        <f t="shared" si="19"/>
        <v>1.6960384421934864</v>
      </c>
      <c r="G36" s="122">
        <f t="shared" si="20"/>
        <v>9.3588045150440058E-2</v>
      </c>
      <c r="H36" s="122">
        <f t="shared" si="21"/>
        <v>734.66615443095441</v>
      </c>
      <c r="I36" s="122">
        <f>SUM(H37:H$94)</f>
        <v>2840.5666417862258</v>
      </c>
      <c r="J36" s="122">
        <f>SUM($H$4:H36)</f>
        <v>28374.976548295155</v>
      </c>
      <c r="K36" s="122">
        <f t="shared" si="22"/>
        <v>25534.409906508929</v>
      </c>
      <c r="L36" s="122">
        <f t="shared" si="23"/>
        <v>32</v>
      </c>
      <c r="P36" s="7">
        <f t="shared" si="12"/>
        <v>32</v>
      </c>
      <c r="Q36" s="122">
        <f>IF((AE36&lt;='Alternative 2'!$B$12),AF35+1,"x")</f>
        <v>32</v>
      </c>
      <c r="R36" s="74">
        <f>'Alternative 2'!I35</f>
        <v>0.74977777777777777</v>
      </c>
      <c r="S36" s="74">
        <f>'Alternative 2'!J35</f>
        <v>0.72977777777777775</v>
      </c>
      <c r="T36" s="122">
        <f t="shared" si="24"/>
        <v>1.7896264873439265</v>
      </c>
      <c r="U36" s="122">
        <f t="shared" si="25"/>
        <v>1.6960384421934864</v>
      </c>
      <c r="V36" s="122">
        <f t="shared" si="26"/>
        <v>9.3588045150440058E-2</v>
      </c>
      <c r="W36" s="122">
        <f t="shared" si="27"/>
        <v>734.66615443095441</v>
      </c>
      <c r="X36" s="122">
        <f>SUM(W37:W$94)</f>
        <v>2840.5666417862258</v>
      </c>
      <c r="Y36" s="122">
        <f>SUM($W$4:W36)</f>
        <v>28374.976548295155</v>
      </c>
      <c r="Z36" s="122">
        <f t="shared" si="28"/>
        <v>25534.409906508929</v>
      </c>
      <c r="AA36" s="13">
        <f t="shared" ref="AA36:AA67" si="34">Q36</f>
        <v>32</v>
      </c>
      <c r="AE36" s="7">
        <f t="shared" si="15"/>
        <v>32</v>
      </c>
      <c r="AF36" s="122">
        <f>IF((AE36&lt;='Alternative 3'!$B$12),AF35+1,"x")</f>
        <v>32</v>
      </c>
      <c r="AG36" s="74">
        <f>'Alternative 3'!I35</f>
        <v>0.74977777777777777</v>
      </c>
      <c r="AH36" s="74">
        <f>'Alternative 3'!J35</f>
        <v>0.72977777777777775</v>
      </c>
      <c r="AI36" s="122">
        <f t="shared" si="29"/>
        <v>1.7896264873439265</v>
      </c>
      <c r="AJ36" s="122">
        <f t="shared" si="30"/>
        <v>1.6960384421934864</v>
      </c>
      <c r="AK36" s="122">
        <f t="shared" si="31"/>
        <v>9.3588045150440058E-2</v>
      </c>
      <c r="AL36" s="122">
        <f t="shared" si="32"/>
        <v>734.66615443095441</v>
      </c>
      <c r="AM36" s="122">
        <f>SUM(AL37:AL$94)</f>
        <v>2840.5666417862258</v>
      </c>
      <c r="AN36" s="122">
        <f>SUM($AL$4:AL36)</f>
        <v>28374.976548295155</v>
      </c>
      <c r="AO36" s="122">
        <f t="shared" si="33"/>
        <v>25534.409906508929</v>
      </c>
      <c r="AP36" s="13">
        <f t="shared" ref="AP36:AP67" si="35">AF36</f>
        <v>32</v>
      </c>
    </row>
    <row r="37" spans="1:42" x14ac:dyDescent="0.25">
      <c r="A37" s="7">
        <f t="shared" si="9"/>
        <v>33</v>
      </c>
      <c r="B37" s="122">
        <f>IF((A37&lt;='Alternative 1'!$B$12),B36+1,"x")</f>
        <v>33</v>
      </c>
      <c r="C37" s="74">
        <f>'Alternative 1'!I36</f>
        <v>0.73983333333333334</v>
      </c>
      <c r="D37" s="74">
        <f>'Alternative 1'!J36</f>
        <v>0.71983333333333333</v>
      </c>
      <c r="E37" s="122">
        <f t="shared" si="18"/>
        <v>1.7427782819917059</v>
      </c>
      <c r="F37" s="122">
        <f t="shared" si="19"/>
        <v>1.6504398925856938</v>
      </c>
      <c r="G37" s="122">
        <f t="shared" si="20"/>
        <v>9.2338389406012134E-2</v>
      </c>
      <c r="H37" s="122">
        <f t="shared" si="21"/>
        <v>724.85635683719522</v>
      </c>
      <c r="I37" s="122">
        <f>SUM(H38:H$94)</f>
        <v>2115.7102849490307</v>
      </c>
      <c r="J37" s="122">
        <f>SUM($H$4:H37)</f>
        <v>29099.832905132349</v>
      </c>
      <c r="K37" s="122">
        <f t="shared" si="22"/>
        <v>26984.12262018332</v>
      </c>
      <c r="L37" s="122">
        <f t="shared" si="23"/>
        <v>33</v>
      </c>
      <c r="P37" s="7">
        <f t="shared" ref="P37:P68" si="36">P36+1</f>
        <v>33</v>
      </c>
      <c r="Q37" s="122">
        <f>IF((AE37&lt;='Alternative 2'!$B$12),AF36+1,"x")</f>
        <v>33</v>
      </c>
      <c r="R37" s="74">
        <f>'Alternative 2'!I36</f>
        <v>0.73983333333333334</v>
      </c>
      <c r="S37" s="74">
        <f>'Alternative 2'!J36</f>
        <v>0.71983333333333333</v>
      </c>
      <c r="T37" s="122">
        <f t="shared" si="24"/>
        <v>1.7427782819917059</v>
      </c>
      <c r="U37" s="122">
        <f t="shared" si="25"/>
        <v>1.6504398925856938</v>
      </c>
      <c r="V37" s="122">
        <f t="shared" si="26"/>
        <v>9.2338389406012134E-2</v>
      </c>
      <c r="W37" s="122">
        <f t="shared" si="27"/>
        <v>724.85635683719522</v>
      </c>
      <c r="X37" s="122">
        <f>SUM(W38:W$94)</f>
        <v>2115.7102849490307</v>
      </c>
      <c r="Y37" s="122">
        <f>SUM($W$4:W37)</f>
        <v>29099.832905132349</v>
      </c>
      <c r="Z37" s="122">
        <f t="shared" si="28"/>
        <v>26984.12262018332</v>
      </c>
      <c r="AA37" s="13">
        <f t="shared" si="34"/>
        <v>33</v>
      </c>
      <c r="AE37" s="7">
        <f t="shared" ref="AE37:AE68" si="37">AE36+1</f>
        <v>33</v>
      </c>
      <c r="AF37" s="122">
        <f>IF((AE37&lt;='Alternative 3'!$B$12),AF36+1,"x")</f>
        <v>33</v>
      </c>
      <c r="AG37" s="74">
        <f>'Alternative 3'!I36</f>
        <v>0.73983333333333334</v>
      </c>
      <c r="AH37" s="74">
        <f>'Alternative 3'!J36</f>
        <v>0.71983333333333333</v>
      </c>
      <c r="AI37" s="122">
        <f t="shared" si="29"/>
        <v>1.7427782819917059</v>
      </c>
      <c r="AJ37" s="122">
        <f t="shared" si="30"/>
        <v>1.6504398925856938</v>
      </c>
      <c r="AK37" s="122">
        <f t="shared" si="31"/>
        <v>9.2338389406012134E-2</v>
      </c>
      <c r="AL37" s="122">
        <f t="shared" si="32"/>
        <v>724.85635683719522</v>
      </c>
      <c r="AM37" s="122">
        <f>SUM(AL38:AL$94)</f>
        <v>2115.7102849490307</v>
      </c>
      <c r="AN37" s="122">
        <f>SUM($AL$4:AL37)</f>
        <v>29099.832905132349</v>
      </c>
      <c r="AO37" s="122">
        <f t="shared" si="33"/>
        <v>26984.12262018332</v>
      </c>
      <c r="AP37" s="13">
        <f t="shared" si="35"/>
        <v>33</v>
      </c>
    </row>
    <row r="38" spans="1:42" x14ac:dyDescent="0.25">
      <c r="A38" s="7">
        <f t="shared" si="9"/>
        <v>34</v>
      </c>
      <c r="B38" s="122">
        <f>IF((A38&lt;='Alternative 1'!$B$12),B37+1,"x")</f>
        <v>34</v>
      </c>
      <c r="C38" s="74">
        <f>'Alternative 1'!I37</f>
        <v>0.72988888888888881</v>
      </c>
      <c r="D38" s="74">
        <f>'Alternative 1'!J37</f>
        <v>0.70988888888888879</v>
      </c>
      <c r="E38" s="122">
        <f t="shared" si="18"/>
        <v>1.6965514332457421</v>
      </c>
      <c r="F38" s="122">
        <f t="shared" si="19"/>
        <v>1.6054626995841579</v>
      </c>
      <c r="G38" s="122">
        <f t="shared" si="20"/>
        <v>9.1088733661584209E-2</v>
      </c>
      <c r="H38" s="122">
        <f t="shared" si="21"/>
        <v>715.04655924343604</v>
      </c>
      <c r="I38" s="122">
        <f>SUM(H39:H$94)</f>
        <v>1400.6637257055945</v>
      </c>
      <c r="J38" s="122">
        <f>SUM($H$4:H38)</f>
        <v>29814.879464375786</v>
      </c>
      <c r="K38" s="122">
        <f t="shared" si="22"/>
        <v>28414.215738670191</v>
      </c>
      <c r="L38" s="122">
        <f t="shared" si="23"/>
        <v>34</v>
      </c>
      <c r="P38" s="7">
        <f t="shared" si="36"/>
        <v>34</v>
      </c>
      <c r="Q38" s="122">
        <f>IF((AE38&lt;='Alternative 2'!$B$12),AF37+1,"x")</f>
        <v>34</v>
      </c>
      <c r="R38" s="74">
        <f>'Alternative 2'!I37</f>
        <v>0.72988888888888881</v>
      </c>
      <c r="S38" s="74">
        <f>'Alternative 2'!J37</f>
        <v>0.70988888888888879</v>
      </c>
      <c r="T38" s="122">
        <f t="shared" si="24"/>
        <v>1.6965514332457421</v>
      </c>
      <c r="U38" s="122">
        <f t="shared" si="25"/>
        <v>1.6054626995841579</v>
      </c>
      <c r="V38" s="122">
        <f t="shared" si="26"/>
        <v>9.1088733661584209E-2</v>
      </c>
      <c r="W38" s="122">
        <f t="shared" si="27"/>
        <v>715.04655924343604</v>
      </c>
      <c r="X38" s="122">
        <f>SUM(W39:W$94)</f>
        <v>1400.6637257055945</v>
      </c>
      <c r="Y38" s="122">
        <f>SUM($W$4:W38)</f>
        <v>29814.879464375786</v>
      </c>
      <c r="Z38" s="122">
        <f t="shared" si="28"/>
        <v>28414.215738670191</v>
      </c>
      <c r="AA38" s="13">
        <f t="shared" si="34"/>
        <v>34</v>
      </c>
      <c r="AE38" s="7">
        <f t="shared" si="37"/>
        <v>34</v>
      </c>
      <c r="AF38" s="122">
        <f>IF((AE38&lt;='Alternative 3'!$B$12),AF37+1,"x")</f>
        <v>34</v>
      </c>
      <c r="AG38" s="74">
        <f>'Alternative 3'!I37</f>
        <v>0.72988888888888881</v>
      </c>
      <c r="AH38" s="74">
        <f>'Alternative 3'!J37</f>
        <v>0.70988888888888879</v>
      </c>
      <c r="AI38" s="122">
        <f t="shared" si="29"/>
        <v>1.6965514332457421</v>
      </c>
      <c r="AJ38" s="122">
        <f t="shared" si="30"/>
        <v>1.6054626995841579</v>
      </c>
      <c r="AK38" s="122">
        <f t="shared" si="31"/>
        <v>9.1088733661584209E-2</v>
      </c>
      <c r="AL38" s="122">
        <f t="shared" si="32"/>
        <v>715.04655924343604</v>
      </c>
      <c r="AM38" s="122">
        <f>SUM(AL39:AL$94)</f>
        <v>1400.6637257055945</v>
      </c>
      <c r="AN38" s="122">
        <f>SUM($AL$4:AL38)</f>
        <v>29814.879464375786</v>
      </c>
      <c r="AO38" s="122">
        <f t="shared" si="33"/>
        <v>28414.215738670191</v>
      </c>
      <c r="AP38" s="13">
        <f t="shared" si="35"/>
        <v>34</v>
      </c>
    </row>
    <row r="39" spans="1:42" x14ac:dyDescent="0.25">
      <c r="A39" s="7">
        <f t="shared" si="9"/>
        <v>35</v>
      </c>
      <c r="B39" s="122">
        <f>IF((A39&lt;='Alternative 1'!$B$12),B38+1,"x")</f>
        <v>35</v>
      </c>
      <c r="C39" s="74">
        <f>'Alternative 1'!I38</f>
        <v>0.7199444444444445</v>
      </c>
      <c r="D39" s="74">
        <f>'Alternative 1'!J38</f>
        <v>0.69994444444444448</v>
      </c>
      <c r="E39" s="122">
        <f t="shared" si="18"/>
        <v>1.6509459411060359</v>
      </c>
      <c r="F39" s="122">
        <f t="shared" si="19"/>
        <v>1.5611068631888796</v>
      </c>
      <c r="G39" s="122">
        <f t="shared" si="20"/>
        <v>8.9839077917156285E-2</v>
      </c>
      <c r="H39" s="122">
        <f t="shared" si="21"/>
        <v>705.23676164967685</v>
      </c>
      <c r="I39" s="122">
        <f>SUM(H40:H$94)</f>
        <v>695.42696405591767</v>
      </c>
      <c r="J39" s="122">
        <f>SUM($H$4:H39)</f>
        <v>30520.116226025464</v>
      </c>
      <c r="K39" s="122">
        <f t="shared" si="22"/>
        <v>29824.689261969546</v>
      </c>
      <c r="L39" s="122">
        <f t="shared" si="23"/>
        <v>35</v>
      </c>
      <c r="P39" s="7">
        <f t="shared" si="36"/>
        <v>35</v>
      </c>
      <c r="Q39" s="122">
        <f>IF((AE39&lt;='Alternative 2'!$B$12),AF38+1,"x")</f>
        <v>35</v>
      </c>
      <c r="R39" s="74">
        <f>'Alternative 2'!I38</f>
        <v>0.7199444444444445</v>
      </c>
      <c r="S39" s="74">
        <f>'Alternative 2'!J38</f>
        <v>0.69994444444444448</v>
      </c>
      <c r="T39" s="122">
        <f t="shared" si="24"/>
        <v>1.6509459411060359</v>
      </c>
      <c r="U39" s="122">
        <f t="shared" si="25"/>
        <v>1.5611068631888796</v>
      </c>
      <c r="V39" s="122">
        <f t="shared" si="26"/>
        <v>8.9839077917156285E-2</v>
      </c>
      <c r="W39" s="122">
        <f t="shared" si="27"/>
        <v>705.23676164967685</v>
      </c>
      <c r="X39" s="122">
        <f>SUM(W40:W$94)</f>
        <v>695.42696405591767</v>
      </c>
      <c r="Y39" s="122">
        <f>SUM($W$4:W39)</f>
        <v>30520.116226025464</v>
      </c>
      <c r="Z39" s="122">
        <f t="shared" si="28"/>
        <v>29824.689261969546</v>
      </c>
      <c r="AA39" s="13">
        <f t="shared" si="34"/>
        <v>35</v>
      </c>
      <c r="AE39" s="7">
        <f t="shared" si="37"/>
        <v>35</v>
      </c>
      <c r="AF39" s="122">
        <f>IF((AE39&lt;='Alternative 3'!$B$12),AF38+1,"x")</f>
        <v>35</v>
      </c>
      <c r="AG39" s="74">
        <f>'Alternative 3'!I38</f>
        <v>0.7199444444444445</v>
      </c>
      <c r="AH39" s="74">
        <f>'Alternative 3'!J38</f>
        <v>0.69994444444444448</v>
      </c>
      <c r="AI39" s="122">
        <f t="shared" si="29"/>
        <v>1.6509459411060359</v>
      </c>
      <c r="AJ39" s="122">
        <f t="shared" si="30"/>
        <v>1.5611068631888796</v>
      </c>
      <c r="AK39" s="122">
        <f t="shared" si="31"/>
        <v>8.9839077917156285E-2</v>
      </c>
      <c r="AL39" s="122">
        <f t="shared" si="32"/>
        <v>705.23676164967685</v>
      </c>
      <c r="AM39" s="122">
        <f>SUM(AL40:AL$94)</f>
        <v>695.42696405591767</v>
      </c>
      <c r="AN39" s="122">
        <f>SUM($AL$4:AL39)</f>
        <v>30520.116226025464</v>
      </c>
      <c r="AO39" s="122">
        <f t="shared" si="33"/>
        <v>29824.689261969546</v>
      </c>
      <c r="AP39" s="13">
        <f t="shared" si="35"/>
        <v>35</v>
      </c>
    </row>
    <row r="40" spans="1:42" x14ac:dyDescent="0.25">
      <c r="A40" s="7">
        <f t="shared" si="9"/>
        <v>36</v>
      </c>
      <c r="B40" s="122">
        <f>IF((A40&lt;='Alternative 1'!$B$12),B39+1,"x")</f>
        <v>36</v>
      </c>
      <c r="C40" s="74">
        <f>'Alternative 1'!I39</f>
        <v>0.71</v>
      </c>
      <c r="D40" s="74">
        <f>'Alternative 1'!J39</f>
        <v>0.69</v>
      </c>
      <c r="E40" s="122">
        <f t="shared" si="18"/>
        <v>1.6059618055725871</v>
      </c>
      <c r="F40" s="122">
        <f t="shared" si="19"/>
        <v>1.5173723833998587</v>
      </c>
      <c r="G40" s="122">
        <f t="shared" si="20"/>
        <v>8.858942217272836E-2</v>
      </c>
      <c r="H40" s="122">
        <f t="shared" si="21"/>
        <v>695.42696405591767</v>
      </c>
      <c r="I40" s="122">
        <f>SUM(H41:H$94)</f>
        <v>0</v>
      </c>
      <c r="J40" s="122">
        <f>SUM($H$4:H40)</f>
        <v>31215.543190081382</v>
      </c>
      <c r="K40" s="122">
        <f t="shared" si="22"/>
        <v>31215.543190081382</v>
      </c>
      <c r="L40" s="122">
        <f t="shared" si="23"/>
        <v>36</v>
      </c>
      <c r="P40" s="7">
        <f t="shared" si="36"/>
        <v>36</v>
      </c>
      <c r="Q40" s="122">
        <f>IF((AE40&lt;='Alternative 2'!$B$12),AF39+1,"x")</f>
        <v>36</v>
      </c>
      <c r="R40" s="74">
        <f>'Alternative 2'!I39</f>
        <v>0.71</v>
      </c>
      <c r="S40" s="74">
        <f>'Alternative 2'!J39</f>
        <v>0.69</v>
      </c>
      <c r="T40" s="122">
        <f t="shared" si="24"/>
        <v>1.6059618055725871</v>
      </c>
      <c r="U40" s="122">
        <f t="shared" si="25"/>
        <v>1.5173723833998587</v>
      </c>
      <c r="V40" s="122">
        <f t="shared" si="26"/>
        <v>8.858942217272836E-2</v>
      </c>
      <c r="W40" s="122">
        <f t="shared" si="27"/>
        <v>695.42696405591767</v>
      </c>
      <c r="X40" s="122">
        <f>SUM(W41:W$94)</f>
        <v>0</v>
      </c>
      <c r="Y40" s="122">
        <f>SUM($W$4:W40)</f>
        <v>31215.543190081382</v>
      </c>
      <c r="Z40" s="122">
        <f t="shared" si="28"/>
        <v>31215.543190081382</v>
      </c>
      <c r="AA40" s="13">
        <f t="shared" si="34"/>
        <v>36</v>
      </c>
      <c r="AE40" s="7">
        <f t="shared" si="37"/>
        <v>36</v>
      </c>
      <c r="AF40" s="122">
        <f>IF((AE40&lt;='Alternative 3'!$B$12),AF39+1,"x")</f>
        <v>36</v>
      </c>
      <c r="AG40" s="74">
        <f>'Alternative 3'!I39</f>
        <v>0.71</v>
      </c>
      <c r="AH40" s="74">
        <f>'Alternative 3'!J39</f>
        <v>0.69</v>
      </c>
      <c r="AI40" s="122">
        <f t="shared" si="29"/>
        <v>1.6059618055725871</v>
      </c>
      <c r="AJ40" s="122">
        <f t="shared" si="30"/>
        <v>1.5173723833998587</v>
      </c>
      <c r="AK40" s="122">
        <f t="shared" si="31"/>
        <v>8.858942217272836E-2</v>
      </c>
      <c r="AL40" s="122">
        <f t="shared" si="32"/>
        <v>695.42696405591767</v>
      </c>
      <c r="AM40" s="122">
        <f>SUM(AL41:AL$94)</f>
        <v>0</v>
      </c>
      <c r="AN40" s="122">
        <f>SUM($AL$4:AL40)</f>
        <v>31215.543190081382</v>
      </c>
      <c r="AO40" s="122">
        <f t="shared" si="33"/>
        <v>31215.543190081382</v>
      </c>
      <c r="AP40" s="13">
        <f t="shared" si="35"/>
        <v>36</v>
      </c>
    </row>
    <row r="41" spans="1:42" x14ac:dyDescent="0.25">
      <c r="A41" s="7">
        <f t="shared" si="9"/>
        <v>37</v>
      </c>
      <c r="B41" s="122" t="str">
        <f>IF((A41&lt;='Alternative 1'!$B$12),B40+1,"x")</f>
        <v>x</v>
      </c>
      <c r="C41" s="74" t="e">
        <f>'Alternative 1'!I40</f>
        <v>#VALUE!</v>
      </c>
      <c r="D41" s="74" t="e">
        <f>'Alternative 1'!J40</f>
        <v>#VALUE!</v>
      </c>
      <c r="E41" s="122" t="e">
        <f t="shared" si="18"/>
        <v>#VALUE!</v>
      </c>
      <c r="F41" s="122" t="e">
        <f t="shared" si="19"/>
        <v>#VALUE!</v>
      </c>
      <c r="G41" s="122" t="e">
        <f t="shared" si="20"/>
        <v>#VALUE!</v>
      </c>
      <c r="H41" s="122" t="str">
        <f t="shared" si="21"/>
        <v>x</v>
      </c>
      <c r="I41" s="122">
        <f>SUM(H42:H$94)</f>
        <v>0</v>
      </c>
      <c r="J41" s="122">
        <f>SUM($H$4:H41)</f>
        <v>31215.543190081382</v>
      </c>
      <c r="K41" s="122">
        <f t="shared" si="22"/>
        <v>31215.543190081382</v>
      </c>
      <c r="L41" s="122" t="str">
        <f t="shared" si="23"/>
        <v>x</v>
      </c>
      <c r="P41" s="7">
        <f t="shared" si="36"/>
        <v>37</v>
      </c>
      <c r="Q41" s="122" t="str">
        <f>IF((AE41&lt;='Alternative 2'!$B$12),AF40+1,"x")</f>
        <v>x</v>
      </c>
      <c r="R41" s="74" t="e">
        <f>'Alternative 2'!I40</f>
        <v>#VALUE!</v>
      </c>
      <c r="S41" s="74" t="e">
        <f>'Alternative 2'!J40</f>
        <v>#VALUE!</v>
      </c>
      <c r="T41" s="122" t="e">
        <f t="shared" si="24"/>
        <v>#VALUE!</v>
      </c>
      <c r="U41" s="122" t="e">
        <f t="shared" si="25"/>
        <v>#VALUE!</v>
      </c>
      <c r="V41" s="122" t="e">
        <f t="shared" si="26"/>
        <v>#VALUE!</v>
      </c>
      <c r="W41" s="122" t="str">
        <f t="shared" si="27"/>
        <v>x</v>
      </c>
      <c r="X41" s="122">
        <f>SUM(W42:W$94)</f>
        <v>0</v>
      </c>
      <c r="Y41" s="122">
        <f>SUM($W$4:W41)</f>
        <v>31215.543190081382</v>
      </c>
      <c r="Z41" s="122">
        <f t="shared" si="28"/>
        <v>31215.543190081382</v>
      </c>
      <c r="AA41" s="13" t="str">
        <f t="shared" si="34"/>
        <v>x</v>
      </c>
      <c r="AE41" s="7">
        <f t="shared" si="37"/>
        <v>37</v>
      </c>
      <c r="AF41" s="122" t="str">
        <f>IF((AE41&lt;='Alternative 3'!$B$12),AF40+1,"x")</f>
        <v>x</v>
      </c>
      <c r="AG41" s="74" t="e">
        <f>'Alternative 3'!I40</f>
        <v>#VALUE!</v>
      </c>
      <c r="AH41" s="74" t="e">
        <f>'Alternative 3'!J40</f>
        <v>#VALUE!</v>
      </c>
      <c r="AI41" s="122" t="e">
        <f t="shared" si="29"/>
        <v>#VALUE!</v>
      </c>
      <c r="AJ41" s="122" t="e">
        <f t="shared" si="30"/>
        <v>#VALUE!</v>
      </c>
      <c r="AK41" s="122" t="e">
        <f t="shared" si="31"/>
        <v>#VALUE!</v>
      </c>
      <c r="AL41" s="122" t="str">
        <f t="shared" si="32"/>
        <v>x</v>
      </c>
      <c r="AM41" s="122">
        <f>SUM(AL42:AL$94)</f>
        <v>0</v>
      </c>
      <c r="AN41" s="122">
        <f>SUM($AL$4:AL41)</f>
        <v>31215.543190081382</v>
      </c>
      <c r="AO41" s="122">
        <f t="shared" si="33"/>
        <v>31215.543190081382</v>
      </c>
      <c r="AP41" s="13" t="str">
        <f t="shared" si="35"/>
        <v>x</v>
      </c>
    </row>
    <row r="42" spans="1:42" x14ac:dyDescent="0.25">
      <c r="A42" s="7">
        <f t="shared" si="9"/>
        <v>38</v>
      </c>
      <c r="B42" s="122" t="str">
        <f>IF((A42&lt;='Alternative 1'!$B$12),B41+1,"x")</f>
        <v>x</v>
      </c>
      <c r="C42" s="74" t="e">
        <f>'Alternative 1'!I41</f>
        <v>#VALUE!</v>
      </c>
      <c r="D42" s="74" t="e">
        <f>'Alternative 1'!J41</f>
        <v>#VALUE!</v>
      </c>
      <c r="E42" s="122" t="e">
        <f t="shared" si="18"/>
        <v>#VALUE!</v>
      </c>
      <c r="F42" s="122" t="e">
        <f t="shared" si="19"/>
        <v>#VALUE!</v>
      </c>
      <c r="G42" s="122" t="e">
        <f t="shared" si="20"/>
        <v>#VALUE!</v>
      </c>
      <c r="H42" s="122" t="str">
        <f t="shared" si="21"/>
        <v>x</v>
      </c>
      <c r="I42" s="122">
        <f>SUM(H43:H$94)</f>
        <v>0</v>
      </c>
      <c r="J42" s="122">
        <f>SUM($H$4:H42)</f>
        <v>31215.543190081382</v>
      </c>
      <c r="K42" s="122">
        <f t="shared" si="22"/>
        <v>31215.543190081382</v>
      </c>
      <c r="L42" s="122" t="str">
        <f t="shared" si="23"/>
        <v>x</v>
      </c>
      <c r="P42" s="7">
        <f t="shared" si="36"/>
        <v>38</v>
      </c>
      <c r="Q42" s="122" t="str">
        <f>IF((AE42&lt;='Alternative 2'!$B$12),AF41+1,"x")</f>
        <v>x</v>
      </c>
      <c r="R42" s="74" t="e">
        <f>'Alternative 2'!I41</f>
        <v>#VALUE!</v>
      </c>
      <c r="S42" s="74" t="e">
        <f>'Alternative 2'!J41</f>
        <v>#VALUE!</v>
      </c>
      <c r="T42" s="122" t="e">
        <f t="shared" si="24"/>
        <v>#VALUE!</v>
      </c>
      <c r="U42" s="122" t="e">
        <f t="shared" si="25"/>
        <v>#VALUE!</v>
      </c>
      <c r="V42" s="122" t="e">
        <f t="shared" si="26"/>
        <v>#VALUE!</v>
      </c>
      <c r="W42" s="122" t="str">
        <f t="shared" si="27"/>
        <v>x</v>
      </c>
      <c r="X42" s="122">
        <f>SUM(W43:W$94)</f>
        <v>0</v>
      </c>
      <c r="Y42" s="122">
        <f>SUM($W$4:W42)</f>
        <v>31215.543190081382</v>
      </c>
      <c r="Z42" s="122">
        <f t="shared" si="28"/>
        <v>31215.543190081382</v>
      </c>
      <c r="AA42" s="13" t="str">
        <f t="shared" si="34"/>
        <v>x</v>
      </c>
      <c r="AE42" s="7">
        <f t="shared" si="37"/>
        <v>38</v>
      </c>
      <c r="AF42" s="122" t="str">
        <f>IF((AE42&lt;='Alternative 3'!$B$12),AF41+1,"x")</f>
        <v>x</v>
      </c>
      <c r="AG42" s="74" t="e">
        <f>'Alternative 3'!I41</f>
        <v>#VALUE!</v>
      </c>
      <c r="AH42" s="74" t="e">
        <f>'Alternative 3'!J41</f>
        <v>#VALUE!</v>
      </c>
      <c r="AI42" s="122" t="e">
        <f t="shared" si="29"/>
        <v>#VALUE!</v>
      </c>
      <c r="AJ42" s="122" t="e">
        <f t="shared" si="30"/>
        <v>#VALUE!</v>
      </c>
      <c r="AK42" s="122" t="e">
        <f t="shared" si="31"/>
        <v>#VALUE!</v>
      </c>
      <c r="AL42" s="122" t="str">
        <f t="shared" si="32"/>
        <v>x</v>
      </c>
      <c r="AM42" s="122">
        <f>SUM(AL43:AL$94)</f>
        <v>0</v>
      </c>
      <c r="AN42" s="122">
        <f>SUM($AL$4:AL42)</f>
        <v>31215.543190081382</v>
      </c>
      <c r="AO42" s="122">
        <f t="shared" si="33"/>
        <v>31215.543190081382</v>
      </c>
      <c r="AP42" s="13" t="str">
        <f t="shared" si="35"/>
        <v>x</v>
      </c>
    </row>
    <row r="43" spans="1:42" x14ac:dyDescent="0.25">
      <c r="A43" s="7">
        <f t="shared" si="9"/>
        <v>39</v>
      </c>
      <c r="B43" s="122" t="str">
        <f>IF((A43&lt;='Alternative 1'!$B$12),B42+1,"x")</f>
        <v>x</v>
      </c>
      <c r="C43" s="74" t="e">
        <f>'Alternative 1'!I42</f>
        <v>#VALUE!</v>
      </c>
      <c r="D43" s="74" t="e">
        <f>'Alternative 1'!J42</f>
        <v>#VALUE!</v>
      </c>
      <c r="E43" s="122" t="e">
        <f t="shared" si="18"/>
        <v>#VALUE!</v>
      </c>
      <c r="F43" s="122" t="e">
        <f t="shared" si="19"/>
        <v>#VALUE!</v>
      </c>
      <c r="G43" s="122" t="e">
        <f t="shared" si="20"/>
        <v>#VALUE!</v>
      </c>
      <c r="H43" s="122" t="str">
        <f t="shared" si="21"/>
        <v>x</v>
      </c>
      <c r="I43" s="122">
        <f>SUM(H44:H$94)</f>
        <v>0</v>
      </c>
      <c r="J43" s="122">
        <f>SUM($H$4:H43)</f>
        <v>31215.543190081382</v>
      </c>
      <c r="K43" s="122">
        <f t="shared" si="22"/>
        <v>31215.543190081382</v>
      </c>
      <c r="L43" s="122" t="str">
        <f t="shared" si="23"/>
        <v>x</v>
      </c>
      <c r="P43" s="7">
        <f t="shared" si="36"/>
        <v>39</v>
      </c>
      <c r="Q43" s="122" t="str">
        <f>IF((AE43&lt;='Alternative 2'!$B$12),AF42+1,"x")</f>
        <v>x</v>
      </c>
      <c r="R43" s="74" t="e">
        <f>'Alternative 2'!I42</f>
        <v>#VALUE!</v>
      </c>
      <c r="S43" s="74" t="e">
        <f>'Alternative 2'!J42</f>
        <v>#VALUE!</v>
      </c>
      <c r="T43" s="122" t="e">
        <f t="shared" si="24"/>
        <v>#VALUE!</v>
      </c>
      <c r="U43" s="122" t="e">
        <f t="shared" si="25"/>
        <v>#VALUE!</v>
      </c>
      <c r="V43" s="122" t="e">
        <f t="shared" si="26"/>
        <v>#VALUE!</v>
      </c>
      <c r="W43" s="122" t="str">
        <f t="shared" si="27"/>
        <v>x</v>
      </c>
      <c r="X43" s="122">
        <f>SUM(W44:W$94)</f>
        <v>0</v>
      </c>
      <c r="Y43" s="122">
        <f>SUM($W$4:W43)</f>
        <v>31215.543190081382</v>
      </c>
      <c r="Z43" s="122">
        <f t="shared" si="28"/>
        <v>31215.543190081382</v>
      </c>
      <c r="AA43" s="13" t="str">
        <f t="shared" si="34"/>
        <v>x</v>
      </c>
      <c r="AE43" s="7">
        <f t="shared" si="37"/>
        <v>39</v>
      </c>
      <c r="AF43" s="122" t="str">
        <f>IF((AE43&lt;='Alternative 3'!$B$12),AF42+1,"x")</f>
        <v>x</v>
      </c>
      <c r="AG43" s="74" t="e">
        <f>'Alternative 3'!I42</f>
        <v>#VALUE!</v>
      </c>
      <c r="AH43" s="74" t="e">
        <f>'Alternative 3'!J42</f>
        <v>#VALUE!</v>
      </c>
      <c r="AI43" s="122" t="e">
        <f t="shared" si="29"/>
        <v>#VALUE!</v>
      </c>
      <c r="AJ43" s="122" t="e">
        <f t="shared" si="30"/>
        <v>#VALUE!</v>
      </c>
      <c r="AK43" s="122" t="e">
        <f t="shared" si="31"/>
        <v>#VALUE!</v>
      </c>
      <c r="AL43" s="122" t="str">
        <f t="shared" si="32"/>
        <v>x</v>
      </c>
      <c r="AM43" s="122">
        <f>SUM(AL44:AL$94)</f>
        <v>0</v>
      </c>
      <c r="AN43" s="122">
        <f>SUM($AL$4:AL43)</f>
        <v>31215.543190081382</v>
      </c>
      <c r="AO43" s="122">
        <f t="shared" si="33"/>
        <v>31215.543190081382</v>
      </c>
      <c r="AP43" s="13" t="str">
        <f t="shared" si="35"/>
        <v>x</v>
      </c>
    </row>
    <row r="44" spans="1:42" x14ac:dyDescent="0.25">
      <c r="A44" s="7">
        <f t="shared" si="9"/>
        <v>40</v>
      </c>
      <c r="B44" s="122" t="str">
        <f>IF((A44&lt;='Alternative 1'!$B$12),B43+1,"x")</f>
        <v>x</v>
      </c>
      <c r="C44" s="74" t="e">
        <f>'Alternative 1'!I43</f>
        <v>#VALUE!</v>
      </c>
      <c r="D44" s="74" t="e">
        <f>'Alternative 1'!J43</f>
        <v>#VALUE!</v>
      </c>
      <c r="E44" s="122" t="e">
        <f t="shared" si="18"/>
        <v>#VALUE!</v>
      </c>
      <c r="F44" s="122" t="e">
        <f t="shared" si="19"/>
        <v>#VALUE!</v>
      </c>
      <c r="G44" s="122" t="e">
        <f t="shared" si="20"/>
        <v>#VALUE!</v>
      </c>
      <c r="H44" s="122" t="str">
        <f t="shared" si="21"/>
        <v>x</v>
      </c>
      <c r="I44" s="122">
        <f>SUM(H45:H$94)</f>
        <v>0</v>
      </c>
      <c r="J44" s="122">
        <f>SUM($H$4:H44)</f>
        <v>31215.543190081382</v>
      </c>
      <c r="K44" s="122">
        <f t="shared" si="22"/>
        <v>31215.543190081382</v>
      </c>
      <c r="L44" s="122" t="str">
        <f t="shared" si="23"/>
        <v>x</v>
      </c>
      <c r="P44" s="7">
        <f t="shared" si="36"/>
        <v>40</v>
      </c>
      <c r="Q44" s="122" t="str">
        <f>IF((AE44&lt;='Alternative 2'!$B$12),AF43+1,"x")</f>
        <v>x</v>
      </c>
      <c r="R44" s="74" t="e">
        <f>'Alternative 2'!I43</f>
        <v>#VALUE!</v>
      </c>
      <c r="S44" s="74" t="e">
        <f>'Alternative 2'!J43</f>
        <v>#VALUE!</v>
      </c>
      <c r="T44" s="122" t="e">
        <f t="shared" si="24"/>
        <v>#VALUE!</v>
      </c>
      <c r="U44" s="122" t="e">
        <f t="shared" si="25"/>
        <v>#VALUE!</v>
      </c>
      <c r="V44" s="122" t="e">
        <f t="shared" si="26"/>
        <v>#VALUE!</v>
      </c>
      <c r="W44" s="122" t="str">
        <f t="shared" si="27"/>
        <v>x</v>
      </c>
      <c r="X44" s="122">
        <f>SUM(W45:W$94)</f>
        <v>0</v>
      </c>
      <c r="Y44" s="122">
        <f>SUM($W$4:W44)</f>
        <v>31215.543190081382</v>
      </c>
      <c r="Z44" s="122">
        <f t="shared" si="28"/>
        <v>31215.543190081382</v>
      </c>
      <c r="AA44" s="13" t="str">
        <f t="shared" si="34"/>
        <v>x</v>
      </c>
      <c r="AE44" s="7">
        <f t="shared" si="37"/>
        <v>40</v>
      </c>
      <c r="AF44" s="122" t="str">
        <f>IF((AE44&lt;='Alternative 3'!$B$12),AF43+1,"x")</f>
        <v>x</v>
      </c>
      <c r="AG44" s="74" t="e">
        <f>'Alternative 3'!I43</f>
        <v>#VALUE!</v>
      </c>
      <c r="AH44" s="74" t="e">
        <f>'Alternative 3'!J43</f>
        <v>#VALUE!</v>
      </c>
      <c r="AI44" s="122" t="e">
        <f t="shared" si="29"/>
        <v>#VALUE!</v>
      </c>
      <c r="AJ44" s="122" t="e">
        <f t="shared" si="30"/>
        <v>#VALUE!</v>
      </c>
      <c r="AK44" s="122" t="e">
        <f t="shared" si="31"/>
        <v>#VALUE!</v>
      </c>
      <c r="AL44" s="122" t="str">
        <f t="shared" si="32"/>
        <v>x</v>
      </c>
      <c r="AM44" s="122">
        <f>SUM(AL45:AL$94)</f>
        <v>0</v>
      </c>
      <c r="AN44" s="122">
        <f>SUM($AL$4:AL44)</f>
        <v>31215.543190081382</v>
      </c>
      <c r="AO44" s="122">
        <f t="shared" si="33"/>
        <v>31215.543190081382</v>
      </c>
      <c r="AP44" s="13" t="str">
        <f t="shared" si="35"/>
        <v>x</v>
      </c>
    </row>
    <row r="45" spans="1:42" x14ac:dyDescent="0.25">
      <c r="A45" s="7">
        <f t="shared" si="9"/>
        <v>41</v>
      </c>
      <c r="B45" s="122" t="str">
        <f>IF((A45&lt;='Alternative 1'!$B$12),B44+1,"x")</f>
        <v>x</v>
      </c>
      <c r="C45" s="74" t="e">
        <f>'Alternative 1'!I44</f>
        <v>#VALUE!</v>
      </c>
      <c r="D45" s="74" t="e">
        <f>'Alternative 1'!J44</f>
        <v>#VALUE!</v>
      </c>
      <c r="E45" s="122" t="e">
        <f t="shared" si="18"/>
        <v>#VALUE!</v>
      </c>
      <c r="F45" s="122" t="e">
        <f t="shared" si="19"/>
        <v>#VALUE!</v>
      </c>
      <c r="G45" s="122" t="e">
        <f t="shared" si="20"/>
        <v>#VALUE!</v>
      </c>
      <c r="H45" s="122" t="str">
        <f t="shared" si="21"/>
        <v>x</v>
      </c>
      <c r="I45" s="122">
        <f>SUM(H46:H$94)</f>
        <v>0</v>
      </c>
      <c r="J45" s="122">
        <f>SUM($H$4:H45)</f>
        <v>31215.543190081382</v>
      </c>
      <c r="K45" s="122">
        <f t="shared" si="22"/>
        <v>31215.543190081382</v>
      </c>
      <c r="L45" s="122" t="str">
        <f t="shared" si="23"/>
        <v>x</v>
      </c>
      <c r="P45" s="7">
        <f t="shared" si="36"/>
        <v>41</v>
      </c>
      <c r="Q45" s="122" t="str">
        <f>IF((AE45&lt;='Alternative 2'!$B$12),AF44+1,"x")</f>
        <v>x</v>
      </c>
      <c r="R45" s="74" t="e">
        <f>'Alternative 2'!I44</f>
        <v>#VALUE!</v>
      </c>
      <c r="S45" s="74" t="e">
        <f>'Alternative 2'!J44</f>
        <v>#VALUE!</v>
      </c>
      <c r="T45" s="122" t="e">
        <f t="shared" si="24"/>
        <v>#VALUE!</v>
      </c>
      <c r="U45" s="122" t="e">
        <f t="shared" si="25"/>
        <v>#VALUE!</v>
      </c>
      <c r="V45" s="122" t="e">
        <f t="shared" si="26"/>
        <v>#VALUE!</v>
      </c>
      <c r="W45" s="122" t="str">
        <f t="shared" si="27"/>
        <v>x</v>
      </c>
      <c r="X45" s="122">
        <f>SUM(W46:W$94)</f>
        <v>0</v>
      </c>
      <c r="Y45" s="122">
        <f>SUM($W$4:W45)</f>
        <v>31215.543190081382</v>
      </c>
      <c r="Z45" s="122">
        <f t="shared" si="28"/>
        <v>31215.543190081382</v>
      </c>
      <c r="AA45" s="13" t="str">
        <f t="shared" si="34"/>
        <v>x</v>
      </c>
      <c r="AE45" s="7">
        <f t="shared" si="37"/>
        <v>41</v>
      </c>
      <c r="AF45" s="122" t="str">
        <f>IF((AE45&lt;='Alternative 3'!$B$12),AF44+1,"x")</f>
        <v>x</v>
      </c>
      <c r="AG45" s="74" t="e">
        <f>'Alternative 3'!I44</f>
        <v>#VALUE!</v>
      </c>
      <c r="AH45" s="74" t="e">
        <f>'Alternative 3'!J44</f>
        <v>#VALUE!</v>
      </c>
      <c r="AI45" s="122" t="e">
        <f t="shared" si="29"/>
        <v>#VALUE!</v>
      </c>
      <c r="AJ45" s="122" t="e">
        <f t="shared" si="30"/>
        <v>#VALUE!</v>
      </c>
      <c r="AK45" s="122" t="e">
        <f t="shared" si="31"/>
        <v>#VALUE!</v>
      </c>
      <c r="AL45" s="122" t="str">
        <f t="shared" si="32"/>
        <v>x</v>
      </c>
      <c r="AM45" s="122">
        <f>SUM(AL46:AL$94)</f>
        <v>0</v>
      </c>
      <c r="AN45" s="122">
        <f>SUM($AL$4:AL45)</f>
        <v>31215.543190081382</v>
      </c>
      <c r="AO45" s="122">
        <f t="shared" si="33"/>
        <v>31215.543190081382</v>
      </c>
      <c r="AP45" s="13" t="str">
        <f t="shared" si="35"/>
        <v>x</v>
      </c>
    </row>
    <row r="46" spans="1:42" x14ac:dyDescent="0.25">
      <c r="A46" s="7">
        <f t="shared" si="9"/>
        <v>42</v>
      </c>
      <c r="B46" s="122" t="str">
        <f>IF((A46&lt;='Alternative 1'!$B$12),B45+1,"x")</f>
        <v>x</v>
      </c>
      <c r="C46" s="74" t="e">
        <f>'Alternative 1'!I45</f>
        <v>#VALUE!</v>
      </c>
      <c r="D46" s="74" t="e">
        <f>'Alternative 1'!J45</f>
        <v>#VALUE!</v>
      </c>
      <c r="E46" s="122" t="e">
        <f t="shared" si="18"/>
        <v>#VALUE!</v>
      </c>
      <c r="F46" s="122" t="e">
        <f t="shared" si="19"/>
        <v>#VALUE!</v>
      </c>
      <c r="G46" s="122" t="e">
        <f t="shared" si="20"/>
        <v>#VALUE!</v>
      </c>
      <c r="H46" s="122" t="str">
        <f t="shared" si="21"/>
        <v>x</v>
      </c>
      <c r="I46" s="122">
        <f>SUM(H47:H$94)</f>
        <v>0</v>
      </c>
      <c r="J46" s="122">
        <f>SUM($H$4:H46)</f>
        <v>31215.543190081382</v>
      </c>
      <c r="K46" s="122">
        <f t="shared" si="22"/>
        <v>31215.543190081382</v>
      </c>
      <c r="L46" s="122" t="str">
        <f t="shared" si="23"/>
        <v>x</v>
      </c>
      <c r="P46" s="7">
        <f t="shared" si="36"/>
        <v>42</v>
      </c>
      <c r="Q46" s="122" t="str">
        <f>IF((AE46&lt;='Alternative 2'!$B$12),AF45+1,"x")</f>
        <v>x</v>
      </c>
      <c r="R46" s="74" t="e">
        <f>'Alternative 2'!I45</f>
        <v>#VALUE!</v>
      </c>
      <c r="S46" s="74" t="e">
        <f>'Alternative 2'!J45</f>
        <v>#VALUE!</v>
      </c>
      <c r="T46" s="122" t="e">
        <f t="shared" si="24"/>
        <v>#VALUE!</v>
      </c>
      <c r="U46" s="122" t="e">
        <f t="shared" si="25"/>
        <v>#VALUE!</v>
      </c>
      <c r="V46" s="122" t="e">
        <f t="shared" si="26"/>
        <v>#VALUE!</v>
      </c>
      <c r="W46" s="122" t="str">
        <f t="shared" si="27"/>
        <v>x</v>
      </c>
      <c r="X46" s="122">
        <f>SUM(W47:W$94)</f>
        <v>0</v>
      </c>
      <c r="Y46" s="122">
        <f>SUM($W$4:W46)</f>
        <v>31215.543190081382</v>
      </c>
      <c r="Z46" s="122">
        <f t="shared" si="28"/>
        <v>31215.543190081382</v>
      </c>
      <c r="AA46" s="13" t="str">
        <f t="shared" si="34"/>
        <v>x</v>
      </c>
      <c r="AE46" s="7">
        <f t="shared" si="37"/>
        <v>42</v>
      </c>
      <c r="AF46" s="122" t="str">
        <f>IF((AE46&lt;='Alternative 3'!$B$12),AF45+1,"x")</f>
        <v>x</v>
      </c>
      <c r="AG46" s="74" t="e">
        <f>'Alternative 3'!I45</f>
        <v>#VALUE!</v>
      </c>
      <c r="AH46" s="74" t="e">
        <f>'Alternative 3'!J45</f>
        <v>#VALUE!</v>
      </c>
      <c r="AI46" s="122" t="e">
        <f t="shared" si="29"/>
        <v>#VALUE!</v>
      </c>
      <c r="AJ46" s="122" t="e">
        <f t="shared" si="30"/>
        <v>#VALUE!</v>
      </c>
      <c r="AK46" s="122" t="e">
        <f t="shared" si="31"/>
        <v>#VALUE!</v>
      </c>
      <c r="AL46" s="122" t="str">
        <f t="shared" si="32"/>
        <v>x</v>
      </c>
      <c r="AM46" s="122">
        <f>SUM(AL47:AL$94)</f>
        <v>0</v>
      </c>
      <c r="AN46" s="122">
        <f>SUM($AL$4:AL46)</f>
        <v>31215.543190081382</v>
      </c>
      <c r="AO46" s="122">
        <f t="shared" si="33"/>
        <v>31215.543190081382</v>
      </c>
      <c r="AP46" s="13" t="str">
        <f t="shared" si="35"/>
        <v>x</v>
      </c>
    </row>
    <row r="47" spans="1:42" x14ac:dyDescent="0.25">
      <c r="A47" s="7">
        <f t="shared" si="9"/>
        <v>43</v>
      </c>
      <c r="B47" s="122" t="str">
        <f>IF((A47&lt;='Alternative 1'!$B$12),B46+1,"x")</f>
        <v>x</v>
      </c>
      <c r="C47" s="74" t="e">
        <f>'Alternative 1'!I46</f>
        <v>#VALUE!</v>
      </c>
      <c r="D47" s="74" t="e">
        <f>'Alternative 1'!J46</f>
        <v>#VALUE!</v>
      </c>
      <c r="E47" s="122" t="e">
        <f t="shared" si="18"/>
        <v>#VALUE!</v>
      </c>
      <c r="F47" s="122" t="e">
        <f t="shared" si="19"/>
        <v>#VALUE!</v>
      </c>
      <c r="G47" s="122" t="e">
        <f t="shared" si="20"/>
        <v>#VALUE!</v>
      </c>
      <c r="H47" s="122" t="str">
        <f t="shared" si="21"/>
        <v>x</v>
      </c>
      <c r="I47" s="122">
        <f>SUM(H48:H$94)</f>
        <v>0</v>
      </c>
      <c r="J47" s="122">
        <f>SUM($H$4:H47)</f>
        <v>31215.543190081382</v>
      </c>
      <c r="K47" s="122">
        <f t="shared" si="22"/>
        <v>31215.543190081382</v>
      </c>
      <c r="L47" s="122" t="str">
        <f t="shared" si="23"/>
        <v>x</v>
      </c>
      <c r="P47" s="7">
        <f t="shared" si="36"/>
        <v>43</v>
      </c>
      <c r="Q47" s="122" t="str">
        <f>IF((AE47&lt;='Alternative 2'!$B$12),AF46+1,"x")</f>
        <v>x</v>
      </c>
      <c r="R47" s="74" t="e">
        <f>'Alternative 2'!I46</f>
        <v>#VALUE!</v>
      </c>
      <c r="S47" s="74" t="e">
        <f>'Alternative 2'!J46</f>
        <v>#VALUE!</v>
      </c>
      <c r="T47" s="122" t="e">
        <f t="shared" si="24"/>
        <v>#VALUE!</v>
      </c>
      <c r="U47" s="122" t="e">
        <f t="shared" si="25"/>
        <v>#VALUE!</v>
      </c>
      <c r="V47" s="122" t="e">
        <f t="shared" si="26"/>
        <v>#VALUE!</v>
      </c>
      <c r="W47" s="122" t="str">
        <f t="shared" si="27"/>
        <v>x</v>
      </c>
      <c r="X47" s="122">
        <f>SUM(W48:W$94)</f>
        <v>0</v>
      </c>
      <c r="Y47" s="122">
        <f>SUM($W$4:W47)</f>
        <v>31215.543190081382</v>
      </c>
      <c r="Z47" s="122">
        <f t="shared" si="28"/>
        <v>31215.543190081382</v>
      </c>
      <c r="AA47" s="13" t="str">
        <f t="shared" si="34"/>
        <v>x</v>
      </c>
      <c r="AE47" s="7">
        <f t="shared" si="37"/>
        <v>43</v>
      </c>
      <c r="AF47" s="122" t="str">
        <f>IF((AE47&lt;='Alternative 3'!$B$12),AF46+1,"x")</f>
        <v>x</v>
      </c>
      <c r="AG47" s="74" t="e">
        <f>'Alternative 3'!I46</f>
        <v>#VALUE!</v>
      </c>
      <c r="AH47" s="74" t="e">
        <f>'Alternative 3'!J46</f>
        <v>#VALUE!</v>
      </c>
      <c r="AI47" s="122" t="e">
        <f t="shared" si="29"/>
        <v>#VALUE!</v>
      </c>
      <c r="AJ47" s="122" t="e">
        <f t="shared" si="30"/>
        <v>#VALUE!</v>
      </c>
      <c r="AK47" s="122" t="e">
        <f t="shared" si="31"/>
        <v>#VALUE!</v>
      </c>
      <c r="AL47" s="122" t="str">
        <f t="shared" si="32"/>
        <v>x</v>
      </c>
      <c r="AM47" s="122">
        <f>SUM(AL48:AL$94)</f>
        <v>0</v>
      </c>
      <c r="AN47" s="122">
        <f>SUM($AL$4:AL47)</f>
        <v>31215.543190081382</v>
      </c>
      <c r="AO47" s="122">
        <f t="shared" si="33"/>
        <v>31215.543190081382</v>
      </c>
      <c r="AP47" s="13" t="str">
        <f t="shared" si="35"/>
        <v>x</v>
      </c>
    </row>
    <row r="48" spans="1:42" x14ac:dyDescent="0.25">
      <c r="A48" s="7">
        <f t="shared" si="9"/>
        <v>44</v>
      </c>
      <c r="B48" s="122" t="str">
        <f>IF((A48&lt;='Alternative 1'!$B$12),B47+1,"x")</f>
        <v>x</v>
      </c>
      <c r="C48" s="74" t="e">
        <f>'Alternative 1'!I47</f>
        <v>#VALUE!</v>
      </c>
      <c r="D48" s="74" t="e">
        <f>'Alternative 1'!J47</f>
        <v>#VALUE!</v>
      </c>
      <c r="E48" s="122" t="e">
        <f t="shared" si="18"/>
        <v>#VALUE!</v>
      </c>
      <c r="F48" s="122" t="e">
        <f t="shared" si="19"/>
        <v>#VALUE!</v>
      </c>
      <c r="G48" s="122" t="e">
        <f t="shared" si="20"/>
        <v>#VALUE!</v>
      </c>
      <c r="H48" s="122" t="str">
        <f t="shared" si="21"/>
        <v>x</v>
      </c>
      <c r="I48" s="122">
        <f>SUM(H49:H$94)</f>
        <v>0</v>
      </c>
      <c r="J48" s="122">
        <f>SUM($H$4:H48)</f>
        <v>31215.543190081382</v>
      </c>
      <c r="K48" s="122">
        <f t="shared" si="22"/>
        <v>31215.543190081382</v>
      </c>
      <c r="L48" s="122" t="str">
        <f t="shared" si="23"/>
        <v>x</v>
      </c>
      <c r="P48" s="7">
        <f t="shared" si="36"/>
        <v>44</v>
      </c>
      <c r="Q48" s="122" t="str">
        <f>IF((AE48&lt;='Alternative 2'!$B$12),AF47+1,"x")</f>
        <v>x</v>
      </c>
      <c r="R48" s="74" t="e">
        <f>'Alternative 2'!I47</f>
        <v>#VALUE!</v>
      </c>
      <c r="S48" s="74" t="e">
        <f>'Alternative 2'!J47</f>
        <v>#VALUE!</v>
      </c>
      <c r="T48" s="122" t="e">
        <f t="shared" si="24"/>
        <v>#VALUE!</v>
      </c>
      <c r="U48" s="122" t="e">
        <f t="shared" si="25"/>
        <v>#VALUE!</v>
      </c>
      <c r="V48" s="122" t="e">
        <f t="shared" si="26"/>
        <v>#VALUE!</v>
      </c>
      <c r="W48" s="122" t="str">
        <f t="shared" si="27"/>
        <v>x</v>
      </c>
      <c r="X48" s="122">
        <f>SUM(W49:W$94)</f>
        <v>0</v>
      </c>
      <c r="Y48" s="122">
        <f>SUM($W$4:W48)</f>
        <v>31215.543190081382</v>
      </c>
      <c r="Z48" s="122">
        <f t="shared" si="28"/>
        <v>31215.543190081382</v>
      </c>
      <c r="AA48" s="13" t="str">
        <f t="shared" si="34"/>
        <v>x</v>
      </c>
      <c r="AE48" s="7">
        <f t="shared" si="37"/>
        <v>44</v>
      </c>
      <c r="AF48" s="122" t="str">
        <f>IF((AE48&lt;='Alternative 3'!$B$12),AF47+1,"x")</f>
        <v>x</v>
      </c>
      <c r="AG48" s="74" t="e">
        <f>'Alternative 3'!I47</f>
        <v>#VALUE!</v>
      </c>
      <c r="AH48" s="74" t="e">
        <f>'Alternative 3'!J47</f>
        <v>#VALUE!</v>
      </c>
      <c r="AI48" s="122" t="e">
        <f t="shared" si="29"/>
        <v>#VALUE!</v>
      </c>
      <c r="AJ48" s="122" t="e">
        <f t="shared" si="30"/>
        <v>#VALUE!</v>
      </c>
      <c r="AK48" s="122" t="e">
        <f t="shared" si="31"/>
        <v>#VALUE!</v>
      </c>
      <c r="AL48" s="122" t="str">
        <f t="shared" si="32"/>
        <v>x</v>
      </c>
      <c r="AM48" s="122">
        <f>SUM(AL49:AL$94)</f>
        <v>0</v>
      </c>
      <c r="AN48" s="122">
        <f>SUM($AL$4:AL48)</f>
        <v>31215.543190081382</v>
      </c>
      <c r="AO48" s="122">
        <f t="shared" si="33"/>
        <v>31215.543190081382</v>
      </c>
      <c r="AP48" s="13" t="str">
        <f t="shared" si="35"/>
        <v>x</v>
      </c>
    </row>
    <row r="49" spans="1:42" x14ac:dyDescent="0.25">
      <c r="A49" s="7">
        <f t="shared" si="9"/>
        <v>45</v>
      </c>
      <c r="B49" s="122" t="str">
        <f>IF((A49&lt;='Alternative 1'!$B$12),B48+1,"x")</f>
        <v>x</v>
      </c>
      <c r="C49" s="74" t="e">
        <f>'Alternative 1'!I48</f>
        <v>#VALUE!</v>
      </c>
      <c r="D49" s="74" t="e">
        <f>'Alternative 1'!J48</f>
        <v>#VALUE!</v>
      </c>
      <c r="E49" s="122" t="e">
        <f t="shared" si="18"/>
        <v>#VALUE!</v>
      </c>
      <c r="F49" s="122" t="e">
        <f t="shared" si="19"/>
        <v>#VALUE!</v>
      </c>
      <c r="G49" s="122" t="e">
        <f t="shared" si="20"/>
        <v>#VALUE!</v>
      </c>
      <c r="H49" s="122" t="str">
        <f t="shared" si="21"/>
        <v>x</v>
      </c>
      <c r="I49" s="122">
        <f>SUM(H50:H$94)</f>
        <v>0</v>
      </c>
      <c r="J49" s="122">
        <f>SUM($H$4:H49)</f>
        <v>31215.543190081382</v>
      </c>
      <c r="K49" s="122">
        <f t="shared" si="22"/>
        <v>31215.543190081382</v>
      </c>
      <c r="L49" s="122" t="str">
        <f t="shared" si="23"/>
        <v>x</v>
      </c>
      <c r="P49" s="7">
        <f t="shared" si="36"/>
        <v>45</v>
      </c>
      <c r="Q49" s="122" t="str">
        <f>IF((AE49&lt;='Alternative 2'!$B$12),AF48+1,"x")</f>
        <v>x</v>
      </c>
      <c r="R49" s="74" t="e">
        <f>'Alternative 2'!I48</f>
        <v>#VALUE!</v>
      </c>
      <c r="S49" s="74" t="e">
        <f>'Alternative 2'!J48</f>
        <v>#VALUE!</v>
      </c>
      <c r="T49" s="122" t="e">
        <f t="shared" si="24"/>
        <v>#VALUE!</v>
      </c>
      <c r="U49" s="122" t="e">
        <f t="shared" si="25"/>
        <v>#VALUE!</v>
      </c>
      <c r="V49" s="122" t="e">
        <f t="shared" si="26"/>
        <v>#VALUE!</v>
      </c>
      <c r="W49" s="122" t="str">
        <f t="shared" si="27"/>
        <v>x</v>
      </c>
      <c r="X49" s="122">
        <f>SUM(W50:W$94)</f>
        <v>0</v>
      </c>
      <c r="Y49" s="122">
        <f>SUM($W$4:W49)</f>
        <v>31215.543190081382</v>
      </c>
      <c r="Z49" s="122">
        <f t="shared" si="28"/>
        <v>31215.543190081382</v>
      </c>
      <c r="AA49" s="13" t="str">
        <f t="shared" si="34"/>
        <v>x</v>
      </c>
      <c r="AE49" s="7">
        <f t="shared" si="37"/>
        <v>45</v>
      </c>
      <c r="AF49" s="122" t="str">
        <f>IF((AE49&lt;='Alternative 3'!$B$12),AF48+1,"x")</f>
        <v>x</v>
      </c>
      <c r="AG49" s="74" t="e">
        <f>'Alternative 3'!I48</f>
        <v>#VALUE!</v>
      </c>
      <c r="AH49" s="74" t="e">
        <f>'Alternative 3'!J48</f>
        <v>#VALUE!</v>
      </c>
      <c r="AI49" s="122" t="e">
        <f t="shared" si="29"/>
        <v>#VALUE!</v>
      </c>
      <c r="AJ49" s="122" t="e">
        <f t="shared" si="30"/>
        <v>#VALUE!</v>
      </c>
      <c r="AK49" s="122" t="e">
        <f t="shared" si="31"/>
        <v>#VALUE!</v>
      </c>
      <c r="AL49" s="122" t="str">
        <f t="shared" si="32"/>
        <v>x</v>
      </c>
      <c r="AM49" s="122">
        <f>SUM(AL50:AL$94)</f>
        <v>0</v>
      </c>
      <c r="AN49" s="122">
        <f>SUM($AL$4:AL49)</f>
        <v>31215.543190081382</v>
      </c>
      <c r="AO49" s="122">
        <f t="shared" si="33"/>
        <v>31215.543190081382</v>
      </c>
      <c r="AP49" s="13" t="str">
        <f t="shared" si="35"/>
        <v>x</v>
      </c>
    </row>
    <row r="50" spans="1:42" x14ac:dyDescent="0.25">
      <c r="A50" s="7">
        <f t="shared" si="9"/>
        <v>46</v>
      </c>
      <c r="B50" s="122" t="str">
        <f>IF((A50&lt;='Alternative 1'!$B$12),B49+1,"x")</f>
        <v>x</v>
      </c>
      <c r="C50" s="74" t="e">
        <f>'Alternative 1'!I49</f>
        <v>#VALUE!</v>
      </c>
      <c r="D50" s="74" t="e">
        <f>'Alternative 1'!J49</f>
        <v>#VALUE!</v>
      </c>
      <c r="E50" s="122" t="e">
        <f t="shared" si="18"/>
        <v>#VALUE!</v>
      </c>
      <c r="F50" s="122" t="e">
        <f t="shared" si="19"/>
        <v>#VALUE!</v>
      </c>
      <c r="G50" s="122" t="e">
        <f t="shared" si="20"/>
        <v>#VALUE!</v>
      </c>
      <c r="H50" s="122" t="str">
        <f t="shared" si="21"/>
        <v>x</v>
      </c>
      <c r="I50" s="122">
        <f>SUM(H51:H$94)</f>
        <v>0</v>
      </c>
      <c r="J50" s="122">
        <f>SUM($H$4:H50)</f>
        <v>31215.543190081382</v>
      </c>
      <c r="K50" s="122">
        <f t="shared" si="22"/>
        <v>31215.543190081382</v>
      </c>
      <c r="L50" s="122" t="str">
        <f t="shared" si="23"/>
        <v>x</v>
      </c>
      <c r="P50" s="7">
        <f t="shared" si="36"/>
        <v>46</v>
      </c>
      <c r="Q50" s="122" t="str">
        <f>IF((AE50&lt;='Alternative 2'!$B$12),AF49+1,"x")</f>
        <v>x</v>
      </c>
      <c r="R50" s="74" t="e">
        <f>'Alternative 2'!I49</f>
        <v>#VALUE!</v>
      </c>
      <c r="S50" s="74" t="e">
        <f>'Alternative 2'!J49</f>
        <v>#VALUE!</v>
      </c>
      <c r="T50" s="122" t="e">
        <f t="shared" si="24"/>
        <v>#VALUE!</v>
      </c>
      <c r="U50" s="122" t="e">
        <f t="shared" si="25"/>
        <v>#VALUE!</v>
      </c>
      <c r="V50" s="122" t="e">
        <f t="shared" si="26"/>
        <v>#VALUE!</v>
      </c>
      <c r="W50" s="122" t="str">
        <f t="shared" si="27"/>
        <v>x</v>
      </c>
      <c r="X50" s="122">
        <f>SUM(W51:W$94)</f>
        <v>0</v>
      </c>
      <c r="Y50" s="122">
        <f>SUM($W$4:W50)</f>
        <v>31215.543190081382</v>
      </c>
      <c r="Z50" s="122">
        <f t="shared" si="28"/>
        <v>31215.543190081382</v>
      </c>
      <c r="AA50" s="13" t="str">
        <f t="shared" si="34"/>
        <v>x</v>
      </c>
      <c r="AE50" s="7">
        <f t="shared" si="37"/>
        <v>46</v>
      </c>
      <c r="AF50" s="122" t="str">
        <f>IF((AE50&lt;='Alternative 3'!$B$12),AF49+1,"x")</f>
        <v>x</v>
      </c>
      <c r="AG50" s="74" t="e">
        <f>'Alternative 3'!I49</f>
        <v>#VALUE!</v>
      </c>
      <c r="AH50" s="74" t="e">
        <f>'Alternative 3'!J49</f>
        <v>#VALUE!</v>
      </c>
      <c r="AI50" s="122" t="e">
        <f t="shared" si="29"/>
        <v>#VALUE!</v>
      </c>
      <c r="AJ50" s="122" t="e">
        <f t="shared" si="30"/>
        <v>#VALUE!</v>
      </c>
      <c r="AK50" s="122" t="e">
        <f t="shared" si="31"/>
        <v>#VALUE!</v>
      </c>
      <c r="AL50" s="122" t="str">
        <f t="shared" si="32"/>
        <v>x</v>
      </c>
      <c r="AM50" s="122">
        <f>SUM(AL51:AL$94)</f>
        <v>0</v>
      </c>
      <c r="AN50" s="122">
        <f>SUM($AL$4:AL50)</f>
        <v>31215.543190081382</v>
      </c>
      <c r="AO50" s="122">
        <f t="shared" si="33"/>
        <v>31215.543190081382</v>
      </c>
      <c r="AP50" s="13" t="str">
        <f t="shared" si="35"/>
        <v>x</v>
      </c>
    </row>
    <row r="51" spans="1:42" x14ac:dyDescent="0.25">
      <c r="A51" s="7">
        <f t="shared" si="9"/>
        <v>47</v>
      </c>
      <c r="B51" s="122" t="str">
        <f>IF((A51&lt;='Alternative 1'!$B$12),B50+1,"x")</f>
        <v>x</v>
      </c>
      <c r="C51" s="74" t="e">
        <f>'Alternative 1'!I50</f>
        <v>#VALUE!</v>
      </c>
      <c r="D51" s="74" t="e">
        <f>'Alternative 1'!J50</f>
        <v>#VALUE!</v>
      </c>
      <c r="E51" s="122" t="e">
        <f t="shared" si="18"/>
        <v>#VALUE!</v>
      </c>
      <c r="F51" s="122" t="e">
        <f t="shared" si="19"/>
        <v>#VALUE!</v>
      </c>
      <c r="G51" s="122" t="e">
        <f t="shared" si="20"/>
        <v>#VALUE!</v>
      </c>
      <c r="H51" s="122" t="str">
        <f t="shared" si="21"/>
        <v>x</v>
      </c>
      <c r="I51" s="122">
        <f>SUM(H52:H$94)</f>
        <v>0</v>
      </c>
      <c r="J51" s="122">
        <f>SUM($H$4:H51)</f>
        <v>31215.543190081382</v>
      </c>
      <c r="K51" s="122">
        <f t="shared" si="22"/>
        <v>31215.543190081382</v>
      </c>
      <c r="L51" s="122" t="str">
        <f t="shared" si="23"/>
        <v>x</v>
      </c>
      <c r="P51" s="7">
        <f t="shared" si="36"/>
        <v>47</v>
      </c>
      <c r="Q51" s="122" t="str">
        <f>IF((AE51&lt;='Alternative 2'!$B$12),AF50+1,"x")</f>
        <v>x</v>
      </c>
      <c r="R51" s="74" t="e">
        <f>'Alternative 2'!I50</f>
        <v>#VALUE!</v>
      </c>
      <c r="S51" s="74" t="e">
        <f>'Alternative 2'!J50</f>
        <v>#VALUE!</v>
      </c>
      <c r="T51" s="122" t="e">
        <f t="shared" si="24"/>
        <v>#VALUE!</v>
      </c>
      <c r="U51" s="122" t="e">
        <f t="shared" si="25"/>
        <v>#VALUE!</v>
      </c>
      <c r="V51" s="122" t="e">
        <f t="shared" si="26"/>
        <v>#VALUE!</v>
      </c>
      <c r="W51" s="122" t="str">
        <f t="shared" si="27"/>
        <v>x</v>
      </c>
      <c r="X51" s="122">
        <f>SUM(W52:W$94)</f>
        <v>0</v>
      </c>
      <c r="Y51" s="122">
        <f>SUM($W$4:W51)</f>
        <v>31215.543190081382</v>
      </c>
      <c r="Z51" s="122">
        <f t="shared" si="28"/>
        <v>31215.543190081382</v>
      </c>
      <c r="AA51" s="13" t="str">
        <f t="shared" si="34"/>
        <v>x</v>
      </c>
      <c r="AE51" s="7">
        <f t="shared" si="37"/>
        <v>47</v>
      </c>
      <c r="AF51" s="122" t="str">
        <f>IF((AE51&lt;='Alternative 3'!$B$12),AF50+1,"x")</f>
        <v>x</v>
      </c>
      <c r="AG51" s="74" t="e">
        <f>'Alternative 3'!I50</f>
        <v>#VALUE!</v>
      </c>
      <c r="AH51" s="74" t="e">
        <f>'Alternative 3'!J50</f>
        <v>#VALUE!</v>
      </c>
      <c r="AI51" s="122" t="e">
        <f t="shared" si="29"/>
        <v>#VALUE!</v>
      </c>
      <c r="AJ51" s="122" t="e">
        <f t="shared" si="30"/>
        <v>#VALUE!</v>
      </c>
      <c r="AK51" s="122" t="e">
        <f t="shared" si="31"/>
        <v>#VALUE!</v>
      </c>
      <c r="AL51" s="122" t="str">
        <f t="shared" si="32"/>
        <v>x</v>
      </c>
      <c r="AM51" s="122">
        <f>SUM(AL52:AL$94)</f>
        <v>0</v>
      </c>
      <c r="AN51" s="122">
        <f>SUM($AL$4:AL51)</f>
        <v>31215.543190081382</v>
      </c>
      <c r="AO51" s="122">
        <f t="shared" si="33"/>
        <v>31215.543190081382</v>
      </c>
      <c r="AP51" s="13" t="str">
        <f t="shared" si="35"/>
        <v>x</v>
      </c>
    </row>
    <row r="52" spans="1:42" x14ac:dyDescent="0.25">
      <c r="A52" s="7">
        <f t="shared" si="9"/>
        <v>48</v>
      </c>
      <c r="B52" s="122" t="str">
        <f>IF((A52&lt;='Alternative 1'!$B$12),B51+1,"x")</f>
        <v>x</v>
      </c>
      <c r="C52" s="74" t="e">
        <f>'Alternative 1'!I51</f>
        <v>#VALUE!</v>
      </c>
      <c r="D52" s="74" t="e">
        <f>'Alternative 1'!J51</f>
        <v>#VALUE!</v>
      </c>
      <c r="E52" s="122" t="e">
        <f t="shared" si="18"/>
        <v>#VALUE!</v>
      </c>
      <c r="F52" s="122" t="e">
        <f t="shared" si="19"/>
        <v>#VALUE!</v>
      </c>
      <c r="G52" s="122" t="e">
        <f t="shared" si="20"/>
        <v>#VALUE!</v>
      </c>
      <c r="H52" s="122" t="str">
        <f t="shared" si="21"/>
        <v>x</v>
      </c>
      <c r="I52" s="122">
        <f>SUM(H53:H$94)</f>
        <v>0</v>
      </c>
      <c r="J52" s="122">
        <f>SUM($H$4:H52)</f>
        <v>31215.543190081382</v>
      </c>
      <c r="K52" s="122">
        <f t="shared" si="22"/>
        <v>31215.543190081382</v>
      </c>
      <c r="L52" s="122" t="str">
        <f t="shared" si="23"/>
        <v>x</v>
      </c>
      <c r="P52" s="7">
        <f t="shared" si="36"/>
        <v>48</v>
      </c>
      <c r="Q52" s="122" t="str">
        <f>IF((AE52&lt;='Alternative 2'!$B$12),AF51+1,"x")</f>
        <v>x</v>
      </c>
      <c r="R52" s="74" t="e">
        <f>'Alternative 2'!I51</f>
        <v>#VALUE!</v>
      </c>
      <c r="S52" s="74" t="e">
        <f>'Alternative 2'!J51</f>
        <v>#VALUE!</v>
      </c>
      <c r="T52" s="122" t="e">
        <f t="shared" si="24"/>
        <v>#VALUE!</v>
      </c>
      <c r="U52" s="122" t="e">
        <f t="shared" si="25"/>
        <v>#VALUE!</v>
      </c>
      <c r="V52" s="122" t="e">
        <f t="shared" si="26"/>
        <v>#VALUE!</v>
      </c>
      <c r="W52" s="122" t="str">
        <f t="shared" si="27"/>
        <v>x</v>
      </c>
      <c r="X52" s="122">
        <f>SUM(W53:W$94)</f>
        <v>0</v>
      </c>
      <c r="Y52" s="122">
        <f>SUM($W$4:W52)</f>
        <v>31215.543190081382</v>
      </c>
      <c r="Z52" s="122">
        <f t="shared" si="28"/>
        <v>31215.543190081382</v>
      </c>
      <c r="AA52" s="13" t="str">
        <f t="shared" si="34"/>
        <v>x</v>
      </c>
      <c r="AE52" s="7">
        <f t="shared" si="37"/>
        <v>48</v>
      </c>
      <c r="AF52" s="122" t="str">
        <f>IF((AE52&lt;='Alternative 3'!$B$12),AF51+1,"x")</f>
        <v>x</v>
      </c>
      <c r="AG52" s="74" t="e">
        <f>'Alternative 3'!I51</f>
        <v>#VALUE!</v>
      </c>
      <c r="AH52" s="74" t="e">
        <f>'Alternative 3'!J51</f>
        <v>#VALUE!</v>
      </c>
      <c r="AI52" s="122" t="e">
        <f t="shared" si="29"/>
        <v>#VALUE!</v>
      </c>
      <c r="AJ52" s="122" t="e">
        <f t="shared" si="30"/>
        <v>#VALUE!</v>
      </c>
      <c r="AK52" s="122" t="e">
        <f t="shared" si="31"/>
        <v>#VALUE!</v>
      </c>
      <c r="AL52" s="122" t="str">
        <f t="shared" si="32"/>
        <v>x</v>
      </c>
      <c r="AM52" s="122">
        <f>SUM(AL53:AL$94)</f>
        <v>0</v>
      </c>
      <c r="AN52" s="122">
        <f>SUM($AL$4:AL52)</f>
        <v>31215.543190081382</v>
      </c>
      <c r="AO52" s="122">
        <f t="shared" si="33"/>
        <v>31215.543190081382</v>
      </c>
      <c r="AP52" s="13" t="str">
        <f t="shared" si="35"/>
        <v>x</v>
      </c>
    </row>
    <row r="53" spans="1:42" x14ac:dyDescent="0.25">
      <c r="A53" s="7">
        <f t="shared" si="9"/>
        <v>49</v>
      </c>
      <c r="B53" s="122" t="str">
        <f>IF((A53&lt;='Alternative 1'!$B$12),B52+1,"x")</f>
        <v>x</v>
      </c>
      <c r="C53" s="74" t="e">
        <f>'Alternative 1'!I52</f>
        <v>#VALUE!</v>
      </c>
      <c r="D53" s="74" t="e">
        <f>'Alternative 1'!J52</f>
        <v>#VALUE!</v>
      </c>
      <c r="E53" s="122" t="e">
        <f t="shared" si="18"/>
        <v>#VALUE!</v>
      </c>
      <c r="F53" s="122" t="e">
        <f t="shared" si="19"/>
        <v>#VALUE!</v>
      </c>
      <c r="G53" s="122" t="e">
        <f t="shared" si="20"/>
        <v>#VALUE!</v>
      </c>
      <c r="H53" s="122" t="str">
        <f t="shared" si="21"/>
        <v>x</v>
      </c>
      <c r="I53" s="122">
        <f>SUM(H54:H$94)</f>
        <v>0</v>
      </c>
      <c r="J53" s="122">
        <f>SUM($H$4:H53)</f>
        <v>31215.543190081382</v>
      </c>
      <c r="K53" s="122">
        <f t="shared" si="22"/>
        <v>31215.543190081382</v>
      </c>
      <c r="L53" s="122" t="str">
        <f t="shared" si="23"/>
        <v>x</v>
      </c>
      <c r="P53" s="7">
        <f t="shared" si="36"/>
        <v>49</v>
      </c>
      <c r="Q53" s="122" t="str">
        <f>IF((AE53&lt;='Alternative 2'!$B$12),AF52+1,"x")</f>
        <v>x</v>
      </c>
      <c r="R53" s="74" t="e">
        <f>'Alternative 2'!I52</f>
        <v>#VALUE!</v>
      </c>
      <c r="S53" s="74" t="e">
        <f>'Alternative 2'!J52</f>
        <v>#VALUE!</v>
      </c>
      <c r="T53" s="122" t="e">
        <f t="shared" si="24"/>
        <v>#VALUE!</v>
      </c>
      <c r="U53" s="122" t="e">
        <f t="shared" si="25"/>
        <v>#VALUE!</v>
      </c>
      <c r="V53" s="122" t="e">
        <f t="shared" si="26"/>
        <v>#VALUE!</v>
      </c>
      <c r="W53" s="122" t="str">
        <f t="shared" si="27"/>
        <v>x</v>
      </c>
      <c r="X53" s="122">
        <f>SUM(W54:W$94)</f>
        <v>0</v>
      </c>
      <c r="Y53" s="122">
        <f>SUM($W$4:W53)</f>
        <v>31215.543190081382</v>
      </c>
      <c r="Z53" s="122">
        <f t="shared" si="28"/>
        <v>31215.543190081382</v>
      </c>
      <c r="AA53" s="13" t="str">
        <f t="shared" si="34"/>
        <v>x</v>
      </c>
      <c r="AE53" s="7">
        <f t="shared" si="37"/>
        <v>49</v>
      </c>
      <c r="AF53" s="122" t="str">
        <f>IF((AE53&lt;='Alternative 3'!$B$12),AF52+1,"x")</f>
        <v>x</v>
      </c>
      <c r="AG53" s="74" t="e">
        <f>'Alternative 3'!I52</f>
        <v>#VALUE!</v>
      </c>
      <c r="AH53" s="74" t="e">
        <f>'Alternative 3'!J52</f>
        <v>#VALUE!</v>
      </c>
      <c r="AI53" s="122" t="e">
        <f t="shared" si="29"/>
        <v>#VALUE!</v>
      </c>
      <c r="AJ53" s="122" t="e">
        <f t="shared" si="30"/>
        <v>#VALUE!</v>
      </c>
      <c r="AK53" s="122" t="e">
        <f t="shared" si="31"/>
        <v>#VALUE!</v>
      </c>
      <c r="AL53" s="122" t="str">
        <f t="shared" si="32"/>
        <v>x</v>
      </c>
      <c r="AM53" s="122">
        <f>SUM(AL54:AL$94)</f>
        <v>0</v>
      </c>
      <c r="AN53" s="122">
        <f>SUM($AL$4:AL53)</f>
        <v>31215.543190081382</v>
      </c>
      <c r="AO53" s="122">
        <f t="shared" si="33"/>
        <v>31215.543190081382</v>
      </c>
      <c r="AP53" s="13" t="str">
        <f t="shared" si="35"/>
        <v>x</v>
      </c>
    </row>
    <row r="54" spans="1:42" x14ac:dyDescent="0.25">
      <c r="A54" s="7">
        <f t="shared" si="9"/>
        <v>50</v>
      </c>
      <c r="B54" s="122" t="str">
        <f>IF((A54&lt;='Alternative 1'!$B$12),B53+1,"x")</f>
        <v>x</v>
      </c>
      <c r="C54" s="74" t="e">
        <f>'Alternative 1'!I53</f>
        <v>#VALUE!</v>
      </c>
      <c r="D54" s="74" t="e">
        <f>'Alternative 1'!J53</f>
        <v>#VALUE!</v>
      </c>
      <c r="E54" s="122" t="e">
        <f t="shared" si="18"/>
        <v>#VALUE!</v>
      </c>
      <c r="F54" s="122" t="e">
        <f t="shared" si="19"/>
        <v>#VALUE!</v>
      </c>
      <c r="G54" s="122" t="e">
        <f t="shared" si="20"/>
        <v>#VALUE!</v>
      </c>
      <c r="H54" s="122" t="str">
        <f t="shared" si="21"/>
        <v>x</v>
      </c>
      <c r="I54" s="122">
        <f>SUM(H55:H$94)</f>
        <v>0</v>
      </c>
      <c r="J54" s="122">
        <f>SUM($H$4:H54)</f>
        <v>31215.543190081382</v>
      </c>
      <c r="K54" s="122">
        <f t="shared" si="22"/>
        <v>31215.543190081382</v>
      </c>
      <c r="L54" s="122" t="str">
        <f t="shared" si="23"/>
        <v>x</v>
      </c>
      <c r="P54" s="7">
        <f t="shared" si="36"/>
        <v>50</v>
      </c>
      <c r="Q54" s="122" t="str">
        <f>IF((AE54&lt;='Alternative 2'!$B$12),AF53+1,"x")</f>
        <v>x</v>
      </c>
      <c r="R54" s="74" t="e">
        <f>'Alternative 2'!I53</f>
        <v>#VALUE!</v>
      </c>
      <c r="S54" s="74" t="e">
        <f>'Alternative 2'!J53</f>
        <v>#VALUE!</v>
      </c>
      <c r="T54" s="122" t="e">
        <f t="shared" si="24"/>
        <v>#VALUE!</v>
      </c>
      <c r="U54" s="122" t="e">
        <f t="shared" si="25"/>
        <v>#VALUE!</v>
      </c>
      <c r="V54" s="122" t="e">
        <f t="shared" si="26"/>
        <v>#VALUE!</v>
      </c>
      <c r="W54" s="122" t="str">
        <f t="shared" si="27"/>
        <v>x</v>
      </c>
      <c r="X54" s="122">
        <f>SUM(W55:W$94)</f>
        <v>0</v>
      </c>
      <c r="Y54" s="122">
        <f>SUM($W$4:W54)</f>
        <v>31215.543190081382</v>
      </c>
      <c r="Z54" s="122">
        <f t="shared" si="28"/>
        <v>31215.543190081382</v>
      </c>
      <c r="AA54" s="13" t="str">
        <f t="shared" si="34"/>
        <v>x</v>
      </c>
      <c r="AE54" s="7">
        <f t="shared" si="37"/>
        <v>50</v>
      </c>
      <c r="AF54" s="122" t="str">
        <f>IF((AE54&lt;='Alternative 3'!$B$12),AF53+1,"x")</f>
        <v>x</v>
      </c>
      <c r="AG54" s="74" t="e">
        <f>'Alternative 3'!I53</f>
        <v>#VALUE!</v>
      </c>
      <c r="AH54" s="74" t="e">
        <f>'Alternative 3'!J53</f>
        <v>#VALUE!</v>
      </c>
      <c r="AI54" s="122" t="e">
        <f t="shared" si="29"/>
        <v>#VALUE!</v>
      </c>
      <c r="AJ54" s="122" t="e">
        <f t="shared" si="30"/>
        <v>#VALUE!</v>
      </c>
      <c r="AK54" s="122" t="e">
        <f t="shared" si="31"/>
        <v>#VALUE!</v>
      </c>
      <c r="AL54" s="122" t="str">
        <f t="shared" si="32"/>
        <v>x</v>
      </c>
      <c r="AM54" s="122">
        <f>SUM(AL55:AL$94)</f>
        <v>0</v>
      </c>
      <c r="AN54" s="122">
        <f>SUM($AL$4:AL54)</f>
        <v>31215.543190081382</v>
      </c>
      <c r="AO54" s="122">
        <f t="shared" si="33"/>
        <v>31215.543190081382</v>
      </c>
      <c r="AP54" s="13" t="str">
        <f t="shared" si="35"/>
        <v>x</v>
      </c>
    </row>
    <row r="55" spans="1:42" x14ac:dyDescent="0.25">
      <c r="A55" s="7">
        <f t="shared" si="9"/>
        <v>51</v>
      </c>
      <c r="B55" s="122" t="str">
        <f>IF((A55&lt;='Alternative 1'!$B$12),B54+1,"x")</f>
        <v>x</v>
      </c>
      <c r="C55" s="74" t="e">
        <f>'Alternative 1'!I54</f>
        <v>#VALUE!</v>
      </c>
      <c r="D55" s="74" t="e">
        <f>'Alternative 1'!J54</f>
        <v>#VALUE!</v>
      </c>
      <c r="E55" s="122" t="e">
        <f t="shared" si="18"/>
        <v>#VALUE!</v>
      </c>
      <c r="F55" s="122" t="e">
        <f t="shared" si="19"/>
        <v>#VALUE!</v>
      </c>
      <c r="G55" s="122" t="e">
        <f t="shared" si="20"/>
        <v>#VALUE!</v>
      </c>
      <c r="H55" s="122" t="str">
        <f t="shared" si="21"/>
        <v>x</v>
      </c>
      <c r="I55" s="122">
        <f>SUM(H56:H$94)</f>
        <v>0</v>
      </c>
      <c r="J55" s="122">
        <f>SUM($H$4:H55)</f>
        <v>31215.543190081382</v>
      </c>
      <c r="K55" s="122">
        <f t="shared" si="22"/>
        <v>31215.543190081382</v>
      </c>
      <c r="L55" s="122" t="str">
        <f t="shared" si="23"/>
        <v>x</v>
      </c>
      <c r="P55" s="7">
        <f t="shared" si="36"/>
        <v>51</v>
      </c>
      <c r="Q55" s="122" t="str">
        <f>IF((AE55&lt;='Alternative 2'!$B$12),AF54+1,"x")</f>
        <v>x</v>
      </c>
      <c r="R55" s="74" t="e">
        <f>'Alternative 2'!I54</f>
        <v>#VALUE!</v>
      </c>
      <c r="S55" s="74" t="e">
        <f>'Alternative 2'!J54</f>
        <v>#VALUE!</v>
      </c>
      <c r="T55" s="122" t="e">
        <f t="shared" si="24"/>
        <v>#VALUE!</v>
      </c>
      <c r="U55" s="122" t="e">
        <f t="shared" si="25"/>
        <v>#VALUE!</v>
      </c>
      <c r="V55" s="122" t="e">
        <f t="shared" si="26"/>
        <v>#VALUE!</v>
      </c>
      <c r="W55" s="122" t="str">
        <f t="shared" si="27"/>
        <v>x</v>
      </c>
      <c r="X55" s="122">
        <f>SUM(W56:W$94)</f>
        <v>0</v>
      </c>
      <c r="Y55" s="122">
        <f>SUM($W$4:W55)</f>
        <v>31215.543190081382</v>
      </c>
      <c r="Z55" s="122">
        <f t="shared" si="28"/>
        <v>31215.543190081382</v>
      </c>
      <c r="AA55" s="13" t="str">
        <f t="shared" si="34"/>
        <v>x</v>
      </c>
      <c r="AE55" s="7">
        <f t="shared" si="37"/>
        <v>51</v>
      </c>
      <c r="AF55" s="122" t="str">
        <f>IF((AE55&lt;='Alternative 3'!$B$12),AF54+1,"x")</f>
        <v>x</v>
      </c>
      <c r="AG55" s="74" t="e">
        <f>'Alternative 3'!I54</f>
        <v>#VALUE!</v>
      </c>
      <c r="AH55" s="74" t="e">
        <f>'Alternative 3'!J54</f>
        <v>#VALUE!</v>
      </c>
      <c r="AI55" s="122" t="e">
        <f t="shared" si="29"/>
        <v>#VALUE!</v>
      </c>
      <c r="AJ55" s="122" t="e">
        <f t="shared" si="30"/>
        <v>#VALUE!</v>
      </c>
      <c r="AK55" s="122" t="e">
        <f t="shared" si="31"/>
        <v>#VALUE!</v>
      </c>
      <c r="AL55" s="122" t="str">
        <f t="shared" si="32"/>
        <v>x</v>
      </c>
      <c r="AM55" s="122">
        <f>SUM(AL56:AL$94)</f>
        <v>0</v>
      </c>
      <c r="AN55" s="122">
        <f>SUM($AL$4:AL55)</f>
        <v>31215.543190081382</v>
      </c>
      <c r="AO55" s="122">
        <f t="shared" si="33"/>
        <v>31215.543190081382</v>
      </c>
      <c r="AP55" s="13" t="str">
        <f t="shared" si="35"/>
        <v>x</v>
      </c>
    </row>
    <row r="56" spans="1:42" x14ac:dyDescent="0.25">
      <c r="A56" s="7">
        <f t="shared" si="9"/>
        <v>52</v>
      </c>
      <c r="B56" s="122" t="str">
        <f>IF((A56&lt;='Alternative 1'!$B$12),B55+1,"x")</f>
        <v>x</v>
      </c>
      <c r="C56" s="74" t="e">
        <f>'Alternative 1'!I55</f>
        <v>#VALUE!</v>
      </c>
      <c r="D56" s="74" t="e">
        <f>'Alternative 1'!J55</f>
        <v>#VALUE!</v>
      </c>
      <c r="E56" s="122" t="e">
        <f t="shared" si="18"/>
        <v>#VALUE!</v>
      </c>
      <c r="F56" s="122" t="e">
        <f t="shared" si="19"/>
        <v>#VALUE!</v>
      </c>
      <c r="G56" s="122" t="e">
        <f t="shared" si="20"/>
        <v>#VALUE!</v>
      </c>
      <c r="H56" s="122" t="str">
        <f t="shared" si="21"/>
        <v>x</v>
      </c>
      <c r="I56" s="122">
        <f>SUM(H57:H$94)</f>
        <v>0</v>
      </c>
      <c r="J56" s="122">
        <f>SUM($H$4:H56)</f>
        <v>31215.543190081382</v>
      </c>
      <c r="K56" s="122">
        <f t="shared" si="22"/>
        <v>31215.543190081382</v>
      </c>
      <c r="L56" s="122" t="str">
        <f t="shared" si="23"/>
        <v>x</v>
      </c>
      <c r="P56" s="7">
        <f t="shared" si="36"/>
        <v>52</v>
      </c>
      <c r="Q56" s="122" t="str">
        <f>IF((AE56&lt;='Alternative 2'!$B$12),AF55+1,"x")</f>
        <v>x</v>
      </c>
      <c r="R56" s="74" t="e">
        <f>'Alternative 2'!I55</f>
        <v>#VALUE!</v>
      </c>
      <c r="S56" s="74" t="e">
        <f>'Alternative 2'!J55</f>
        <v>#VALUE!</v>
      </c>
      <c r="T56" s="122" t="e">
        <f t="shared" si="24"/>
        <v>#VALUE!</v>
      </c>
      <c r="U56" s="122" t="e">
        <f t="shared" si="25"/>
        <v>#VALUE!</v>
      </c>
      <c r="V56" s="122" t="e">
        <f t="shared" si="26"/>
        <v>#VALUE!</v>
      </c>
      <c r="W56" s="122" t="str">
        <f t="shared" si="27"/>
        <v>x</v>
      </c>
      <c r="X56" s="122">
        <f>SUM(W57:W$94)</f>
        <v>0</v>
      </c>
      <c r="Y56" s="122">
        <f>SUM($W$4:W56)</f>
        <v>31215.543190081382</v>
      </c>
      <c r="Z56" s="122">
        <f t="shared" si="28"/>
        <v>31215.543190081382</v>
      </c>
      <c r="AA56" s="13" t="str">
        <f t="shared" si="34"/>
        <v>x</v>
      </c>
      <c r="AE56" s="7">
        <f t="shared" si="37"/>
        <v>52</v>
      </c>
      <c r="AF56" s="122" t="str">
        <f>IF((AE56&lt;='Alternative 3'!$B$12),AF55+1,"x")</f>
        <v>x</v>
      </c>
      <c r="AG56" s="74" t="e">
        <f>'Alternative 3'!I55</f>
        <v>#VALUE!</v>
      </c>
      <c r="AH56" s="74" t="e">
        <f>'Alternative 3'!J55</f>
        <v>#VALUE!</v>
      </c>
      <c r="AI56" s="122" t="e">
        <f t="shared" si="29"/>
        <v>#VALUE!</v>
      </c>
      <c r="AJ56" s="122" t="e">
        <f t="shared" si="30"/>
        <v>#VALUE!</v>
      </c>
      <c r="AK56" s="122" t="e">
        <f t="shared" si="31"/>
        <v>#VALUE!</v>
      </c>
      <c r="AL56" s="122" t="str">
        <f t="shared" si="32"/>
        <v>x</v>
      </c>
      <c r="AM56" s="122">
        <f>SUM(AL57:AL$94)</f>
        <v>0</v>
      </c>
      <c r="AN56" s="122">
        <f>SUM($AL$4:AL56)</f>
        <v>31215.543190081382</v>
      </c>
      <c r="AO56" s="122">
        <f t="shared" si="33"/>
        <v>31215.543190081382</v>
      </c>
      <c r="AP56" s="13" t="str">
        <f t="shared" si="35"/>
        <v>x</v>
      </c>
    </row>
    <row r="57" spans="1:42" x14ac:dyDescent="0.25">
      <c r="A57" s="7">
        <f t="shared" si="9"/>
        <v>53</v>
      </c>
      <c r="B57" s="122" t="str">
        <f>IF((A57&lt;='Alternative 1'!$B$12),B56+1,"x")</f>
        <v>x</v>
      </c>
      <c r="C57" s="74" t="e">
        <f>'Alternative 1'!I56</f>
        <v>#VALUE!</v>
      </c>
      <c r="D57" s="74" t="e">
        <f>'Alternative 1'!J56</f>
        <v>#VALUE!</v>
      </c>
      <c r="E57" s="122" t="e">
        <f t="shared" si="18"/>
        <v>#VALUE!</v>
      </c>
      <c r="F57" s="122" t="e">
        <f t="shared" si="19"/>
        <v>#VALUE!</v>
      </c>
      <c r="G57" s="122" t="e">
        <f t="shared" si="20"/>
        <v>#VALUE!</v>
      </c>
      <c r="H57" s="122" t="str">
        <f t="shared" si="21"/>
        <v>x</v>
      </c>
      <c r="I57" s="122">
        <f>SUM(H58:H$94)</f>
        <v>0</v>
      </c>
      <c r="J57" s="122">
        <f>SUM($H$4:H57)</f>
        <v>31215.543190081382</v>
      </c>
      <c r="K57" s="122">
        <f t="shared" si="22"/>
        <v>31215.543190081382</v>
      </c>
      <c r="L57" s="122" t="str">
        <f t="shared" si="23"/>
        <v>x</v>
      </c>
      <c r="P57" s="7">
        <f t="shared" si="36"/>
        <v>53</v>
      </c>
      <c r="Q57" s="122" t="str">
        <f>IF((AE57&lt;='Alternative 2'!$B$12),AF56+1,"x")</f>
        <v>x</v>
      </c>
      <c r="R57" s="74" t="e">
        <f>'Alternative 2'!I56</f>
        <v>#VALUE!</v>
      </c>
      <c r="S57" s="74" t="e">
        <f>'Alternative 2'!J56</f>
        <v>#VALUE!</v>
      </c>
      <c r="T57" s="122" t="e">
        <f t="shared" si="24"/>
        <v>#VALUE!</v>
      </c>
      <c r="U57" s="122" t="e">
        <f t="shared" si="25"/>
        <v>#VALUE!</v>
      </c>
      <c r="V57" s="122" t="e">
        <f t="shared" si="26"/>
        <v>#VALUE!</v>
      </c>
      <c r="W57" s="122" t="str">
        <f t="shared" si="27"/>
        <v>x</v>
      </c>
      <c r="X57" s="122">
        <f>SUM(W58:W$94)</f>
        <v>0</v>
      </c>
      <c r="Y57" s="122">
        <f>SUM($W$4:W57)</f>
        <v>31215.543190081382</v>
      </c>
      <c r="Z57" s="122">
        <f t="shared" si="28"/>
        <v>31215.543190081382</v>
      </c>
      <c r="AA57" s="13" t="str">
        <f t="shared" si="34"/>
        <v>x</v>
      </c>
      <c r="AE57" s="7">
        <f t="shared" si="37"/>
        <v>53</v>
      </c>
      <c r="AF57" s="122" t="str">
        <f>IF((AE57&lt;='Alternative 3'!$B$12),AF56+1,"x")</f>
        <v>x</v>
      </c>
      <c r="AG57" s="74" t="e">
        <f>'Alternative 3'!I56</f>
        <v>#VALUE!</v>
      </c>
      <c r="AH57" s="74" t="e">
        <f>'Alternative 3'!J56</f>
        <v>#VALUE!</v>
      </c>
      <c r="AI57" s="122" t="e">
        <f t="shared" si="29"/>
        <v>#VALUE!</v>
      </c>
      <c r="AJ57" s="122" t="e">
        <f t="shared" si="30"/>
        <v>#VALUE!</v>
      </c>
      <c r="AK57" s="122" t="e">
        <f t="shared" si="31"/>
        <v>#VALUE!</v>
      </c>
      <c r="AL57" s="122" t="str">
        <f t="shared" si="32"/>
        <v>x</v>
      </c>
      <c r="AM57" s="122">
        <f>SUM(AL58:AL$94)</f>
        <v>0</v>
      </c>
      <c r="AN57" s="122">
        <f>SUM($AL$4:AL57)</f>
        <v>31215.543190081382</v>
      </c>
      <c r="AO57" s="122">
        <f t="shared" si="33"/>
        <v>31215.543190081382</v>
      </c>
      <c r="AP57" s="13" t="str">
        <f t="shared" si="35"/>
        <v>x</v>
      </c>
    </row>
    <row r="58" spans="1:42" x14ac:dyDescent="0.25">
      <c r="A58" s="7">
        <f t="shared" si="9"/>
        <v>54</v>
      </c>
      <c r="B58" s="122" t="str">
        <f>IF((A58&lt;='Alternative 1'!$B$12),B57+1,"x")</f>
        <v>x</v>
      </c>
      <c r="C58" s="74" t="e">
        <f>'Alternative 1'!I57</f>
        <v>#VALUE!</v>
      </c>
      <c r="D58" s="74" t="e">
        <f>'Alternative 1'!J57</f>
        <v>#VALUE!</v>
      </c>
      <c r="E58" s="122" t="e">
        <f t="shared" si="18"/>
        <v>#VALUE!</v>
      </c>
      <c r="F58" s="122" t="e">
        <f t="shared" si="19"/>
        <v>#VALUE!</v>
      </c>
      <c r="G58" s="122" t="e">
        <f t="shared" si="20"/>
        <v>#VALUE!</v>
      </c>
      <c r="H58" s="122" t="str">
        <f t="shared" si="21"/>
        <v>x</v>
      </c>
      <c r="I58" s="122">
        <f>SUM(H59:H$94)</f>
        <v>0</v>
      </c>
      <c r="J58" s="122">
        <f>SUM($H$4:H58)</f>
        <v>31215.543190081382</v>
      </c>
      <c r="K58" s="122">
        <f t="shared" si="22"/>
        <v>31215.543190081382</v>
      </c>
      <c r="L58" s="122" t="str">
        <f t="shared" si="23"/>
        <v>x</v>
      </c>
      <c r="P58" s="7">
        <f t="shared" si="36"/>
        <v>54</v>
      </c>
      <c r="Q58" s="122" t="str">
        <f>IF((AE58&lt;='Alternative 2'!$B$12),AF57+1,"x")</f>
        <v>x</v>
      </c>
      <c r="R58" s="74" t="e">
        <f>'Alternative 2'!I57</f>
        <v>#VALUE!</v>
      </c>
      <c r="S58" s="74" t="e">
        <f>'Alternative 2'!J57</f>
        <v>#VALUE!</v>
      </c>
      <c r="T58" s="122" t="e">
        <f t="shared" si="24"/>
        <v>#VALUE!</v>
      </c>
      <c r="U58" s="122" t="e">
        <f t="shared" si="25"/>
        <v>#VALUE!</v>
      </c>
      <c r="V58" s="122" t="e">
        <f t="shared" si="26"/>
        <v>#VALUE!</v>
      </c>
      <c r="W58" s="122" t="str">
        <f t="shared" si="27"/>
        <v>x</v>
      </c>
      <c r="X58" s="122">
        <f>SUM(W59:W$94)</f>
        <v>0</v>
      </c>
      <c r="Y58" s="122">
        <f>SUM($W$4:W58)</f>
        <v>31215.543190081382</v>
      </c>
      <c r="Z58" s="122">
        <f t="shared" si="28"/>
        <v>31215.543190081382</v>
      </c>
      <c r="AA58" s="13" t="str">
        <f t="shared" si="34"/>
        <v>x</v>
      </c>
      <c r="AE58" s="7">
        <f t="shared" si="37"/>
        <v>54</v>
      </c>
      <c r="AF58" s="122" t="str">
        <f>IF((AE58&lt;='Alternative 3'!$B$12),AF57+1,"x")</f>
        <v>x</v>
      </c>
      <c r="AG58" s="74" t="e">
        <f>'Alternative 3'!I57</f>
        <v>#VALUE!</v>
      </c>
      <c r="AH58" s="74" t="e">
        <f>'Alternative 3'!J57</f>
        <v>#VALUE!</v>
      </c>
      <c r="AI58" s="122" t="e">
        <f t="shared" si="29"/>
        <v>#VALUE!</v>
      </c>
      <c r="AJ58" s="122" t="e">
        <f t="shared" si="30"/>
        <v>#VALUE!</v>
      </c>
      <c r="AK58" s="122" t="e">
        <f t="shared" si="31"/>
        <v>#VALUE!</v>
      </c>
      <c r="AL58" s="122" t="str">
        <f t="shared" si="32"/>
        <v>x</v>
      </c>
      <c r="AM58" s="122">
        <f>SUM(AL59:AL$94)</f>
        <v>0</v>
      </c>
      <c r="AN58" s="122">
        <f>SUM($AL$4:AL58)</f>
        <v>31215.543190081382</v>
      </c>
      <c r="AO58" s="122">
        <f t="shared" si="33"/>
        <v>31215.543190081382</v>
      </c>
      <c r="AP58" s="13" t="str">
        <f t="shared" si="35"/>
        <v>x</v>
      </c>
    </row>
    <row r="59" spans="1:42" x14ac:dyDescent="0.25">
      <c r="A59" s="7">
        <f t="shared" si="9"/>
        <v>55</v>
      </c>
      <c r="B59" s="122" t="str">
        <f>IF((A59&lt;='Alternative 1'!$B$12),B58+1,"x")</f>
        <v>x</v>
      </c>
      <c r="C59" s="74" t="e">
        <f>'Alternative 1'!I58</f>
        <v>#VALUE!</v>
      </c>
      <c r="D59" s="74" t="e">
        <f>'Alternative 1'!J58</f>
        <v>#VALUE!</v>
      </c>
      <c r="E59" s="122" t="e">
        <f t="shared" si="18"/>
        <v>#VALUE!</v>
      </c>
      <c r="F59" s="122" t="e">
        <f t="shared" si="19"/>
        <v>#VALUE!</v>
      </c>
      <c r="G59" s="122" t="e">
        <f t="shared" si="20"/>
        <v>#VALUE!</v>
      </c>
      <c r="H59" s="122" t="str">
        <f t="shared" si="21"/>
        <v>x</v>
      </c>
      <c r="I59" s="122">
        <f>SUM(H60:H$94)</f>
        <v>0</v>
      </c>
      <c r="J59" s="122">
        <f>SUM($H$4:H59)</f>
        <v>31215.543190081382</v>
      </c>
      <c r="K59" s="122">
        <f t="shared" si="22"/>
        <v>31215.543190081382</v>
      </c>
      <c r="L59" s="122" t="str">
        <f t="shared" si="23"/>
        <v>x</v>
      </c>
      <c r="P59" s="7">
        <f t="shared" si="36"/>
        <v>55</v>
      </c>
      <c r="Q59" s="122" t="str">
        <f>IF((AE59&lt;='Alternative 2'!$B$12),AF58+1,"x")</f>
        <v>x</v>
      </c>
      <c r="R59" s="74" t="e">
        <f>'Alternative 2'!I58</f>
        <v>#VALUE!</v>
      </c>
      <c r="S59" s="74" t="e">
        <f>'Alternative 2'!J58</f>
        <v>#VALUE!</v>
      </c>
      <c r="T59" s="122" t="e">
        <f t="shared" si="24"/>
        <v>#VALUE!</v>
      </c>
      <c r="U59" s="122" t="e">
        <f t="shared" si="25"/>
        <v>#VALUE!</v>
      </c>
      <c r="V59" s="122" t="e">
        <f t="shared" si="26"/>
        <v>#VALUE!</v>
      </c>
      <c r="W59" s="122" t="str">
        <f t="shared" si="27"/>
        <v>x</v>
      </c>
      <c r="X59" s="122">
        <f>SUM(W60:W$94)</f>
        <v>0</v>
      </c>
      <c r="Y59" s="122">
        <f>SUM($W$4:W59)</f>
        <v>31215.543190081382</v>
      </c>
      <c r="Z59" s="122">
        <f t="shared" si="28"/>
        <v>31215.543190081382</v>
      </c>
      <c r="AA59" s="13" t="str">
        <f t="shared" si="34"/>
        <v>x</v>
      </c>
      <c r="AE59" s="7">
        <f t="shared" si="37"/>
        <v>55</v>
      </c>
      <c r="AF59" s="122" t="str">
        <f>IF((AE59&lt;='Alternative 3'!$B$12),AF58+1,"x")</f>
        <v>x</v>
      </c>
      <c r="AG59" s="74" t="e">
        <f>'Alternative 3'!I58</f>
        <v>#VALUE!</v>
      </c>
      <c r="AH59" s="74" t="e">
        <f>'Alternative 3'!J58</f>
        <v>#VALUE!</v>
      </c>
      <c r="AI59" s="122" t="e">
        <f t="shared" si="29"/>
        <v>#VALUE!</v>
      </c>
      <c r="AJ59" s="122" t="e">
        <f t="shared" si="30"/>
        <v>#VALUE!</v>
      </c>
      <c r="AK59" s="122" t="e">
        <f t="shared" si="31"/>
        <v>#VALUE!</v>
      </c>
      <c r="AL59" s="122" t="str">
        <f t="shared" si="32"/>
        <v>x</v>
      </c>
      <c r="AM59" s="122">
        <f>SUM(AL60:AL$94)</f>
        <v>0</v>
      </c>
      <c r="AN59" s="122">
        <f>SUM($AL$4:AL59)</f>
        <v>31215.543190081382</v>
      </c>
      <c r="AO59" s="122">
        <f t="shared" si="33"/>
        <v>31215.543190081382</v>
      </c>
      <c r="AP59" s="13" t="str">
        <f t="shared" si="35"/>
        <v>x</v>
      </c>
    </row>
    <row r="60" spans="1:42" x14ac:dyDescent="0.25">
      <c r="A60" s="7">
        <f t="shared" si="9"/>
        <v>56</v>
      </c>
      <c r="B60" s="122" t="str">
        <f>IF((A60&lt;='Alternative 1'!$B$12),B59+1,"x")</f>
        <v>x</v>
      </c>
      <c r="C60" s="74" t="e">
        <f>'Alternative 1'!I59</f>
        <v>#VALUE!</v>
      </c>
      <c r="D60" s="74" t="e">
        <f>'Alternative 1'!J59</f>
        <v>#VALUE!</v>
      </c>
      <c r="E60" s="122" t="e">
        <f t="shared" si="18"/>
        <v>#VALUE!</v>
      </c>
      <c r="F60" s="122" t="e">
        <f t="shared" si="19"/>
        <v>#VALUE!</v>
      </c>
      <c r="G60" s="122" t="e">
        <f t="shared" si="20"/>
        <v>#VALUE!</v>
      </c>
      <c r="H60" s="122" t="str">
        <f t="shared" si="21"/>
        <v>x</v>
      </c>
      <c r="I60" s="122">
        <f>SUM(H61:H$94)</f>
        <v>0</v>
      </c>
      <c r="J60" s="122">
        <f>SUM($H$4:H60)</f>
        <v>31215.543190081382</v>
      </c>
      <c r="K60" s="122">
        <f t="shared" si="22"/>
        <v>31215.543190081382</v>
      </c>
      <c r="L60" s="122" t="str">
        <f t="shared" si="23"/>
        <v>x</v>
      </c>
      <c r="P60" s="7">
        <f t="shared" si="36"/>
        <v>56</v>
      </c>
      <c r="Q60" s="122" t="str">
        <f>IF((AE60&lt;='Alternative 2'!$B$12),AF59+1,"x")</f>
        <v>x</v>
      </c>
      <c r="R60" s="74" t="e">
        <f>'Alternative 2'!I59</f>
        <v>#VALUE!</v>
      </c>
      <c r="S60" s="74" t="e">
        <f>'Alternative 2'!J59</f>
        <v>#VALUE!</v>
      </c>
      <c r="T60" s="122" t="e">
        <f t="shared" si="24"/>
        <v>#VALUE!</v>
      </c>
      <c r="U60" s="122" t="e">
        <f t="shared" si="25"/>
        <v>#VALUE!</v>
      </c>
      <c r="V60" s="122" t="e">
        <f t="shared" si="26"/>
        <v>#VALUE!</v>
      </c>
      <c r="W60" s="122" t="str">
        <f t="shared" si="27"/>
        <v>x</v>
      </c>
      <c r="X60" s="122">
        <f>SUM(W61:W$94)</f>
        <v>0</v>
      </c>
      <c r="Y60" s="122">
        <f>SUM($W$4:W60)</f>
        <v>31215.543190081382</v>
      </c>
      <c r="Z60" s="122">
        <f t="shared" si="28"/>
        <v>31215.543190081382</v>
      </c>
      <c r="AA60" s="13" t="str">
        <f t="shared" si="34"/>
        <v>x</v>
      </c>
      <c r="AE60" s="7">
        <f t="shared" si="37"/>
        <v>56</v>
      </c>
      <c r="AF60" s="122" t="str">
        <f>IF((AE60&lt;='Alternative 3'!$B$12),AF59+1,"x")</f>
        <v>x</v>
      </c>
      <c r="AG60" s="74" t="e">
        <f>'Alternative 3'!I59</f>
        <v>#VALUE!</v>
      </c>
      <c r="AH60" s="74" t="e">
        <f>'Alternative 3'!J59</f>
        <v>#VALUE!</v>
      </c>
      <c r="AI60" s="122" t="e">
        <f t="shared" si="29"/>
        <v>#VALUE!</v>
      </c>
      <c r="AJ60" s="122" t="e">
        <f t="shared" si="30"/>
        <v>#VALUE!</v>
      </c>
      <c r="AK60" s="122" t="e">
        <f t="shared" si="31"/>
        <v>#VALUE!</v>
      </c>
      <c r="AL60" s="122" t="str">
        <f t="shared" si="32"/>
        <v>x</v>
      </c>
      <c r="AM60" s="122">
        <f>SUM(AL61:AL$94)</f>
        <v>0</v>
      </c>
      <c r="AN60" s="122">
        <f>SUM($AL$4:AL60)</f>
        <v>31215.543190081382</v>
      </c>
      <c r="AO60" s="122">
        <f t="shared" si="33"/>
        <v>31215.543190081382</v>
      </c>
      <c r="AP60" s="13" t="str">
        <f t="shared" si="35"/>
        <v>x</v>
      </c>
    </row>
    <row r="61" spans="1:42" x14ac:dyDescent="0.25">
      <c r="A61" s="7">
        <f t="shared" si="9"/>
        <v>57</v>
      </c>
      <c r="B61" s="122" t="str">
        <f>IF((A61&lt;='Alternative 1'!$B$12),B60+1,"x")</f>
        <v>x</v>
      </c>
      <c r="C61" s="74" t="e">
        <f>'Alternative 1'!I60</f>
        <v>#VALUE!</v>
      </c>
      <c r="D61" s="74" t="e">
        <f>'Alternative 1'!J60</f>
        <v>#VALUE!</v>
      </c>
      <c r="E61" s="122" t="e">
        <f t="shared" si="18"/>
        <v>#VALUE!</v>
      </c>
      <c r="F61" s="122" t="e">
        <f t="shared" si="19"/>
        <v>#VALUE!</v>
      </c>
      <c r="G61" s="122" t="e">
        <f t="shared" si="20"/>
        <v>#VALUE!</v>
      </c>
      <c r="H61" s="122" t="str">
        <f t="shared" si="21"/>
        <v>x</v>
      </c>
      <c r="I61" s="122">
        <f>SUM(H62:H$94)</f>
        <v>0</v>
      </c>
      <c r="J61" s="122">
        <f>SUM($H$4:H61)</f>
        <v>31215.543190081382</v>
      </c>
      <c r="K61" s="122">
        <f t="shared" si="22"/>
        <v>31215.543190081382</v>
      </c>
      <c r="L61" s="122" t="str">
        <f t="shared" si="23"/>
        <v>x</v>
      </c>
      <c r="P61" s="7">
        <f t="shared" si="36"/>
        <v>57</v>
      </c>
      <c r="Q61" s="122" t="str">
        <f>IF((AE61&lt;='Alternative 2'!$B$12),AF60+1,"x")</f>
        <v>x</v>
      </c>
      <c r="R61" s="74" t="e">
        <f>'Alternative 2'!I60</f>
        <v>#VALUE!</v>
      </c>
      <c r="S61" s="74" t="e">
        <f>'Alternative 2'!J60</f>
        <v>#VALUE!</v>
      </c>
      <c r="T61" s="122" t="e">
        <f t="shared" si="24"/>
        <v>#VALUE!</v>
      </c>
      <c r="U61" s="122" t="e">
        <f t="shared" si="25"/>
        <v>#VALUE!</v>
      </c>
      <c r="V61" s="122" t="e">
        <f t="shared" si="26"/>
        <v>#VALUE!</v>
      </c>
      <c r="W61" s="122" t="str">
        <f t="shared" si="27"/>
        <v>x</v>
      </c>
      <c r="X61" s="122">
        <f>SUM(W62:W$94)</f>
        <v>0</v>
      </c>
      <c r="Y61" s="122">
        <f>SUM($W$4:W61)</f>
        <v>31215.543190081382</v>
      </c>
      <c r="Z61" s="122">
        <f t="shared" si="28"/>
        <v>31215.543190081382</v>
      </c>
      <c r="AA61" s="13" t="str">
        <f t="shared" si="34"/>
        <v>x</v>
      </c>
      <c r="AE61" s="7">
        <f t="shared" si="37"/>
        <v>57</v>
      </c>
      <c r="AF61" s="122" t="str">
        <f>IF((AE61&lt;='Alternative 3'!$B$12),AF60+1,"x")</f>
        <v>x</v>
      </c>
      <c r="AG61" s="74" t="e">
        <f>'Alternative 3'!I60</f>
        <v>#VALUE!</v>
      </c>
      <c r="AH61" s="74" t="e">
        <f>'Alternative 3'!J60</f>
        <v>#VALUE!</v>
      </c>
      <c r="AI61" s="122" t="e">
        <f t="shared" si="29"/>
        <v>#VALUE!</v>
      </c>
      <c r="AJ61" s="122" t="e">
        <f t="shared" si="30"/>
        <v>#VALUE!</v>
      </c>
      <c r="AK61" s="122" t="e">
        <f t="shared" si="31"/>
        <v>#VALUE!</v>
      </c>
      <c r="AL61" s="122" t="str">
        <f t="shared" si="32"/>
        <v>x</v>
      </c>
      <c r="AM61" s="122">
        <f>SUM(AL62:AL$94)</f>
        <v>0</v>
      </c>
      <c r="AN61" s="122">
        <f>SUM($AL$4:AL61)</f>
        <v>31215.543190081382</v>
      </c>
      <c r="AO61" s="122">
        <f t="shared" si="33"/>
        <v>31215.543190081382</v>
      </c>
      <c r="AP61" s="13" t="str">
        <f t="shared" si="35"/>
        <v>x</v>
      </c>
    </row>
    <row r="62" spans="1:42" x14ac:dyDescent="0.25">
      <c r="A62" s="7">
        <f t="shared" si="9"/>
        <v>58</v>
      </c>
      <c r="B62" s="122" t="str">
        <f>IF((A62&lt;='Alternative 1'!$B$12),B61+1,"x")</f>
        <v>x</v>
      </c>
      <c r="C62" s="74" t="e">
        <f>'Alternative 1'!I61</f>
        <v>#VALUE!</v>
      </c>
      <c r="D62" s="74" t="e">
        <f>'Alternative 1'!J61</f>
        <v>#VALUE!</v>
      </c>
      <c r="E62" s="122" t="e">
        <f t="shared" si="18"/>
        <v>#VALUE!</v>
      </c>
      <c r="F62" s="122" t="e">
        <f t="shared" si="19"/>
        <v>#VALUE!</v>
      </c>
      <c r="G62" s="122" t="e">
        <f t="shared" si="20"/>
        <v>#VALUE!</v>
      </c>
      <c r="H62" s="122" t="str">
        <f t="shared" si="21"/>
        <v>x</v>
      </c>
      <c r="I62" s="122">
        <f>SUM(H63:H$94)</f>
        <v>0</v>
      </c>
      <c r="J62" s="122">
        <f>SUM($H$4:H62)</f>
        <v>31215.543190081382</v>
      </c>
      <c r="K62" s="122">
        <f t="shared" si="22"/>
        <v>31215.543190081382</v>
      </c>
      <c r="L62" s="122" t="str">
        <f t="shared" si="23"/>
        <v>x</v>
      </c>
      <c r="P62" s="7">
        <f t="shared" si="36"/>
        <v>58</v>
      </c>
      <c r="Q62" s="122" t="str">
        <f>IF((AE62&lt;='Alternative 2'!$B$12),AF61+1,"x")</f>
        <v>x</v>
      </c>
      <c r="R62" s="74" t="e">
        <f>'Alternative 2'!I61</f>
        <v>#VALUE!</v>
      </c>
      <c r="S62" s="74" t="e">
        <f>'Alternative 2'!J61</f>
        <v>#VALUE!</v>
      </c>
      <c r="T62" s="122" t="e">
        <f t="shared" si="24"/>
        <v>#VALUE!</v>
      </c>
      <c r="U62" s="122" t="e">
        <f t="shared" si="25"/>
        <v>#VALUE!</v>
      </c>
      <c r="V62" s="122" t="e">
        <f t="shared" si="26"/>
        <v>#VALUE!</v>
      </c>
      <c r="W62" s="122" t="str">
        <f t="shared" si="27"/>
        <v>x</v>
      </c>
      <c r="X62" s="122">
        <f>SUM(W63:W$94)</f>
        <v>0</v>
      </c>
      <c r="Y62" s="122">
        <f>SUM($W$4:W62)</f>
        <v>31215.543190081382</v>
      </c>
      <c r="Z62" s="122">
        <f t="shared" si="28"/>
        <v>31215.543190081382</v>
      </c>
      <c r="AA62" s="13" t="str">
        <f t="shared" si="34"/>
        <v>x</v>
      </c>
      <c r="AE62" s="7">
        <f t="shared" si="37"/>
        <v>58</v>
      </c>
      <c r="AF62" s="122" t="str">
        <f>IF((AE62&lt;='Alternative 3'!$B$12),AF61+1,"x")</f>
        <v>x</v>
      </c>
      <c r="AG62" s="74" t="e">
        <f>'Alternative 3'!I61</f>
        <v>#VALUE!</v>
      </c>
      <c r="AH62" s="74" t="e">
        <f>'Alternative 3'!J61</f>
        <v>#VALUE!</v>
      </c>
      <c r="AI62" s="122" t="e">
        <f t="shared" si="29"/>
        <v>#VALUE!</v>
      </c>
      <c r="AJ62" s="122" t="e">
        <f t="shared" si="30"/>
        <v>#VALUE!</v>
      </c>
      <c r="AK62" s="122" t="e">
        <f t="shared" si="31"/>
        <v>#VALUE!</v>
      </c>
      <c r="AL62" s="122" t="str">
        <f t="shared" si="32"/>
        <v>x</v>
      </c>
      <c r="AM62" s="122">
        <f>SUM(AL63:AL$94)</f>
        <v>0</v>
      </c>
      <c r="AN62" s="122">
        <f>SUM($AL$4:AL62)</f>
        <v>31215.543190081382</v>
      </c>
      <c r="AO62" s="122">
        <f t="shared" si="33"/>
        <v>31215.543190081382</v>
      </c>
      <c r="AP62" s="13" t="str">
        <f t="shared" si="35"/>
        <v>x</v>
      </c>
    </row>
    <row r="63" spans="1:42" x14ac:dyDescent="0.25">
      <c r="A63" s="7">
        <f t="shared" si="9"/>
        <v>59</v>
      </c>
      <c r="B63" s="122" t="str">
        <f>IF((A63&lt;='Alternative 1'!$B$12),B62+1,"x")</f>
        <v>x</v>
      </c>
      <c r="C63" s="74" t="e">
        <f>'Alternative 1'!I62</f>
        <v>#VALUE!</v>
      </c>
      <c r="D63" s="74" t="e">
        <f>'Alternative 1'!J62</f>
        <v>#VALUE!</v>
      </c>
      <c r="E63" s="122" t="e">
        <f t="shared" si="18"/>
        <v>#VALUE!</v>
      </c>
      <c r="F63" s="122" t="e">
        <f t="shared" si="19"/>
        <v>#VALUE!</v>
      </c>
      <c r="G63" s="122" t="e">
        <f t="shared" si="20"/>
        <v>#VALUE!</v>
      </c>
      <c r="H63" s="122" t="str">
        <f t="shared" si="21"/>
        <v>x</v>
      </c>
      <c r="I63" s="122">
        <f>SUM(H64:H$94)</f>
        <v>0</v>
      </c>
      <c r="J63" s="122">
        <f>SUM($H$4:H63)</f>
        <v>31215.543190081382</v>
      </c>
      <c r="K63" s="122">
        <f t="shared" si="22"/>
        <v>31215.543190081382</v>
      </c>
      <c r="L63" s="122" t="str">
        <f t="shared" si="23"/>
        <v>x</v>
      </c>
      <c r="P63" s="7">
        <f t="shared" si="36"/>
        <v>59</v>
      </c>
      <c r="Q63" s="122" t="str">
        <f>IF((AE63&lt;='Alternative 2'!$B$12),AF62+1,"x")</f>
        <v>x</v>
      </c>
      <c r="R63" s="74" t="e">
        <f>'Alternative 2'!I62</f>
        <v>#VALUE!</v>
      </c>
      <c r="S63" s="74" t="e">
        <f>'Alternative 2'!J62</f>
        <v>#VALUE!</v>
      </c>
      <c r="T63" s="122" t="e">
        <f t="shared" si="24"/>
        <v>#VALUE!</v>
      </c>
      <c r="U63" s="122" t="e">
        <f t="shared" si="25"/>
        <v>#VALUE!</v>
      </c>
      <c r="V63" s="122" t="e">
        <f t="shared" si="26"/>
        <v>#VALUE!</v>
      </c>
      <c r="W63" s="122" t="str">
        <f t="shared" si="27"/>
        <v>x</v>
      </c>
      <c r="X63" s="122">
        <f>SUM(W64:W$94)</f>
        <v>0</v>
      </c>
      <c r="Y63" s="122">
        <f>SUM($W$4:W63)</f>
        <v>31215.543190081382</v>
      </c>
      <c r="Z63" s="122">
        <f t="shared" si="28"/>
        <v>31215.543190081382</v>
      </c>
      <c r="AA63" s="13" t="str">
        <f t="shared" si="34"/>
        <v>x</v>
      </c>
      <c r="AE63" s="7">
        <f t="shared" si="37"/>
        <v>59</v>
      </c>
      <c r="AF63" s="122" t="str">
        <f>IF((AE63&lt;='Alternative 3'!$B$12),AF62+1,"x")</f>
        <v>x</v>
      </c>
      <c r="AG63" s="74" t="e">
        <f>'Alternative 3'!I62</f>
        <v>#VALUE!</v>
      </c>
      <c r="AH63" s="74" t="e">
        <f>'Alternative 3'!J62</f>
        <v>#VALUE!</v>
      </c>
      <c r="AI63" s="122" t="e">
        <f t="shared" si="29"/>
        <v>#VALUE!</v>
      </c>
      <c r="AJ63" s="122" t="e">
        <f t="shared" si="30"/>
        <v>#VALUE!</v>
      </c>
      <c r="AK63" s="122" t="e">
        <f t="shared" si="31"/>
        <v>#VALUE!</v>
      </c>
      <c r="AL63" s="122" t="str">
        <f t="shared" si="32"/>
        <v>x</v>
      </c>
      <c r="AM63" s="122">
        <f>SUM(AL64:AL$94)</f>
        <v>0</v>
      </c>
      <c r="AN63" s="122">
        <f>SUM($AL$4:AL63)</f>
        <v>31215.543190081382</v>
      </c>
      <c r="AO63" s="122">
        <f t="shared" si="33"/>
        <v>31215.543190081382</v>
      </c>
      <c r="AP63" s="13" t="str">
        <f t="shared" si="35"/>
        <v>x</v>
      </c>
    </row>
    <row r="64" spans="1:42" x14ac:dyDescent="0.25">
      <c r="A64" s="7">
        <f t="shared" si="9"/>
        <v>60</v>
      </c>
      <c r="B64" s="122" t="str">
        <f>IF((A64&lt;='Alternative 1'!$B$12),B63+1,"x")</f>
        <v>x</v>
      </c>
      <c r="C64" s="74" t="e">
        <f>'Alternative 1'!I63</f>
        <v>#VALUE!</v>
      </c>
      <c r="D64" s="74" t="e">
        <f>'Alternative 1'!J63</f>
        <v>#VALUE!</v>
      </c>
      <c r="E64" s="122" t="e">
        <f t="shared" si="18"/>
        <v>#VALUE!</v>
      </c>
      <c r="F64" s="122" t="e">
        <f t="shared" si="19"/>
        <v>#VALUE!</v>
      </c>
      <c r="G64" s="122" t="e">
        <f t="shared" si="20"/>
        <v>#VALUE!</v>
      </c>
      <c r="H64" s="122" t="str">
        <f t="shared" si="21"/>
        <v>x</v>
      </c>
      <c r="I64" s="122">
        <f>SUM(H65:H$94)</f>
        <v>0</v>
      </c>
      <c r="J64" s="122">
        <f>SUM($H$4:H64)</f>
        <v>31215.543190081382</v>
      </c>
      <c r="K64" s="122">
        <f t="shared" si="22"/>
        <v>31215.543190081382</v>
      </c>
      <c r="L64" s="122" t="str">
        <f t="shared" si="23"/>
        <v>x</v>
      </c>
      <c r="P64" s="7">
        <f t="shared" si="36"/>
        <v>60</v>
      </c>
      <c r="Q64" s="122" t="str">
        <f>IF((AE64&lt;='Alternative 2'!$B$12),AF63+1,"x")</f>
        <v>x</v>
      </c>
      <c r="R64" s="74" t="e">
        <f>'Alternative 2'!I63</f>
        <v>#VALUE!</v>
      </c>
      <c r="S64" s="74" t="e">
        <f>'Alternative 2'!J63</f>
        <v>#VALUE!</v>
      </c>
      <c r="T64" s="122" t="e">
        <f t="shared" si="24"/>
        <v>#VALUE!</v>
      </c>
      <c r="U64" s="122" t="e">
        <f t="shared" si="25"/>
        <v>#VALUE!</v>
      </c>
      <c r="V64" s="122" t="e">
        <f t="shared" si="26"/>
        <v>#VALUE!</v>
      </c>
      <c r="W64" s="122" t="str">
        <f t="shared" si="27"/>
        <v>x</v>
      </c>
      <c r="X64" s="122">
        <f>SUM(W65:W$94)</f>
        <v>0</v>
      </c>
      <c r="Y64" s="122">
        <f>SUM($W$4:W64)</f>
        <v>31215.543190081382</v>
      </c>
      <c r="Z64" s="122">
        <f t="shared" si="28"/>
        <v>31215.543190081382</v>
      </c>
      <c r="AA64" s="13" t="str">
        <f t="shared" si="34"/>
        <v>x</v>
      </c>
      <c r="AE64" s="7">
        <f t="shared" si="37"/>
        <v>60</v>
      </c>
      <c r="AF64" s="122" t="str">
        <f>IF((AE64&lt;='Alternative 3'!$B$12),AF63+1,"x")</f>
        <v>x</v>
      </c>
      <c r="AG64" s="74" t="e">
        <f>'Alternative 3'!I63</f>
        <v>#VALUE!</v>
      </c>
      <c r="AH64" s="74" t="e">
        <f>'Alternative 3'!J63</f>
        <v>#VALUE!</v>
      </c>
      <c r="AI64" s="122" t="e">
        <f t="shared" si="29"/>
        <v>#VALUE!</v>
      </c>
      <c r="AJ64" s="122" t="e">
        <f t="shared" si="30"/>
        <v>#VALUE!</v>
      </c>
      <c r="AK64" s="122" t="e">
        <f t="shared" si="31"/>
        <v>#VALUE!</v>
      </c>
      <c r="AL64" s="122" t="str">
        <f t="shared" si="32"/>
        <v>x</v>
      </c>
      <c r="AM64" s="122">
        <f>SUM(AL65:AL$94)</f>
        <v>0</v>
      </c>
      <c r="AN64" s="122">
        <f>SUM($AL$4:AL64)</f>
        <v>31215.543190081382</v>
      </c>
      <c r="AO64" s="122">
        <f t="shared" si="33"/>
        <v>31215.543190081382</v>
      </c>
      <c r="AP64" s="13" t="str">
        <f t="shared" si="35"/>
        <v>x</v>
      </c>
    </row>
    <row r="65" spans="1:42" x14ac:dyDescent="0.25">
      <c r="A65" s="7">
        <f t="shared" si="9"/>
        <v>61</v>
      </c>
      <c r="B65" s="122" t="str">
        <f>IF((A65&lt;='Alternative 1'!$B$12),B64+1,"x")</f>
        <v>x</v>
      </c>
      <c r="C65" s="74" t="e">
        <f>'Alternative 1'!I64</f>
        <v>#VALUE!</v>
      </c>
      <c r="D65" s="74" t="e">
        <f>'Alternative 1'!J64</f>
        <v>#VALUE!</v>
      </c>
      <c r="E65" s="122" t="e">
        <f t="shared" si="18"/>
        <v>#VALUE!</v>
      </c>
      <c r="F65" s="122" t="e">
        <f t="shared" si="19"/>
        <v>#VALUE!</v>
      </c>
      <c r="G65" s="122" t="e">
        <f t="shared" si="20"/>
        <v>#VALUE!</v>
      </c>
      <c r="H65" s="122" t="str">
        <f t="shared" si="21"/>
        <v>x</v>
      </c>
      <c r="I65" s="122">
        <f>SUM(H66:H$94)</f>
        <v>0</v>
      </c>
      <c r="J65" s="122">
        <f>SUM($H$4:H65)</f>
        <v>31215.543190081382</v>
      </c>
      <c r="K65" s="122">
        <f t="shared" si="22"/>
        <v>31215.543190081382</v>
      </c>
      <c r="L65" s="122" t="str">
        <f t="shared" si="23"/>
        <v>x</v>
      </c>
      <c r="P65" s="7">
        <f t="shared" si="36"/>
        <v>61</v>
      </c>
      <c r="Q65" s="122" t="str">
        <f>IF((AE65&lt;='Alternative 2'!$B$12),AF64+1,"x")</f>
        <v>x</v>
      </c>
      <c r="R65" s="74" t="e">
        <f>'Alternative 2'!I64</f>
        <v>#VALUE!</v>
      </c>
      <c r="S65" s="74" t="e">
        <f>'Alternative 2'!J64</f>
        <v>#VALUE!</v>
      </c>
      <c r="T65" s="122" t="e">
        <f t="shared" si="24"/>
        <v>#VALUE!</v>
      </c>
      <c r="U65" s="122" t="e">
        <f t="shared" si="25"/>
        <v>#VALUE!</v>
      </c>
      <c r="V65" s="122" t="e">
        <f t="shared" si="26"/>
        <v>#VALUE!</v>
      </c>
      <c r="W65" s="122" t="str">
        <f t="shared" si="27"/>
        <v>x</v>
      </c>
      <c r="X65" s="122">
        <f>SUM(W66:W$94)</f>
        <v>0</v>
      </c>
      <c r="Y65" s="122">
        <f>SUM($W$4:W65)</f>
        <v>31215.543190081382</v>
      </c>
      <c r="Z65" s="122">
        <f t="shared" si="28"/>
        <v>31215.543190081382</v>
      </c>
      <c r="AA65" s="13" t="str">
        <f t="shared" si="34"/>
        <v>x</v>
      </c>
      <c r="AE65" s="7">
        <f t="shared" si="37"/>
        <v>61</v>
      </c>
      <c r="AF65" s="122" t="str">
        <f>IF((AE65&lt;='Alternative 3'!$B$12),AF64+1,"x")</f>
        <v>x</v>
      </c>
      <c r="AG65" s="74" t="e">
        <f>'Alternative 3'!I64</f>
        <v>#VALUE!</v>
      </c>
      <c r="AH65" s="74" t="e">
        <f>'Alternative 3'!J64</f>
        <v>#VALUE!</v>
      </c>
      <c r="AI65" s="122" t="e">
        <f t="shared" si="29"/>
        <v>#VALUE!</v>
      </c>
      <c r="AJ65" s="122" t="e">
        <f t="shared" si="30"/>
        <v>#VALUE!</v>
      </c>
      <c r="AK65" s="122" t="e">
        <f t="shared" si="31"/>
        <v>#VALUE!</v>
      </c>
      <c r="AL65" s="122" t="str">
        <f t="shared" si="32"/>
        <v>x</v>
      </c>
      <c r="AM65" s="122">
        <f>SUM(AL66:AL$94)</f>
        <v>0</v>
      </c>
      <c r="AN65" s="122">
        <f>SUM($AL$4:AL65)</f>
        <v>31215.543190081382</v>
      </c>
      <c r="AO65" s="122">
        <f t="shared" si="33"/>
        <v>31215.543190081382</v>
      </c>
      <c r="AP65" s="13" t="str">
        <f t="shared" si="35"/>
        <v>x</v>
      </c>
    </row>
    <row r="66" spans="1:42" x14ac:dyDescent="0.25">
      <c r="A66" s="7">
        <f t="shared" si="9"/>
        <v>62</v>
      </c>
      <c r="B66" s="122" t="str">
        <f>IF((A66&lt;='Alternative 1'!$B$12),B65+1,"x")</f>
        <v>x</v>
      </c>
      <c r="C66" s="74" t="e">
        <f>'Alternative 1'!I65</f>
        <v>#VALUE!</v>
      </c>
      <c r="D66" s="74" t="e">
        <f>'Alternative 1'!J65</f>
        <v>#VALUE!</v>
      </c>
      <c r="E66" s="122" t="e">
        <f t="shared" si="18"/>
        <v>#VALUE!</v>
      </c>
      <c r="F66" s="122" t="e">
        <f t="shared" si="19"/>
        <v>#VALUE!</v>
      </c>
      <c r="G66" s="122" t="e">
        <f t="shared" si="20"/>
        <v>#VALUE!</v>
      </c>
      <c r="H66" s="122" t="str">
        <f t="shared" si="21"/>
        <v>x</v>
      </c>
      <c r="I66" s="122">
        <f>SUM(H67:H$94)</f>
        <v>0</v>
      </c>
      <c r="J66" s="122">
        <f>SUM($H$4:H66)</f>
        <v>31215.543190081382</v>
      </c>
      <c r="K66" s="122">
        <f t="shared" si="22"/>
        <v>31215.543190081382</v>
      </c>
      <c r="L66" s="122" t="str">
        <f t="shared" si="23"/>
        <v>x</v>
      </c>
      <c r="P66" s="7">
        <f t="shared" si="36"/>
        <v>62</v>
      </c>
      <c r="Q66" s="122" t="str">
        <f>IF((AE66&lt;='Alternative 2'!$B$12),AF65+1,"x")</f>
        <v>x</v>
      </c>
      <c r="R66" s="74" t="e">
        <f>'Alternative 2'!I65</f>
        <v>#VALUE!</v>
      </c>
      <c r="S66" s="74" t="e">
        <f>'Alternative 2'!J65</f>
        <v>#VALUE!</v>
      </c>
      <c r="T66" s="122" t="e">
        <f t="shared" si="24"/>
        <v>#VALUE!</v>
      </c>
      <c r="U66" s="122" t="e">
        <f t="shared" si="25"/>
        <v>#VALUE!</v>
      </c>
      <c r="V66" s="122" t="e">
        <f t="shared" si="26"/>
        <v>#VALUE!</v>
      </c>
      <c r="W66" s="122" t="str">
        <f t="shared" si="27"/>
        <v>x</v>
      </c>
      <c r="X66" s="122">
        <f>SUM(W67:W$94)</f>
        <v>0</v>
      </c>
      <c r="Y66" s="122">
        <f>SUM($W$4:W66)</f>
        <v>31215.543190081382</v>
      </c>
      <c r="Z66" s="122">
        <f t="shared" si="28"/>
        <v>31215.543190081382</v>
      </c>
      <c r="AA66" s="13" t="str">
        <f t="shared" si="34"/>
        <v>x</v>
      </c>
      <c r="AE66" s="7">
        <f t="shared" si="37"/>
        <v>62</v>
      </c>
      <c r="AF66" s="122" t="str">
        <f>IF((AE66&lt;='Alternative 3'!$B$12),AF65+1,"x")</f>
        <v>x</v>
      </c>
      <c r="AG66" s="74" t="e">
        <f>'Alternative 3'!I65</f>
        <v>#VALUE!</v>
      </c>
      <c r="AH66" s="74" t="e">
        <f>'Alternative 3'!J65</f>
        <v>#VALUE!</v>
      </c>
      <c r="AI66" s="122" t="e">
        <f t="shared" si="29"/>
        <v>#VALUE!</v>
      </c>
      <c r="AJ66" s="122" t="e">
        <f t="shared" si="30"/>
        <v>#VALUE!</v>
      </c>
      <c r="AK66" s="122" t="e">
        <f t="shared" si="31"/>
        <v>#VALUE!</v>
      </c>
      <c r="AL66" s="122" t="str">
        <f t="shared" si="32"/>
        <v>x</v>
      </c>
      <c r="AM66" s="122">
        <f>SUM(AL67:AL$94)</f>
        <v>0</v>
      </c>
      <c r="AN66" s="122">
        <f>SUM($AL$4:AL66)</f>
        <v>31215.543190081382</v>
      </c>
      <c r="AO66" s="122">
        <f t="shared" si="33"/>
        <v>31215.543190081382</v>
      </c>
      <c r="AP66" s="13" t="str">
        <f t="shared" si="35"/>
        <v>x</v>
      </c>
    </row>
    <row r="67" spans="1:42" x14ac:dyDescent="0.25">
      <c r="A67" s="7">
        <f t="shared" si="9"/>
        <v>63</v>
      </c>
      <c r="B67" s="122" t="str">
        <f>IF((A67&lt;='Alternative 1'!$B$12),B66+1,"x")</f>
        <v>x</v>
      </c>
      <c r="C67" s="74" t="e">
        <f>'Alternative 1'!I66</f>
        <v>#VALUE!</v>
      </c>
      <c r="D67" s="74" t="e">
        <f>'Alternative 1'!J66</f>
        <v>#VALUE!</v>
      </c>
      <c r="E67" s="122" t="e">
        <f t="shared" si="18"/>
        <v>#VALUE!</v>
      </c>
      <c r="F67" s="122" t="e">
        <f t="shared" si="19"/>
        <v>#VALUE!</v>
      </c>
      <c r="G67" s="122" t="e">
        <f t="shared" si="20"/>
        <v>#VALUE!</v>
      </c>
      <c r="H67" s="122" t="str">
        <f t="shared" si="21"/>
        <v>x</v>
      </c>
      <c r="I67" s="122">
        <f>SUM(H68:H$94)</f>
        <v>0</v>
      </c>
      <c r="J67" s="122">
        <f>SUM($H$4:H67)</f>
        <v>31215.543190081382</v>
      </c>
      <c r="K67" s="122">
        <f t="shared" si="22"/>
        <v>31215.543190081382</v>
      </c>
      <c r="L67" s="122" t="str">
        <f t="shared" si="23"/>
        <v>x</v>
      </c>
      <c r="P67" s="7">
        <f t="shared" si="36"/>
        <v>63</v>
      </c>
      <c r="Q67" s="122" t="str">
        <f>IF((AE67&lt;='Alternative 2'!$B$12),AF66+1,"x")</f>
        <v>x</v>
      </c>
      <c r="R67" s="74" t="e">
        <f>'Alternative 2'!I66</f>
        <v>#VALUE!</v>
      </c>
      <c r="S67" s="74" t="e">
        <f>'Alternative 2'!J66</f>
        <v>#VALUE!</v>
      </c>
      <c r="T67" s="122" t="e">
        <f t="shared" si="24"/>
        <v>#VALUE!</v>
      </c>
      <c r="U67" s="122" t="e">
        <f t="shared" si="25"/>
        <v>#VALUE!</v>
      </c>
      <c r="V67" s="122" t="e">
        <f t="shared" si="26"/>
        <v>#VALUE!</v>
      </c>
      <c r="W67" s="122" t="str">
        <f t="shared" si="27"/>
        <v>x</v>
      </c>
      <c r="X67" s="122">
        <f>SUM(W68:W$94)</f>
        <v>0</v>
      </c>
      <c r="Y67" s="122">
        <f>SUM($W$4:W67)</f>
        <v>31215.543190081382</v>
      </c>
      <c r="Z67" s="122">
        <f t="shared" si="28"/>
        <v>31215.543190081382</v>
      </c>
      <c r="AA67" s="13" t="str">
        <f t="shared" si="34"/>
        <v>x</v>
      </c>
      <c r="AE67" s="7">
        <f t="shared" si="37"/>
        <v>63</v>
      </c>
      <c r="AF67" s="122" t="str">
        <f>IF((AE67&lt;='Alternative 3'!$B$12),AF66+1,"x")</f>
        <v>x</v>
      </c>
      <c r="AG67" s="74" t="e">
        <f>'Alternative 3'!I66</f>
        <v>#VALUE!</v>
      </c>
      <c r="AH67" s="74" t="e">
        <f>'Alternative 3'!J66</f>
        <v>#VALUE!</v>
      </c>
      <c r="AI67" s="122" t="e">
        <f t="shared" si="29"/>
        <v>#VALUE!</v>
      </c>
      <c r="AJ67" s="122" t="e">
        <f t="shared" si="30"/>
        <v>#VALUE!</v>
      </c>
      <c r="AK67" s="122" t="e">
        <f t="shared" si="31"/>
        <v>#VALUE!</v>
      </c>
      <c r="AL67" s="122" t="str">
        <f t="shared" si="32"/>
        <v>x</v>
      </c>
      <c r="AM67" s="122">
        <f>SUM(AL68:AL$94)</f>
        <v>0</v>
      </c>
      <c r="AN67" s="122">
        <f>SUM($AL$4:AL67)</f>
        <v>31215.543190081382</v>
      </c>
      <c r="AO67" s="122">
        <f t="shared" si="33"/>
        <v>31215.543190081382</v>
      </c>
      <c r="AP67" s="13" t="str">
        <f t="shared" si="35"/>
        <v>x</v>
      </c>
    </row>
    <row r="68" spans="1:42" x14ac:dyDescent="0.25">
      <c r="A68" s="7">
        <f t="shared" si="9"/>
        <v>64</v>
      </c>
      <c r="B68" s="122" t="str">
        <f>IF((A68&lt;='Alternative 1'!$B$12),B67+1,"x")</f>
        <v>x</v>
      </c>
      <c r="C68" s="74" t="e">
        <f>'Alternative 1'!I67</f>
        <v>#VALUE!</v>
      </c>
      <c r="D68" s="74" t="e">
        <f>'Alternative 1'!J67</f>
        <v>#VALUE!</v>
      </c>
      <c r="E68" s="122" t="e">
        <f t="shared" si="18"/>
        <v>#VALUE!</v>
      </c>
      <c r="F68" s="122" t="e">
        <f t="shared" si="19"/>
        <v>#VALUE!</v>
      </c>
      <c r="G68" s="122" t="e">
        <f t="shared" si="20"/>
        <v>#VALUE!</v>
      </c>
      <c r="H68" s="122" t="str">
        <f t="shared" si="21"/>
        <v>x</v>
      </c>
      <c r="I68" s="122">
        <f>SUM(H69:H$94)</f>
        <v>0</v>
      </c>
      <c r="J68" s="122">
        <f>SUM($H$4:H68)</f>
        <v>31215.543190081382</v>
      </c>
      <c r="K68" s="122">
        <f t="shared" si="22"/>
        <v>31215.543190081382</v>
      </c>
      <c r="L68" s="122" t="str">
        <f t="shared" si="23"/>
        <v>x</v>
      </c>
      <c r="P68" s="7">
        <f t="shared" si="36"/>
        <v>64</v>
      </c>
      <c r="Q68" s="122" t="str">
        <f>IF((AE68&lt;='Alternative 2'!$B$12),AF67+1,"x")</f>
        <v>x</v>
      </c>
      <c r="R68" s="74" t="e">
        <f>'Alternative 2'!I67</f>
        <v>#VALUE!</v>
      </c>
      <c r="S68" s="74" t="e">
        <f>'Alternative 2'!J67</f>
        <v>#VALUE!</v>
      </c>
      <c r="T68" s="122" t="e">
        <f t="shared" si="24"/>
        <v>#VALUE!</v>
      </c>
      <c r="U68" s="122" t="e">
        <f t="shared" si="25"/>
        <v>#VALUE!</v>
      </c>
      <c r="V68" s="122" t="e">
        <f t="shared" si="26"/>
        <v>#VALUE!</v>
      </c>
      <c r="W68" s="122" t="str">
        <f t="shared" si="27"/>
        <v>x</v>
      </c>
      <c r="X68" s="122">
        <f>SUM(W69:W$94)</f>
        <v>0</v>
      </c>
      <c r="Y68" s="122">
        <f>SUM($W$4:W68)</f>
        <v>31215.543190081382</v>
      </c>
      <c r="Z68" s="122">
        <f t="shared" si="28"/>
        <v>31215.543190081382</v>
      </c>
      <c r="AA68" s="13" t="str">
        <f t="shared" ref="AA68:AA94" si="38">Q68</f>
        <v>x</v>
      </c>
      <c r="AE68" s="7">
        <f t="shared" si="37"/>
        <v>64</v>
      </c>
      <c r="AF68" s="122" t="str">
        <f>IF((AE68&lt;='Alternative 3'!$B$12),AF67+1,"x")</f>
        <v>x</v>
      </c>
      <c r="AG68" s="74" t="e">
        <f>'Alternative 3'!I67</f>
        <v>#VALUE!</v>
      </c>
      <c r="AH68" s="74" t="e">
        <f>'Alternative 3'!J67</f>
        <v>#VALUE!</v>
      </c>
      <c r="AI68" s="122" t="e">
        <f t="shared" si="29"/>
        <v>#VALUE!</v>
      </c>
      <c r="AJ68" s="122" t="e">
        <f t="shared" si="30"/>
        <v>#VALUE!</v>
      </c>
      <c r="AK68" s="122" t="e">
        <f t="shared" si="31"/>
        <v>#VALUE!</v>
      </c>
      <c r="AL68" s="122" t="str">
        <f t="shared" si="32"/>
        <v>x</v>
      </c>
      <c r="AM68" s="122">
        <f>SUM(AL69:AL$94)</f>
        <v>0</v>
      </c>
      <c r="AN68" s="122">
        <f>SUM($AL$4:AL68)</f>
        <v>31215.543190081382</v>
      </c>
      <c r="AO68" s="122">
        <f t="shared" si="33"/>
        <v>31215.543190081382</v>
      </c>
      <c r="AP68" s="13" t="str">
        <f t="shared" ref="AP68:AP94" si="39">AF68</f>
        <v>x</v>
      </c>
    </row>
    <row r="69" spans="1:42" x14ac:dyDescent="0.25">
      <c r="A69" s="7">
        <f t="shared" ref="A69:A94" si="40">A68+1</f>
        <v>65</v>
      </c>
      <c r="B69" s="122" t="str">
        <f>IF((A69&lt;='Alternative 1'!$B$12),B68+1,"x")</f>
        <v>x</v>
      </c>
      <c r="C69" s="74" t="e">
        <f>'Alternative 1'!I68</f>
        <v>#VALUE!</v>
      </c>
      <c r="D69" s="74" t="e">
        <f>'Alternative 1'!J68</f>
        <v>#VALUE!</v>
      </c>
      <c r="E69" s="122" t="e">
        <f t="shared" si="18"/>
        <v>#VALUE!</v>
      </c>
      <c r="F69" s="122" t="e">
        <f t="shared" si="19"/>
        <v>#VALUE!</v>
      </c>
      <c r="G69" s="122" t="e">
        <f t="shared" si="20"/>
        <v>#VALUE!</v>
      </c>
      <c r="H69" s="122" t="str">
        <f t="shared" si="21"/>
        <v>x</v>
      </c>
      <c r="I69" s="122">
        <f>SUM(H70:H$94)</f>
        <v>0</v>
      </c>
      <c r="J69" s="122">
        <f>SUM($H$4:H69)</f>
        <v>31215.543190081382</v>
      </c>
      <c r="K69" s="122">
        <f t="shared" si="22"/>
        <v>31215.543190081382</v>
      </c>
      <c r="L69" s="122" t="str">
        <f t="shared" si="23"/>
        <v>x</v>
      </c>
      <c r="P69" s="7">
        <f t="shared" ref="P69:P94" si="41">P68+1</f>
        <v>65</v>
      </c>
      <c r="Q69" s="122" t="str">
        <f>IF((AE69&lt;='Alternative 2'!$B$12),AF68+1,"x")</f>
        <v>x</v>
      </c>
      <c r="R69" s="74" t="e">
        <f>'Alternative 2'!I68</f>
        <v>#VALUE!</v>
      </c>
      <c r="S69" s="74" t="e">
        <f>'Alternative 2'!J68</f>
        <v>#VALUE!</v>
      </c>
      <c r="T69" s="122" t="e">
        <f t="shared" si="24"/>
        <v>#VALUE!</v>
      </c>
      <c r="U69" s="122" t="e">
        <f t="shared" si="25"/>
        <v>#VALUE!</v>
      </c>
      <c r="V69" s="122" t="e">
        <f t="shared" si="26"/>
        <v>#VALUE!</v>
      </c>
      <c r="W69" s="122" t="str">
        <f t="shared" si="27"/>
        <v>x</v>
      </c>
      <c r="X69" s="122">
        <f>SUM(W70:W$94)</f>
        <v>0</v>
      </c>
      <c r="Y69" s="122">
        <f>SUM($W$4:W69)</f>
        <v>31215.543190081382</v>
      </c>
      <c r="Z69" s="122">
        <f t="shared" si="28"/>
        <v>31215.543190081382</v>
      </c>
      <c r="AA69" s="13" t="str">
        <f t="shared" si="38"/>
        <v>x</v>
      </c>
      <c r="AE69" s="7">
        <f t="shared" ref="AE69:AE94" si="42">AE68+1</f>
        <v>65</v>
      </c>
      <c r="AF69" s="122" t="str">
        <f>IF((AE69&lt;='Alternative 3'!$B$12),AF68+1,"x")</f>
        <v>x</v>
      </c>
      <c r="AG69" s="74" t="e">
        <f>'Alternative 3'!I68</f>
        <v>#VALUE!</v>
      </c>
      <c r="AH69" s="74" t="e">
        <f>'Alternative 3'!J68</f>
        <v>#VALUE!</v>
      </c>
      <c r="AI69" s="122" t="e">
        <f t="shared" si="29"/>
        <v>#VALUE!</v>
      </c>
      <c r="AJ69" s="122" t="e">
        <f t="shared" si="30"/>
        <v>#VALUE!</v>
      </c>
      <c r="AK69" s="122" t="e">
        <f t="shared" si="31"/>
        <v>#VALUE!</v>
      </c>
      <c r="AL69" s="122" t="str">
        <f t="shared" si="32"/>
        <v>x</v>
      </c>
      <c r="AM69" s="122">
        <f>SUM(AL70:AL$94)</f>
        <v>0</v>
      </c>
      <c r="AN69" s="122">
        <f>SUM($AL$4:AL69)</f>
        <v>31215.543190081382</v>
      </c>
      <c r="AO69" s="122">
        <f t="shared" si="33"/>
        <v>31215.543190081382</v>
      </c>
      <c r="AP69" s="13" t="str">
        <f t="shared" si="39"/>
        <v>x</v>
      </c>
    </row>
    <row r="70" spans="1:42" x14ac:dyDescent="0.25">
      <c r="A70" s="7">
        <f t="shared" si="40"/>
        <v>66</v>
      </c>
      <c r="B70" s="122" t="str">
        <f>IF((A70&lt;='Alternative 1'!$B$12),B69+1,"x")</f>
        <v>x</v>
      </c>
      <c r="C70" s="74" t="e">
        <f>'Alternative 1'!I69</f>
        <v>#VALUE!</v>
      </c>
      <c r="D70" s="74" t="e">
        <f>'Alternative 1'!J69</f>
        <v>#VALUE!</v>
      </c>
      <c r="E70" s="122" t="e">
        <f t="shared" ref="E70:E93" si="43">(PI()*1*(C69^2+C70^2+C69*C70)*(1/3))</f>
        <v>#VALUE!</v>
      </c>
      <c r="F70" s="122" t="e">
        <f t="shared" ref="F70:F93" si="44">(PI()*1*(D69^2+D70^2+D69*D70)*(1/3))</f>
        <v>#VALUE!</v>
      </c>
      <c r="G70" s="122" t="e">
        <f t="shared" ref="G70:G93" si="45">(E70-F70)</f>
        <v>#VALUE!</v>
      </c>
      <c r="H70" s="122" t="str">
        <f t="shared" ref="H70:H93" si="46">IF(NOT(B70="x"),G70*$A$1,"x")</f>
        <v>x</v>
      </c>
      <c r="I70" s="122">
        <f>SUM(H71:H$94)</f>
        <v>0</v>
      </c>
      <c r="J70" s="122">
        <f>SUM($H$4:H70)</f>
        <v>31215.543190081382</v>
      </c>
      <c r="K70" s="122">
        <f t="shared" ref="K70:K93" si="47">ABS(I70-J70)</f>
        <v>31215.543190081382</v>
      </c>
      <c r="L70" s="122" t="str">
        <f t="shared" ref="L70:L93" si="48">B70</f>
        <v>x</v>
      </c>
      <c r="P70" s="7">
        <f t="shared" si="41"/>
        <v>66</v>
      </c>
      <c r="Q70" s="122" t="str">
        <f>IF((AE70&lt;='Alternative 2'!$B$12),AF69+1,"x")</f>
        <v>x</v>
      </c>
      <c r="R70" s="74" t="e">
        <f>'Alternative 2'!I69</f>
        <v>#VALUE!</v>
      </c>
      <c r="S70" s="74" t="e">
        <f>'Alternative 2'!J69</f>
        <v>#VALUE!</v>
      </c>
      <c r="T70" s="122" t="e">
        <f t="shared" ref="T70:T94" si="49">(PI()*1*(R69^2+R70^2+R69*R70)*(1/3))</f>
        <v>#VALUE!</v>
      </c>
      <c r="U70" s="122" t="e">
        <f t="shared" ref="U70:U94" si="50">(PI()*1*(S69^2+S70^2+S69*S70)*(1/3))</f>
        <v>#VALUE!</v>
      </c>
      <c r="V70" s="122" t="e">
        <f t="shared" ref="V70:V94" si="51">(T70-U70)</f>
        <v>#VALUE!</v>
      </c>
      <c r="W70" s="122" t="str">
        <f t="shared" ref="W70:W94" si="52">IF(NOT(Q70="x"),V70*$A$1,"x")</f>
        <v>x</v>
      </c>
      <c r="X70" s="122">
        <f>SUM(W71:W$94)</f>
        <v>0</v>
      </c>
      <c r="Y70" s="122">
        <f>SUM($W$4:W70)</f>
        <v>31215.543190081382</v>
      </c>
      <c r="Z70" s="122">
        <f t="shared" ref="Z70:Z94" si="53">ABS(X70-Y70)</f>
        <v>31215.543190081382</v>
      </c>
      <c r="AA70" s="13" t="str">
        <f t="shared" si="38"/>
        <v>x</v>
      </c>
      <c r="AE70" s="7">
        <f t="shared" si="42"/>
        <v>66</v>
      </c>
      <c r="AF70" s="122" t="str">
        <f>IF((AE70&lt;='Alternative 3'!$B$12),AF69+1,"x")</f>
        <v>x</v>
      </c>
      <c r="AG70" s="74" t="e">
        <f>'Alternative 3'!I69</f>
        <v>#VALUE!</v>
      </c>
      <c r="AH70" s="74" t="e">
        <f>'Alternative 3'!J69</f>
        <v>#VALUE!</v>
      </c>
      <c r="AI70" s="122" t="e">
        <f t="shared" ref="AI70:AI94" si="54">(PI()*1*(AG69^2+AG70^2+AG69*AG70)*(1/3))</f>
        <v>#VALUE!</v>
      </c>
      <c r="AJ70" s="122" t="e">
        <f t="shared" ref="AJ70:AJ94" si="55">(PI()*1*(AH69^2+AH70^2+AH69*AH70)*(1/3))</f>
        <v>#VALUE!</v>
      </c>
      <c r="AK70" s="122" t="e">
        <f t="shared" ref="AK70:AK94" si="56">(AI70-AJ70)</f>
        <v>#VALUE!</v>
      </c>
      <c r="AL70" s="122" t="str">
        <f t="shared" ref="AL70:AL94" si="57">IF(NOT(AF70="x"),AK70*$A$1,"x")</f>
        <v>x</v>
      </c>
      <c r="AM70" s="122">
        <f>SUM(AL71:AL$94)</f>
        <v>0</v>
      </c>
      <c r="AN70" s="122">
        <f>SUM($AL$4:AL70)</f>
        <v>31215.543190081382</v>
      </c>
      <c r="AO70" s="122">
        <f t="shared" ref="AO70:AO94" si="58">ABS(AM70-AN70)</f>
        <v>31215.543190081382</v>
      </c>
      <c r="AP70" s="13" t="str">
        <f t="shared" si="39"/>
        <v>x</v>
      </c>
    </row>
    <row r="71" spans="1:42" x14ac:dyDescent="0.25">
      <c r="A71" s="7">
        <f t="shared" si="40"/>
        <v>67</v>
      </c>
      <c r="B71" s="122" t="str">
        <f>IF((A71&lt;='Alternative 1'!$B$12),B70+1,"x")</f>
        <v>x</v>
      </c>
      <c r="C71" s="74" t="e">
        <f>'Alternative 1'!I70</f>
        <v>#VALUE!</v>
      </c>
      <c r="D71" s="74" t="e">
        <f>'Alternative 1'!J70</f>
        <v>#VALUE!</v>
      </c>
      <c r="E71" s="122" t="e">
        <f t="shared" si="43"/>
        <v>#VALUE!</v>
      </c>
      <c r="F71" s="122" t="e">
        <f t="shared" si="44"/>
        <v>#VALUE!</v>
      </c>
      <c r="G71" s="122" t="e">
        <f t="shared" si="45"/>
        <v>#VALUE!</v>
      </c>
      <c r="H71" s="122" t="str">
        <f t="shared" si="46"/>
        <v>x</v>
      </c>
      <c r="I71" s="122">
        <f>SUM(H72:H$94)</f>
        <v>0</v>
      </c>
      <c r="J71" s="122">
        <f>SUM($H$4:H71)</f>
        <v>31215.543190081382</v>
      </c>
      <c r="K71" s="122">
        <f t="shared" si="47"/>
        <v>31215.543190081382</v>
      </c>
      <c r="L71" s="122" t="str">
        <f t="shared" si="48"/>
        <v>x</v>
      </c>
      <c r="P71" s="7">
        <f t="shared" si="41"/>
        <v>67</v>
      </c>
      <c r="Q71" s="122" t="str">
        <f>IF((AE71&lt;='Alternative 2'!$B$12),AF70+1,"x")</f>
        <v>x</v>
      </c>
      <c r="R71" s="74" t="e">
        <f>'Alternative 2'!I70</f>
        <v>#VALUE!</v>
      </c>
      <c r="S71" s="74" t="e">
        <f>'Alternative 2'!J70</f>
        <v>#VALUE!</v>
      </c>
      <c r="T71" s="122" t="e">
        <f t="shared" si="49"/>
        <v>#VALUE!</v>
      </c>
      <c r="U71" s="122" t="e">
        <f t="shared" si="50"/>
        <v>#VALUE!</v>
      </c>
      <c r="V71" s="122" t="e">
        <f t="shared" si="51"/>
        <v>#VALUE!</v>
      </c>
      <c r="W71" s="122" t="str">
        <f t="shared" si="52"/>
        <v>x</v>
      </c>
      <c r="X71" s="122">
        <f>SUM(W72:W$94)</f>
        <v>0</v>
      </c>
      <c r="Y71" s="122">
        <f>SUM($W$4:W71)</f>
        <v>31215.543190081382</v>
      </c>
      <c r="Z71" s="122">
        <f t="shared" si="53"/>
        <v>31215.543190081382</v>
      </c>
      <c r="AA71" s="13" t="str">
        <f t="shared" si="38"/>
        <v>x</v>
      </c>
      <c r="AE71" s="7">
        <f t="shared" si="42"/>
        <v>67</v>
      </c>
      <c r="AF71" s="122" t="str">
        <f>IF((AE71&lt;='Alternative 3'!$B$12),AF70+1,"x")</f>
        <v>x</v>
      </c>
      <c r="AG71" s="74" t="e">
        <f>'Alternative 3'!I70</f>
        <v>#VALUE!</v>
      </c>
      <c r="AH71" s="74" t="e">
        <f>'Alternative 3'!J70</f>
        <v>#VALUE!</v>
      </c>
      <c r="AI71" s="122" t="e">
        <f t="shared" si="54"/>
        <v>#VALUE!</v>
      </c>
      <c r="AJ71" s="122" t="e">
        <f t="shared" si="55"/>
        <v>#VALUE!</v>
      </c>
      <c r="AK71" s="122" t="e">
        <f t="shared" si="56"/>
        <v>#VALUE!</v>
      </c>
      <c r="AL71" s="122" t="str">
        <f t="shared" si="57"/>
        <v>x</v>
      </c>
      <c r="AM71" s="122">
        <f>SUM(AL72:AL$94)</f>
        <v>0</v>
      </c>
      <c r="AN71" s="122">
        <f>SUM($AL$4:AL71)</f>
        <v>31215.543190081382</v>
      </c>
      <c r="AO71" s="122">
        <f t="shared" si="58"/>
        <v>31215.543190081382</v>
      </c>
      <c r="AP71" s="13" t="str">
        <f t="shared" si="39"/>
        <v>x</v>
      </c>
    </row>
    <row r="72" spans="1:42" x14ac:dyDescent="0.25">
      <c r="A72" s="7">
        <f t="shared" si="40"/>
        <v>68</v>
      </c>
      <c r="B72" s="122" t="str">
        <f>IF((A72&lt;='Alternative 1'!$B$12),B71+1,"x")</f>
        <v>x</v>
      </c>
      <c r="C72" s="74" t="e">
        <f>'Alternative 1'!I71</f>
        <v>#VALUE!</v>
      </c>
      <c r="D72" s="74" t="e">
        <f>'Alternative 1'!J71</f>
        <v>#VALUE!</v>
      </c>
      <c r="E72" s="122" t="e">
        <f t="shared" si="43"/>
        <v>#VALUE!</v>
      </c>
      <c r="F72" s="122" t="e">
        <f t="shared" si="44"/>
        <v>#VALUE!</v>
      </c>
      <c r="G72" s="122" t="e">
        <f t="shared" si="45"/>
        <v>#VALUE!</v>
      </c>
      <c r="H72" s="122" t="str">
        <f t="shared" si="46"/>
        <v>x</v>
      </c>
      <c r="I72" s="122">
        <f>SUM(H73:H$94)</f>
        <v>0</v>
      </c>
      <c r="J72" s="122">
        <f>SUM($H$4:H72)</f>
        <v>31215.543190081382</v>
      </c>
      <c r="K72" s="122">
        <f t="shared" si="47"/>
        <v>31215.543190081382</v>
      </c>
      <c r="L72" s="122" t="str">
        <f t="shared" si="48"/>
        <v>x</v>
      </c>
      <c r="P72" s="7">
        <f t="shared" si="41"/>
        <v>68</v>
      </c>
      <c r="Q72" s="122" t="str">
        <f>IF((AE72&lt;='Alternative 2'!$B$12),AF71+1,"x")</f>
        <v>x</v>
      </c>
      <c r="R72" s="74" t="e">
        <f>'Alternative 2'!I71</f>
        <v>#VALUE!</v>
      </c>
      <c r="S72" s="74" t="e">
        <f>'Alternative 2'!J71</f>
        <v>#VALUE!</v>
      </c>
      <c r="T72" s="122" t="e">
        <f t="shared" si="49"/>
        <v>#VALUE!</v>
      </c>
      <c r="U72" s="122" t="e">
        <f t="shared" si="50"/>
        <v>#VALUE!</v>
      </c>
      <c r="V72" s="122" t="e">
        <f t="shared" si="51"/>
        <v>#VALUE!</v>
      </c>
      <c r="W72" s="122" t="str">
        <f t="shared" si="52"/>
        <v>x</v>
      </c>
      <c r="X72" s="122">
        <f>SUM(W73:W$94)</f>
        <v>0</v>
      </c>
      <c r="Y72" s="122">
        <f>SUM($W$4:W72)</f>
        <v>31215.543190081382</v>
      </c>
      <c r="Z72" s="122">
        <f t="shared" si="53"/>
        <v>31215.543190081382</v>
      </c>
      <c r="AA72" s="13" t="str">
        <f t="shared" si="38"/>
        <v>x</v>
      </c>
      <c r="AE72" s="7">
        <f t="shared" si="42"/>
        <v>68</v>
      </c>
      <c r="AF72" s="122" t="str">
        <f>IF((AE72&lt;='Alternative 3'!$B$12),AF71+1,"x")</f>
        <v>x</v>
      </c>
      <c r="AG72" s="74" t="e">
        <f>'Alternative 3'!I71</f>
        <v>#VALUE!</v>
      </c>
      <c r="AH72" s="74" t="e">
        <f>'Alternative 3'!J71</f>
        <v>#VALUE!</v>
      </c>
      <c r="AI72" s="122" t="e">
        <f t="shared" si="54"/>
        <v>#VALUE!</v>
      </c>
      <c r="AJ72" s="122" t="e">
        <f t="shared" si="55"/>
        <v>#VALUE!</v>
      </c>
      <c r="AK72" s="122" t="e">
        <f t="shared" si="56"/>
        <v>#VALUE!</v>
      </c>
      <c r="AL72" s="122" t="str">
        <f t="shared" si="57"/>
        <v>x</v>
      </c>
      <c r="AM72" s="122">
        <f>SUM(AL73:AL$94)</f>
        <v>0</v>
      </c>
      <c r="AN72" s="122">
        <f>SUM($AL$4:AL72)</f>
        <v>31215.543190081382</v>
      </c>
      <c r="AO72" s="122">
        <f t="shared" si="58"/>
        <v>31215.543190081382</v>
      </c>
      <c r="AP72" s="13" t="str">
        <f t="shared" si="39"/>
        <v>x</v>
      </c>
    </row>
    <row r="73" spans="1:42" x14ac:dyDescent="0.25">
      <c r="A73" s="7">
        <f t="shared" si="40"/>
        <v>69</v>
      </c>
      <c r="B73" s="122" t="str">
        <f>IF((A73&lt;='Alternative 1'!$B$12),B72+1,"x")</f>
        <v>x</v>
      </c>
      <c r="C73" s="74" t="e">
        <f>'Alternative 1'!I72</f>
        <v>#VALUE!</v>
      </c>
      <c r="D73" s="74" t="e">
        <f>'Alternative 1'!J72</f>
        <v>#VALUE!</v>
      </c>
      <c r="E73" s="122" t="e">
        <f t="shared" si="43"/>
        <v>#VALUE!</v>
      </c>
      <c r="F73" s="122" t="e">
        <f t="shared" si="44"/>
        <v>#VALUE!</v>
      </c>
      <c r="G73" s="122" t="e">
        <f t="shared" si="45"/>
        <v>#VALUE!</v>
      </c>
      <c r="H73" s="122" t="str">
        <f t="shared" si="46"/>
        <v>x</v>
      </c>
      <c r="I73" s="122">
        <f>SUM(H74:H$94)</f>
        <v>0</v>
      </c>
      <c r="J73" s="122">
        <f>SUM($H$4:H73)</f>
        <v>31215.543190081382</v>
      </c>
      <c r="K73" s="122">
        <f t="shared" si="47"/>
        <v>31215.543190081382</v>
      </c>
      <c r="L73" s="122" t="str">
        <f t="shared" si="48"/>
        <v>x</v>
      </c>
      <c r="P73" s="7">
        <f t="shared" si="41"/>
        <v>69</v>
      </c>
      <c r="Q73" s="122" t="str">
        <f>IF((AE73&lt;='Alternative 2'!$B$12),AF72+1,"x")</f>
        <v>x</v>
      </c>
      <c r="R73" s="74" t="e">
        <f>'Alternative 2'!I72</f>
        <v>#VALUE!</v>
      </c>
      <c r="S73" s="74" t="e">
        <f>'Alternative 2'!J72</f>
        <v>#VALUE!</v>
      </c>
      <c r="T73" s="122" t="e">
        <f t="shared" si="49"/>
        <v>#VALUE!</v>
      </c>
      <c r="U73" s="122" t="e">
        <f t="shared" si="50"/>
        <v>#VALUE!</v>
      </c>
      <c r="V73" s="122" t="e">
        <f t="shared" si="51"/>
        <v>#VALUE!</v>
      </c>
      <c r="W73" s="122" t="str">
        <f t="shared" si="52"/>
        <v>x</v>
      </c>
      <c r="X73" s="122">
        <f>SUM(W74:W$94)</f>
        <v>0</v>
      </c>
      <c r="Y73" s="122">
        <f>SUM($W$4:W73)</f>
        <v>31215.543190081382</v>
      </c>
      <c r="Z73" s="122">
        <f t="shared" si="53"/>
        <v>31215.543190081382</v>
      </c>
      <c r="AA73" s="13" t="str">
        <f t="shared" si="38"/>
        <v>x</v>
      </c>
      <c r="AE73" s="7">
        <f t="shared" si="42"/>
        <v>69</v>
      </c>
      <c r="AF73" s="122" t="str">
        <f>IF((AE73&lt;='Alternative 3'!$B$12),AF72+1,"x")</f>
        <v>x</v>
      </c>
      <c r="AG73" s="74" t="e">
        <f>'Alternative 3'!I72</f>
        <v>#VALUE!</v>
      </c>
      <c r="AH73" s="74" t="e">
        <f>'Alternative 3'!J72</f>
        <v>#VALUE!</v>
      </c>
      <c r="AI73" s="122" t="e">
        <f t="shared" si="54"/>
        <v>#VALUE!</v>
      </c>
      <c r="AJ73" s="122" t="e">
        <f t="shared" si="55"/>
        <v>#VALUE!</v>
      </c>
      <c r="AK73" s="122" t="e">
        <f t="shared" si="56"/>
        <v>#VALUE!</v>
      </c>
      <c r="AL73" s="122" t="str">
        <f t="shared" si="57"/>
        <v>x</v>
      </c>
      <c r="AM73" s="122">
        <f>SUM(AL74:AL$94)</f>
        <v>0</v>
      </c>
      <c r="AN73" s="122">
        <f>SUM($AL$4:AL73)</f>
        <v>31215.543190081382</v>
      </c>
      <c r="AO73" s="122">
        <f t="shared" si="58"/>
        <v>31215.543190081382</v>
      </c>
      <c r="AP73" s="13" t="str">
        <f t="shared" si="39"/>
        <v>x</v>
      </c>
    </row>
    <row r="74" spans="1:42" x14ac:dyDescent="0.25">
      <c r="A74" s="7">
        <f t="shared" si="40"/>
        <v>70</v>
      </c>
      <c r="B74" s="122" t="str">
        <f>IF((A74&lt;='Alternative 1'!$B$12),B73+1,"x")</f>
        <v>x</v>
      </c>
      <c r="C74" s="74" t="e">
        <f>'Alternative 1'!I73</f>
        <v>#VALUE!</v>
      </c>
      <c r="D74" s="74" t="e">
        <f>'Alternative 1'!J73</f>
        <v>#VALUE!</v>
      </c>
      <c r="E74" s="122" t="e">
        <f t="shared" si="43"/>
        <v>#VALUE!</v>
      </c>
      <c r="F74" s="122" t="e">
        <f t="shared" si="44"/>
        <v>#VALUE!</v>
      </c>
      <c r="G74" s="122" t="e">
        <f t="shared" si="45"/>
        <v>#VALUE!</v>
      </c>
      <c r="H74" s="122" t="str">
        <f t="shared" si="46"/>
        <v>x</v>
      </c>
      <c r="I74" s="122">
        <f>SUM(H75:H$94)</f>
        <v>0</v>
      </c>
      <c r="J74" s="122">
        <f>SUM($H$4:H74)</f>
        <v>31215.543190081382</v>
      </c>
      <c r="K74" s="122">
        <f t="shared" si="47"/>
        <v>31215.543190081382</v>
      </c>
      <c r="L74" s="122" t="str">
        <f t="shared" si="48"/>
        <v>x</v>
      </c>
      <c r="P74" s="7">
        <f t="shared" si="41"/>
        <v>70</v>
      </c>
      <c r="Q74" s="122" t="str">
        <f>IF((AE74&lt;='Alternative 2'!$B$12),AF73+1,"x")</f>
        <v>x</v>
      </c>
      <c r="R74" s="74" t="e">
        <f>'Alternative 2'!I73</f>
        <v>#VALUE!</v>
      </c>
      <c r="S74" s="74" t="e">
        <f>'Alternative 2'!J73</f>
        <v>#VALUE!</v>
      </c>
      <c r="T74" s="122" t="e">
        <f t="shared" si="49"/>
        <v>#VALUE!</v>
      </c>
      <c r="U74" s="122" t="e">
        <f t="shared" si="50"/>
        <v>#VALUE!</v>
      </c>
      <c r="V74" s="122" t="e">
        <f t="shared" si="51"/>
        <v>#VALUE!</v>
      </c>
      <c r="W74" s="122" t="str">
        <f t="shared" si="52"/>
        <v>x</v>
      </c>
      <c r="X74" s="122">
        <f>SUM(W75:W$94)</f>
        <v>0</v>
      </c>
      <c r="Y74" s="122">
        <f>SUM($W$4:W74)</f>
        <v>31215.543190081382</v>
      </c>
      <c r="Z74" s="122">
        <f t="shared" si="53"/>
        <v>31215.543190081382</v>
      </c>
      <c r="AA74" s="13" t="str">
        <f t="shared" si="38"/>
        <v>x</v>
      </c>
      <c r="AE74" s="7">
        <f t="shared" si="42"/>
        <v>70</v>
      </c>
      <c r="AF74" s="122" t="str">
        <f>IF((AE74&lt;='Alternative 3'!$B$12),AF73+1,"x")</f>
        <v>x</v>
      </c>
      <c r="AG74" s="74" t="e">
        <f>'Alternative 3'!I73</f>
        <v>#VALUE!</v>
      </c>
      <c r="AH74" s="74" t="e">
        <f>'Alternative 3'!J73</f>
        <v>#VALUE!</v>
      </c>
      <c r="AI74" s="122" t="e">
        <f t="shared" si="54"/>
        <v>#VALUE!</v>
      </c>
      <c r="AJ74" s="122" t="e">
        <f t="shared" si="55"/>
        <v>#VALUE!</v>
      </c>
      <c r="AK74" s="122" t="e">
        <f t="shared" si="56"/>
        <v>#VALUE!</v>
      </c>
      <c r="AL74" s="122" t="str">
        <f t="shared" si="57"/>
        <v>x</v>
      </c>
      <c r="AM74" s="122">
        <f>SUM(AL75:AL$94)</f>
        <v>0</v>
      </c>
      <c r="AN74" s="122">
        <f>SUM($AL$4:AL74)</f>
        <v>31215.543190081382</v>
      </c>
      <c r="AO74" s="122">
        <f t="shared" si="58"/>
        <v>31215.543190081382</v>
      </c>
      <c r="AP74" s="13" t="str">
        <f t="shared" si="39"/>
        <v>x</v>
      </c>
    </row>
    <row r="75" spans="1:42" x14ac:dyDescent="0.25">
      <c r="A75" s="7">
        <f t="shared" si="40"/>
        <v>71</v>
      </c>
      <c r="B75" s="122" t="str">
        <f>IF((A75&lt;='Alternative 1'!$B$12),B74+1,"x")</f>
        <v>x</v>
      </c>
      <c r="C75" s="74" t="e">
        <f>'Alternative 1'!I74</f>
        <v>#VALUE!</v>
      </c>
      <c r="D75" s="74" t="e">
        <f>'Alternative 1'!J74</f>
        <v>#VALUE!</v>
      </c>
      <c r="E75" s="122" t="e">
        <f t="shared" si="43"/>
        <v>#VALUE!</v>
      </c>
      <c r="F75" s="122" t="e">
        <f t="shared" si="44"/>
        <v>#VALUE!</v>
      </c>
      <c r="G75" s="122" t="e">
        <f t="shared" si="45"/>
        <v>#VALUE!</v>
      </c>
      <c r="H75" s="122" t="str">
        <f t="shared" si="46"/>
        <v>x</v>
      </c>
      <c r="I75" s="122">
        <f>SUM(H76:H$94)</f>
        <v>0</v>
      </c>
      <c r="J75" s="122">
        <f>SUM($H$4:H75)</f>
        <v>31215.543190081382</v>
      </c>
      <c r="K75" s="122">
        <f t="shared" si="47"/>
        <v>31215.543190081382</v>
      </c>
      <c r="L75" s="122" t="str">
        <f t="shared" si="48"/>
        <v>x</v>
      </c>
      <c r="P75" s="7">
        <f t="shared" si="41"/>
        <v>71</v>
      </c>
      <c r="Q75" s="122" t="str">
        <f>IF((AE75&lt;='Alternative 2'!$B$12),AF74+1,"x")</f>
        <v>x</v>
      </c>
      <c r="R75" s="74" t="e">
        <f>'Alternative 2'!I74</f>
        <v>#VALUE!</v>
      </c>
      <c r="S75" s="74" t="e">
        <f>'Alternative 2'!J74</f>
        <v>#VALUE!</v>
      </c>
      <c r="T75" s="122" t="e">
        <f t="shared" si="49"/>
        <v>#VALUE!</v>
      </c>
      <c r="U75" s="122" t="e">
        <f t="shared" si="50"/>
        <v>#VALUE!</v>
      </c>
      <c r="V75" s="122" t="e">
        <f t="shared" si="51"/>
        <v>#VALUE!</v>
      </c>
      <c r="W75" s="122" t="str">
        <f t="shared" si="52"/>
        <v>x</v>
      </c>
      <c r="X75" s="122">
        <f>SUM(W76:W$94)</f>
        <v>0</v>
      </c>
      <c r="Y75" s="122">
        <f>SUM($W$4:W75)</f>
        <v>31215.543190081382</v>
      </c>
      <c r="Z75" s="122">
        <f t="shared" si="53"/>
        <v>31215.543190081382</v>
      </c>
      <c r="AA75" s="13" t="str">
        <f t="shared" si="38"/>
        <v>x</v>
      </c>
      <c r="AE75" s="7">
        <f t="shared" si="42"/>
        <v>71</v>
      </c>
      <c r="AF75" s="122" t="str">
        <f>IF((AE75&lt;='Alternative 3'!$B$12),AF74+1,"x")</f>
        <v>x</v>
      </c>
      <c r="AG75" s="74" t="e">
        <f>'Alternative 3'!I74</f>
        <v>#VALUE!</v>
      </c>
      <c r="AH75" s="74" t="e">
        <f>'Alternative 3'!J74</f>
        <v>#VALUE!</v>
      </c>
      <c r="AI75" s="122" t="e">
        <f t="shared" si="54"/>
        <v>#VALUE!</v>
      </c>
      <c r="AJ75" s="122" t="e">
        <f t="shared" si="55"/>
        <v>#VALUE!</v>
      </c>
      <c r="AK75" s="122" t="e">
        <f t="shared" si="56"/>
        <v>#VALUE!</v>
      </c>
      <c r="AL75" s="122" t="str">
        <f t="shared" si="57"/>
        <v>x</v>
      </c>
      <c r="AM75" s="122">
        <f>SUM(AL76:AL$94)</f>
        <v>0</v>
      </c>
      <c r="AN75" s="122">
        <f>SUM($AL$4:AL75)</f>
        <v>31215.543190081382</v>
      </c>
      <c r="AO75" s="122">
        <f t="shared" si="58"/>
        <v>31215.543190081382</v>
      </c>
      <c r="AP75" s="13" t="str">
        <f t="shared" si="39"/>
        <v>x</v>
      </c>
    </row>
    <row r="76" spans="1:42" x14ac:dyDescent="0.25">
      <c r="A76" s="7">
        <f t="shared" si="40"/>
        <v>72</v>
      </c>
      <c r="B76" s="122" t="str">
        <f>IF((A76&lt;='Alternative 1'!$B$12),B75+1,"x")</f>
        <v>x</v>
      </c>
      <c r="C76" s="74" t="e">
        <f>'Alternative 1'!I75</f>
        <v>#VALUE!</v>
      </c>
      <c r="D76" s="74" t="e">
        <f>'Alternative 1'!J75</f>
        <v>#VALUE!</v>
      </c>
      <c r="E76" s="122" t="e">
        <f t="shared" si="43"/>
        <v>#VALUE!</v>
      </c>
      <c r="F76" s="122" t="e">
        <f t="shared" si="44"/>
        <v>#VALUE!</v>
      </c>
      <c r="G76" s="122" t="e">
        <f t="shared" si="45"/>
        <v>#VALUE!</v>
      </c>
      <c r="H76" s="122" t="str">
        <f t="shared" si="46"/>
        <v>x</v>
      </c>
      <c r="I76" s="122">
        <f>SUM(H77:H$94)</f>
        <v>0</v>
      </c>
      <c r="J76" s="122">
        <f>SUM($H$4:H76)</f>
        <v>31215.543190081382</v>
      </c>
      <c r="K76" s="122">
        <f t="shared" si="47"/>
        <v>31215.543190081382</v>
      </c>
      <c r="L76" s="122" t="str">
        <f t="shared" si="48"/>
        <v>x</v>
      </c>
      <c r="P76" s="7">
        <f t="shared" si="41"/>
        <v>72</v>
      </c>
      <c r="Q76" s="122" t="str">
        <f>IF((AE76&lt;='Alternative 2'!$B$12),AF75+1,"x")</f>
        <v>x</v>
      </c>
      <c r="R76" s="74" t="e">
        <f>'Alternative 2'!I75</f>
        <v>#VALUE!</v>
      </c>
      <c r="S76" s="74" t="e">
        <f>'Alternative 2'!J75</f>
        <v>#VALUE!</v>
      </c>
      <c r="T76" s="122" t="e">
        <f t="shared" si="49"/>
        <v>#VALUE!</v>
      </c>
      <c r="U76" s="122" t="e">
        <f t="shared" si="50"/>
        <v>#VALUE!</v>
      </c>
      <c r="V76" s="122" t="e">
        <f t="shared" si="51"/>
        <v>#VALUE!</v>
      </c>
      <c r="W76" s="122" t="str">
        <f t="shared" si="52"/>
        <v>x</v>
      </c>
      <c r="X76" s="122">
        <f>SUM(W77:W$94)</f>
        <v>0</v>
      </c>
      <c r="Y76" s="122">
        <f>SUM($W$4:W76)</f>
        <v>31215.543190081382</v>
      </c>
      <c r="Z76" s="122">
        <f t="shared" si="53"/>
        <v>31215.543190081382</v>
      </c>
      <c r="AA76" s="13" t="str">
        <f t="shared" si="38"/>
        <v>x</v>
      </c>
      <c r="AE76" s="7">
        <f t="shared" si="42"/>
        <v>72</v>
      </c>
      <c r="AF76" s="122" t="str">
        <f>IF((AE76&lt;='Alternative 3'!$B$12),AF75+1,"x")</f>
        <v>x</v>
      </c>
      <c r="AG76" s="74" t="e">
        <f>'Alternative 3'!I75</f>
        <v>#VALUE!</v>
      </c>
      <c r="AH76" s="74" t="e">
        <f>'Alternative 3'!J75</f>
        <v>#VALUE!</v>
      </c>
      <c r="AI76" s="122" t="e">
        <f t="shared" si="54"/>
        <v>#VALUE!</v>
      </c>
      <c r="AJ76" s="122" t="e">
        <f t="shared" si="55"/>
        <v>#VALUE!</v>
      </c>
      <c r="AK76" s="122" t="e">
        <f t="shared" si="56"/>
        <v>#VALUE!</v>
      </c>
      <c r="AL76" s="122" t="str">
        <f t="shared" si="57"/>
        <v>x</v>
      </c>
      <c r="AM76" s="122">
        <f>SUM(AL77:AL$94)</f>
        <v>0</v>
      </c>
      <c r="AN76" s="122">
        <f>SUM($AL$4:AL76)</f>
        <v>31215.543190081382</v>
      </c>
      <c r="AO76" s="122">
        <f t="shared" si="58"/>
        <v>31215.543190081382</v>
      </c>
      <c r="AP76" s="13" t="str">
        <f t="shared" si="39"/>
        <v>x</v>
      </c>
    </row>
    <row r="77" spans="1:42" x14ac:dyDescent="0.25">
      <c r="A77" s="7">
        <f t="shared" si="40"/>
        <v>73</v>
      </c>
      <c r="B77" s="122" t="str">
        <f>IF((A77&lt;='Alternative 1'!$B$12),B76+1,"x")</f>
        <v>x</v>
      </c>
      <c r="C77" s="74" t="e">
        <f>'Alternative 1'!I76</f>
        <v>#VALUE!</v>
      </c>
      <c r="D77" s="74" t="e">
        <f>'Alternative 1'!J76</f>
        <v>#VALUE!</v>
      </c>
      <c r="E77" s="122" t="e">
        <f t="shared" si="43"/>
        <v>#VALUE!</v>
      </c>
      <c r="F77" s="122" t="e">
        <f t="shared" si="44"/>
        <v>#VALUE!</v>
      </c>
      <c r="G77" s="122" t="e">
        <f t="shared" si="45"/>
        <v>#VALUE!</v>
      </c>
      <c r="H77" s="122" t="str">
        <f t="shared" si="46"/>
        <v>x</v>
      </c>
      <c r="I77" s="122">
        <f>SUM(H78:H$94)</f>
        <v>0</v>
      </c>
      <c r="J77" s="122">
        <f>SUM($H$4:H77)</f>
        <v>31215.543190081382</v>
      </c>
      <c r="K77" s="122">
        <f t="shared" si="47"/>
        <v>31215.543190081382</v>
      </c>
      <c r="L77" s="122" t="str">
        <f t="shared" si="48"/>
        <v>x</v>
      </c>
      <c r="P77" s="7">
        <f t="shared" si="41"/>
        <v>73</v>
      </c>
      <c r="Q77" s="122" t="str">
        <f>IF((AE77&lt;='Alternative 2'!$B$12),AF76+1,"x")</f>
        <v>x</v>
      </c>
      <c r="R77" s="74" t="e">
        <f>'Alternative 2'!I76</f>
        <v>#VALUE!</v>
      </c>
      <c r="S77" s="74" t="e">
        <f>'Alternative 2'!J76</f>
        <v>#VALUE!</v>
      </c>
      <c r="T77" s="122" t="e">
        <f t="shared" si="49"/>
        <v>#VALUE!</v>
      </c>
      <c r="U77" s="122" t="e">
        <f t="shared" si="50"/>
        <v>#VALUE!</v>
      </c>
      <c r="V77" s="122" t="e">
        <f t="shared" si="51"/>
        <v>#VALUE!</v>
      </c>
      <c r="W77" s="122" t="str">
        <f t="shared" si="52"/>
        <v>x</v>
      </c>
      <c r="X77" s="122">
        <f>SUM(W78:W$94)</f>
        <v>0</v>
      </c>
      <c r="Y77" s="122">
        <f>SUM($W$4:W77)</f>
        <v>31215.543190081382</v>
      </c>
      <c r="Z77" s="122">
        <f t="shared" si="53"/>
        <v>31215.543190081382</v>
      </c>
      <c r="AA77" s="13" t="str">
        <f t="shared" si="38"/>
        <v>x</v>
      </c>
      <c r="AE77" s="7">
        <f t="shared" si="42"/>
        <v>73</v>
      </c>
      <c r="AF77" s="122" t="str">
        <f>IF((AE77&lt;='Alternative 3'!$B$12),AF76+1,"x")</f>
        <v>x</v>
      </c>
      <c r="AG77" s="74" t="e">
        <f>'Alternative 3'!I76</f>
        <v>#VALUE!</v>
      </c>
      <c r="AH77" s="74" t="e">
        <f>'Alternative 3'!J76</f>
        <v>#VALUE!</v>
      </c>
      <c r="AI77" s="122" t="e">
        <f t="shared" si="54"/>
        <v>#VALUE!</v>
      </c>
      <c r="AJ77" s="122" t="e">
        <f t="shared" si="55"/>
        <v>#VALUE!</v>
      </c>
      <c r="AK77" s="122" t="e">
        <f t="shared" si="56"/>
        <v>#VALUE!</v>
      </c>
      <c r="AL77" s="122" t="str">
        <f t="shared" si="57"/>
        <v>x</v>
      </c>
      <c r="AM77" s="122">
        <f>SUM(AL78:AL$94)</f>
        <v>0</v>
      </c>
      <c r="AN77" s="122">
        <f>SUM($AL$4:AL77)</f>
        <v>31215.543190081382</v>
      </c>
      <c r="AO77" s="122">
        <f t="shared" si="58"/>
        <v>31215.543190081382</v>
      </c>
      <c r="AP77" s="13" t="str">
        <f t="shared" si="39"/>
        <v>x</v>
      </c>
    </row>
    <row r="78" spans="1:42" x14ac:dyDescent="0.25">
      <c r="A78" s="7">
        <f t="shared" si="40"/>
        <v>74</v>
      </c>
      <c r="B78" s="122" t="str">
        <f>IF((A78&lt;='Alternative 1'!$B$12),B77+1,"x")</f>
        <v>x</v>
      </c>
      <c r="C78" s="74" t="e">
        <f>'Alternative 1'!I77</f>
        <v>#VALUE!</v>
      </c>
      <c r="D78" s="74" t="e">
        <f>'Alternative 1'!J77</f>
        <v>#VALUE!</v>
      </c>
      <c r="E78" s="122" t="e">
        <f t="shared" si="43"/>
        <v>#VALUE!</v>
      </c>
      <c r="F78" s="122" t="e">
        <f t="shared" si="44"/>
        <v>#VALUE!</v>
      </c>
      <c r="G78" s="122" t="e">
        <f t="shared" si="45"/>
        <v>#VALUE!</v>
      </c>
      <c r="H78" s="122" t="str">
        <f t="shared" si="46"/>
        <v>x</v>
      </c>
      <c r="I78" s="122">
        <f>SUM(H79:H$94)</f>
        <v>0</v>
      </c>
      <c r="J78" s="122">
        <f>SUM($H$4:H78)</f>
        <v>31215.543190081382</v>
      </c>
      <c r="K78" s="122">
        <f t="shared" si="47"/>
        <v>31215.543190081382</v>
      </c>
      <c r="L78" s="122" t="str">
        <f t="shared" si="48"/>
        <v>x</v>
      </c>
      <c r="P78" s="7">
        <f t="shared" si="41"/>
        <v>74</v>
      </c>
      <c r="Q78" s="122" t="str">
        <f>IF((AE78&lt;='Alternative 2'!$B$12),AF77+1,"x")</f>
        <v>x</v>
      </c>
      <c r="R78" s="74" t="e">
        <f>'Alternative 2'!I77</f>
        <v>#VALUE!</v>
      </c>
      <c r="S78" s="74" t="e">
        <f>'Alternative 2'!J77</f>
        <v>#VALUE!</v>
      </c>
      <c r="T78" s="122" t="e">
        <f t="shared" si="49"/>
        <v>#VALUE!</v>
      </c>
      <c r="U78" s="122" t="e">
        <f t="shared" si="50"/>
        <v>#VALUE!</v>
      </c>
      <c r="V78" s="122" t="e">
        <f t="shared" si="51"/>
        <v>#VALUE!</v>
      </c>
      <c r="W78" s="122" t="str">
        <f t="shared" si="52"/>
        <v>x</v>
      </c>
      <c r="X78" s="122">
        <f>SUM(W79:W$94)</f>
        <v>0</v>
      </c>
      <c r="Y78" s="122">
        <f>SUM($W$4:W78)</f>
        <v>31215.543190081382</v>
      </c>
      <c r="Z78" s="122">
        <f t="shared" si="53"/>
        <v>31215.543190081382</v>
      </c>
      <c r="AA78" s="13" t="str">
        <f t="shared" si="38"/>
        <v>x</v>
      </c>
      <c r="AE78" s="7">
        <f t="shared" si="42"/>
        <v>74</v>
      </c>
      <c r="AF78" s="122" t="str">
        <f>IF((AE78&lt;='Alternative 3'!$B$12),AF77+1,"x")</f>
        <v>x</v>
      </c>
      <c r="AG78" s="74" t="e">
        <f>'Alternative 3'!I77</f>
        <v>#VALUE!</v>
      </c>
      <c r="AH78" s="74" t="e">
        <f>'Alternative 3'!J77</f>
        <v>#VALUE!</v>
      </c>
      <c r="AI78" s="122" t="e">
        <f t="shared" si="54"/>
        <v>#VALUE!</v>
      </c>
      <c r="AJ78" s="122" t="e">
        <f t="shared" si="55"/>
        <v>#VALUE!</v>
      </c>
      <c r="AK78" s="122" t="e">
        <f t="shared" si="56"/>
        <v>#VALUE!</v>
      </c>
      <c r="AL78" s="122" t="str">
        <f t="shared" si="57"/>
        <v>x</v>
      </c>
      <c r="AM78" s="122">
        <f>SUM(AL79:AL$94)</f>
        <v>0</v>
      </c>
      <c r="AN78" s="122">
        <f>SUM($AL$4:AL78)</f>
        <v>31215.543190081382</v>
      </c>
      <c r="AO78" s="122">
        <f t="shared" si="58"/>
        <v>31215.543190081382</v>
      </c>
      <c r="AP78" s="13" t="str">
        <f t="shared" si="39"/>
        <v>x</v>
      </c>
    </row>
    <row r="79" spans="1:42" x14ac:dyDescent="0.25">
      <c r="A79" s="7">
        <f t="shared" si="40"/>
        <v>75</v>
      </c>
      <c r="B79" s="122" t="str">
        <f>IF((A79&lt;='Alternative 1'!$B$12),B78+1,"x")</f>
        <v>x</v>
      </c>
      <c r="C79" s="74" t="e">
        <f>'Alternative 1'!I78</f>
        <v>#VALUE!</v>
      </c>
      <c r="D79" s="74" t="e">
        <f>'Alternative 1'!J78</f>
        <v>#VALUE!</v>
      </c>
      <c r="E79" s="122" t="e">
        <f t="shared" si="43"/>
        <v>#VALUE!</v>
      </c>
      <c r="F79" s="122" t="e">
        <f t="shared" si="44"/>
        <v>#VALUE!</v>
      </c>
      <c r="G79" s="122" t="e">
        <f t="shared" si="45"/>
        <v>#VALUE!</v>
      </c>
      <c r="H79" s="122" t="str">
        <f t="shared" si="46"/>
        <v>x</v>
      </c>
      <c r="I79" s="122">
        <f>SUM(H80:H$94)</f>
        <v>0</v>
      </c>
      <c r="J79" s="122">
        <f>SUM($H$4:H79)</f>
        <v>31215.543190081382</v>
      </c>
      <c r="K79" s="122">
        <f t="shared" si="47"/>
        <v>31215.543190081382</v>
      </c>
      <c r="L79" s="122" t="str">
        <f t="shared" si="48"/>
        <v>x</v>
      </c>
      <c r="P79" s="7">
        <f t="shared" si="41"/>
        <v>75</v>
      </c>
      <c r="Q79" s="122" t="str">
        <f>IF((AE79&lt;='Alternative 2'!$B$12),AF78+1,"x")</f>
        <v>x</v>
      </c>
      <c r="R79" s="74" t="e">
        <f>'Alternative 2'!I78</f>
        <v>#VALUE!</v>
      </c>
      <c r="S79" s="74" t="e">
        <f>'Alternative 2'!J78</f>
        <v>#VALUE!</v>
      </c>
      <c r="T79" s="122" t="e">
        <f t="shared" si="49"/>
        <v>#VALUE!</v>
      </c>
      <c r="U79" s="122" t="e">
        <f t="shared" si="50"/>
        <v>#VALUE!</v>
      </c>
      <c r="V79" s="122" t="e">
        <f t="shared" si="51"/>
        <v>#VALUE!</v>
      </c>
      <c r="W79" s="122" t="str">
        <f t="shared" si="52"/>
        <v>x</v>
      </c>
      <c r="X79" s="122">
        <f>SUM(W80:W$94)</f>
        <v>0</v>
      </c>
      <c r="Y79" s="122">
        <f>SUM($W$4:W79)</f>
        <v>31215.543190081382</v>
      </c>
      <c r="Z79" s="122">
        <f t="shared" si="53"/>
        <v>31215.543190081382</v>
      </c>
      <c r="AA79" s="13" t="str">
        <f t="shared" si="38"/>
        <v>x</v>
      </c>
      <c r="AE79" s="7">
        <f t="shared" si="42"/>
        <v>75</v>
      </c>
      <c r="AF79" s="122" t="str">
        <f>IF((AE79&lt;='Alternative 3'!$B$12),AF78+1,"x")</f>
        <v>x</v>
      </c>
      <c r="AG79" s="74" t="e">
        <f>'Alternative 3'!I78</f>
        <v>#VALUE!</v>
      </c>
      <c r="AH79" s="74" t="e">
        <f>'Alternative 3'!J78</f>
        <v>#VALUE!</v>
      </c>
      <c r="AI79" s="122" t="e">
        <f t="shared" si="54"/>
        <v>#VALUE!</v>
      </c>
      <c r="AJ79" s="122" t="e">
        <f t="shared" si="55"/>
        <v>#VALUE!</v>
      </c>
      <c r="AK79" s="122" t="e">
        <f t="shared" si="56"/>
        <v>#VALUE!</v>
      </c>
      <c r="AL79" s="122" t="str">
        <f t="shared" si="57"/>
        <v>x</v>
      </c>
      <c r="AM79" s="122">
        <f>SUM(AL80:AL$94)</f>
        <v>0</v>
      </c>
      <c r="AN79" s="122">
        <f>SUM($AL$4:AL79)</f>
        <v>31215.543190081382</v>
      </c>
      <c r="AO79" s="122">
        <f t="shared" si="58"/>
        <v>31215.543190081382</v>
      </c>
      <c r="AP79" s="13" t="str">
        <f t="shared" si="39"/>
        <v>x</v>
      </c>
    </row>
    <row r="80" spans="1:42" x14ac:dyDescent="0.25">
      <c r="A80" s="7">
        <f t="shared" si="40"/>
        <v>76</v>
      </c>
      <c r="B80" s="122" t="str">
        <f>IF((A80&lt;='Alternative 1'!$B$12),B79+1,"x")</f>
        <v>x</v>
      </c>
      <c r="C80" s="74" t="e">
        <f>'Alternative 1'!I79</f>
        <v>#VALUE!</v>
      </c>
      <c r="D80" s="74" t="e">
        <f>'Alternative 1'!J79</f>
        <v>#VALUE!</v>
      </c>
      <c r="E80" s="122" t="e">
        <f t="shared" si="43"/>
        <v>#VALUE!</v>
      </c>
      <c r="F80" s="122" t="e">
        <f t="shared" si="44"/>
        <v>#VALUE!</v>
      </c>
      <c r="G80" s="122" t="e">
        <f t="shared" si="45"/>
        <v>#VALUE!</v>
      </c>
      <c r="H80" s="122" t="str">
        <f t="shared" si="46"/>
        <v>x</v>
      </c>
      <c r="I80" s="122">
        <f>SUM(H81:H$94)</f>
        <v>0</v>
      </c>
      <c r="J80" s="122">
        <f>SUM($H$4:H80)</f>
        <v>31215.543190081382</v>
      </c>
      <c r="K80" s="122">
        <f t="shared" si="47"/>
        <v>31215.543190081382</v>
      </c>
      <c r="L80" s="122" t="str">
        <f t="shared" si="48"/>
        <v>x</v>
      </c>
      <c r="P80" s="7">
        <f t="shared" si="41"/>
        <v>76</v>
      </c>
      <c r="Q80" s="122" t="str">
        <f>IF((AE80&lt;='Alternative 2'!$B$12),AF79+1,"x")</f>
        <v>x</v>
      </c>
      <c r="R80" s="74" t="e">
        <f>'Alternative 2'!I79</f>
        <v>#VALUE!</v>
      </c>
      <c r="S80" s="74" t="e">
        <f>'Alternative 2'!J79</f>
        <v>#VALUE!</v>
      </c>
      <c r="T80" s="122" t="e">
        <f t="shared" si="49"/>
        <v>#VALUE!</v>
      </c>
      <c r="U80" s="122" t="e">
        <f t="shared" si="50"/>
        <v>#VALUE!</v>
      </c>
      <c r="V80" s="122" t="e">
        <f t="shared" si="51"/>
        <v>#VALUE!</v>
      </c>
      <c r="W80" s="122" t="str">
        <f t="shared" si="52"/>
        <v>x</v>
      </c>
      <c r="X80" s="122">
        <f>SUM(W81:W$94)</f>
        <v>0</v>
      </c>
      <c r="Y80" s="122">
        <f>SUM($W$4:W80)</f>
        <v>31215.543190081382</v>
      </c>
      <c r="Z80" s="122">
        <f t="shared" si="53"/>
        <v>31215.543190081382</v>
      </c>
      <c r="AA80" s="13" t="str">
        <f t="shared" si="38"/>
        <v>x</v>
      </c>
      <c r="AE80" s="7">
        <f t="shared" si="42"/>
        <v>76</v>
      </c>
      <c r="AF80" s="122" t="str">
        <f>IF((AE80&lt;='Alternative 3'!$B$12),AF79+1,"x")</f>
        <v>x</v>
      </c>
      <c r="AG80" s="74" t="e">
        <f>'Alternative 3'!I79</f>
        <v>#VALUE!</v>
      </c>
      <c r="AH80" s="74" t="e">
        <f>'Alternative 3'!J79</f>
        <v>#VALUE!</v>
      </c>
      <c r="AI80" s="122" t="e">
        <f t="shared" si="54"/>
        <v>#VALUE!</v>
      </c>
      <c r="AJ80" s="122" t="e">
        <f t="shared" si="55"/>
        <v>#VALUE!</v>
      </c>
      <c r="AK80" s="122" t="e">
        <f t="shared" si="56"/>
        <v>#VALUE!</v>
      </c>
      <c r="AL80" s="122" t="str">
        <f t="shared" si="57"/>
        <v>x</v>
      </c>
      <c r="AM80" s="122">
        <f>SUM(AL81:AL$94)</f>
        <v>0</v>
      </c>
      <c r="AN80" s="122">
        <f>SUM($AL$4:AL80)</f>
        <v>31215.543190081382</v>
      </c>
      <c r="AO80" s="122">
        <f t="shared" si="58"/>
        <v>31215.543190081382</v>
      </c>
      <c r="AP80" s="13" t="str">
        <f t="shared" si="39"/>
        <v>x</v>
      </c>
    </row>
    <row r="81" spans="1:42" x14ac:dyDescent="0.25">
      <c r="A81" s="7">
        <f t="shared" si="40"/>
        <v>77</v>
      </c>
      <c r="B81" s="122" t="str">
        <f>IF((A81&lt;='Alternative 1'!$B$12),B80+1,"x")</f>
        <v>x</v>
      </c>
      <c r="C81" s="74" t="e">
        <f>'Alternative 1'!I80</f>
        <v>#VALUE!</v>
      </c>
      <c r="D81" s="74" t="e">
        <f>'Alternative 1'!J80</f>
        <v>#VALUE!</v>
      </c>
      <c r="E81" s="122" t="e">
        <f t="shared" si="43"/>
        <v>#VALUE!</v>
      </c>
      <c r="F81" s="122" t="e">
        <f t="shared" si="44"/>
        <v>#VALUE!</v>
      </c>
      <c r="G81" s="122" t="e">
        <f t="shared" si="45"/>
        <v>#VALUE!</v>
      </c>
      <c r="H81" s="122" t="str">
        <f t="shared" si="46"/>
        <v>x</v>
      </c>
      <c r="I81" s="122">
        <f>SUM(H82:H$94)</f>
        <v>0</v>
      </c>
      <c r="J81" s="122">
        <f>SUM($H$4:H81)</f>
        <v>31215.543190081382</v>
      </c>
      <c r="K81" s="122">
        <f t="shared" si="47"/>
        <v>31215.543190081382</v>
      </c>
      <c r="L81" s="122" t="str">
        <f t="shared" si="48"/>
        <v>x</v>
      </c>
      <c r="P81" s="7">
        <f t="shared" si="41"/>
        <v>77</v>
      </c>
      <c r="Q81" s="122" t="str">
        <f>IF((AE81&lt;='Alternative 2'!$B$12),AF80+1,"x")</f>
        <v>x</v>
      </c>
      <c r="R81" s="74" t="e">
        <f>'Alternative 2'!I80</f>
        <v>#VALUE!</v>
      </c>
      <c r="S81" s="74" t="e">
        <f>'Alternative 2'!J80</f>
        <v>#VALUE!</v>
      </c>
      <c r="T81" s="122" t="e">
        <f t="shared" si="49"/>
        <v>#VALUE!</v>
      </c>
      <c r="U81" s="122" t="e">
        <f t="shared" si="50"/>
        <v>#VALUE!</v>
      </c>
      <c r="V81" s="122" t="e">
        <f t="shared" si="51"/>
        <v>#VALUE!</v>
      </c>
      <c r="W81" s="122" t="str">
        <f t="shared" si="52"/>
        <v>x</v>
      </c>
      <c r="X81" s="122">
        <f>SUM(W82:W$94)</f>
        <v>0</v>
      </c>
      <c r="Y81" s="122">
        <f>SUM($W$4:W81)</f>
        <v>31215.543190081382</v>
      </c>
      <c r="Z81" s="122">
        <f t="shared" si="53"/>
        <v>31215.543190081382</v>
      </c>
      <c r="AA81" s="13" t="str">
        <f t="shared" si="38"/>
        <v>x</v>
      </c>
      <c r="AE81" s="7">
        <f t="shared" si="42"/>
        <v>77</v>
      </c>
      <c r="AF81" s="122" t="str">
        <f>IF((AE81&lt;='Alternative 3'!$B$12),AF80+1,"x")</f>
        <v>x</v>
      </c>
      <c r="AG81" s="74" t="e">
        <f>'Alternative 3'!I80</f>
        <v>#VALUE!</v>
      </c>
      <c r="AH81" s="74" t="e">
        <f>'Alternative 3'!J80</f>
        <v>#VALUE!</v>
      </c>
      <c r="AI81" s="122" t="e">
        <f t="shared" si="54"/>
        <v>#VALUE!</v>
      </c>
      <c r="AJ81" s="122" t="e">
        <f t="shared" si="55"/>
        <v>#VALUE!</v>
      </c>
      <c r="AK81" s="122" t="e">
        <f t="shared" si="56"/>
        <v>#VALUE!</v>
      </c>
      <c r="AL81" s="122" t="str">
        <f t="shared" si="57"/>
        <v>x</v>
      </c>
      <c r="AM81" s="122">
        <f>SUM(AL82:AL$94)</f>
        <v>0</v>
      </c>
      <c r="AN81" s="122">
        <f>SUM($AL$4:AL81)</f>
        <v>31215.543190081382</v>
      </c>
      <c r="AO81" s="122">
        <f t="shared" si="58"/>
        <v>31215.543190081382</v>
      </c>
      <c r="AP81" s="13" t="str">
        <f t="shared" si="39"/>
        <v>x</v>
      </c>
    </row>
    <row r="82" spans="1:42" x14ac:dyDescent="0.25">
      <c r="A82" s="7">
        <f t="shared" si="40"/>
        <v>78</v>
      </c>
      <c r="B82" s="122" t="str">
        <f>IF((A82&lt;='Alternative 1'!$B$12),B81+1,"x")</f>
        <v>x</v>
      </c>
      <c r="C82" s="74" t="e">
        <f>'Alternative 1'!I81</f>
        <v>#VALUE!</v>
      </c>
      <c r="D82" s="74" t="e">
        <f>'Alternative 1'!J81</f>
        <v>#VALUE!</v>
      </c>
      <c r="E82" s="122" t="e">
        <f t="shared" si="43"/>
        <v>#VALUE!</v>
      </c>
      <c r="F82" s="122" t="e">
        <f t="shared" si="44"/>
        <v>#VALUE!</v>
      </c>
      <c r="G82" s="122" t="e">
        <f t="shared" si="45"/>
        <v>#VALUE!</v>
      </c>
      <c r="H82" s="122" t="str">
        <f t="shared" si="46"/>
        <v>x</v>
      </c>
      <c r="I82" s="122">
        <f>SUM(H83:H$94)</f>
        <v>0</v>
      </c>
      <c r="J82" s="122">
        <f>SUM($H$4:H82)</f>
        <v>31215.543190081382</v>
      </c>
      <c r="K82" s="122">
        <f t="shared" si="47"/>
        <v>31215.543190081382</v>
      </c>
      <c r="L82" s="122" t="str">
        <f t="shared" si="48"/>
        <v>x</v>
      </c>
      <c r="P82" s="7">
        <f t="shared" si="41"/>
        <v>78</v>
      </c>
      <c r="Q82" s="122" t="str">
        <f>IF((AE82&lt;='Alternative 2'!$B$12),AF81+1,"x")</f>
        <v>x</v>
      </c>
      <c r="R82" s="74" t="e">
        <f>'Alternative 2'!I81</f>
        <v>#VALUE!</v>
      </c>
      <c r="S82" s="74" t="e">
        <f>'Alternative 2'!J81</f>
        <v>#VALUE!</v>
      </c>
      <c r="T82" s="122" t="e">
        <f t="shared" si="49"/>
        <v>#VALUE!</v>
      </c>
      <c r="U82" s="122" t="e">
        <f t="shared" si="50"/>
        <v>#VALUE!</v>
      </c>
      <c r="V82" s="122" t="e">
        <f t="shared" si="51"/>
        <v>#VALUE!</v>
      </c>
      <c r="W82" s="122" t="str">
        <f t="shared" si="52"/>
        <v>x</v>
      </c>
      <c r="X82" s="122">
        <f>SUM(W83:W$94)</f>
        <v>0</v>
      </c>
      <c r="Y82" s="122">
        <f>SUM($W$4:W82)</f>
        <v>31215.543190081382</v>
      </c>
      <c r="Z82" s="122">
        <f t="shared" si="53"/>
        <v>31215.543190081382</v>
      </c>
      <c r="AA82" s="13" t="str">
        <f t="shared" si="38"/>
        <v>x</v>
      </c>
      <c r="AE82" s="7">
        <f t="shared" si="42"/>
        <v>78</v>
      </c>
      <c r="AF82" s="122" t="str">
        <f>IF((AE82&lt;='Alternative 3'!$B$12),AF81+1,"x")</f>
        <v>x</v>
      </c>
      <c r="AG82" s="74" t="e">
        <f>'Alternative 3'!I81</f>
        <v>#VALUE!</v>
      </c>
      <c r="AH82" s="74" t="e">
        <f>'Alternative 3'!J81</f>
        <v>#VALUE!</v>
      </c>
      <c r="AI82" s="122" t="e">
        <f t="shared" si="54"/>
        <v>#VALUE!</v>
      </c>
      <c r="AJ82" s="122" t="e">
        <f t="shared" si="55"/>
        <v>#VALUE!</v>
      </c>
      <c r="AK82" s="122" t="e">
        <f t="shared" si="56"/>
        <v>#VALUE!</v>
      </c>
      <c r="AL82" s="122" t="str">
        <f t="shared" si="57"/>
        <v>x</v>
      </c>
      <c r="AM82" s="122">
        <f>SUM(AL83:AL$94)</f>
        <v>0</v>
      </c>
      <c r="AN82" s="122">
        <f>SUM($AL$4:AL82)</f>
        <v>31215.543190081382</v>
      </c>
      <c r="AO82" s="122">
        <f t="shared" si="58"/>
        <v>31215.543190081382</v>
      </c>
      <c r="AP82" s="13" t="str">
        <f t="shared" si="39"/>
        <v>x</v>
      </c>
    </row>
    <row r="83" spans="1:42" x14ac:dyDescent="0.25">
      <c r="A83" s="7">
        <f t="shared" si="40"/>
        <v>79</v>
      </c>
      <c r="B83" s="122" t="str">
        <f>IF((A83&lt;='Alternative 1'!$B$12),B82+1,"x")</f>
        <v>x</v>
      </c>
      <c r="C83" s="74" t="e">
        <f>'Alternative 1'!I82</f>
        <v>#VALUE!</v>
      </c>
      <c r="D83" s="74" t="e">
        <f>'Alternative 1'!J82</f>
        <v>#VALUE!</v>
      </c>
      <c r="E83" s="122" t="e">
        <f t="shared" si="43"/>
        <v>#VALUE!</v>
      </c>
      <c r="F83" s="122" t="e">
        <f t="shared" si="44"/>
        <v>#VALUE!</v>
      </c>
      <c r="G83" s="122" t="e">
        <f t="shared" si="45"/>
        <v>#VALUE!</v>
      </c>
      <c r="H83" s="122" t="str">
        <f t="shared" si="46"/>
        <v>x</v>
      </c>
      <c r="I83" s="122">
        <f>SUM(H84:H$94)</f>
        <v>0</v>
      </c>
      <c r="J83" s="122">
        <f>SUM($H$4:H83)</f>
        <v>31215.543190081382</v>
      </c>
      <c r="K83" s="122">
        <f t="shared" si="47"/>
        <v>31215.543190081382</v>
      </c>
      <c r="L83" s="122" t="str">
        <f t="shared" si="48"/>
        <v>x</v>
      </c>
      <c r="P83" s="7">
        <f t="shared" si="41"/>
        <v>79</v>
      </c>
      <c r="Q83" s="122" t="str">
        <f>IF((AE83&lt;='Alternative 2'!$B$12),AF82+1,"x")</f>
        <v>x</v>
      </c>
      <c r="R83" s="74" t="e">
        <f>'Alternative 2'!I82</f>
        <v>#VALUE!</v>
      </c>
      <c r="S83" s="74" t="e">
        <f>'Alternative 2'!J82</f>
        <v>#VALUE!</v>
      </c>
      <c r="T83" s="122" t="e">
        <f t="shared" si="49"/>
        <v>#VALUE!</v>
      </c>
      <c r="U83" s="122" t="e">
        <f t="shared" si="50"/>
        <v>#VALUE!</v>
      </c>
      <c r="V83" s="122" t="e">
        <f t="shared" si="51"/>
        <v>#VALUE!</v>
      </c>
      <c r="W83" s="122" t="str">
        <f t="shared" si="52"/>
        <v>x</v>
      </c>
      <c r="X83" s="122">
        <f>SUM(W84:W$94)</f>
        <v>0</v>
      </c>
      <c r="Y83" s="122">
        <f>SUM($W$4:W83)</f>
        <v>31215.543190081382</v>
      </c>
      <c r="Z83" s="122">
        <f t="shared" si="53"/>
        <v>31215.543190081382</v>
      </c>
      <c r="AA83" s="13" t="str">
        <f t="shared" si="38"/>
        <v>x</v>
      </c>
      <c r="AE83" s="7">
        <f t="shared" si="42"/>
        <v>79</v>
      </c>
      <c r="AF83" s="122" t="str">
        <f>IF((AE83&lt;='Alternative 3'!$B$12),AF82+1,"x")</f>
        <v>x</v>
      </c>
      <c r="AG83" s="74" t="e">
        <f>'Alternative 3'!I82</f>
        <v>#VALUE!</v>
      </c>
      <c r="AH83" s="74" t="e">
        <f>'Alternative 3'!J82</f>
        <v>#VALUE!</v>
      </c>
      <c r="AI83" s="122" t="e">
        <f t="shared" si="54"/>
        <v>#VALUE!</v>
      </c>
      <c r="AJ83" s="122" t="e">
        <f t="shared" si="55"/>
        <v>#VALUE!</v>
      </c>
      <c r="AK83" s="122" t="e">
        <f t="shared" si="56"/>
        <v>#VALUE!</v>
      </c>
      <c r="AL83" s="122" t="str">
        <f t="shared" si="57"/>
        <v>x</v>
      </c>
      <c r="AM83" s="122">
        <f>SUM(AL84:AL$94)</f>
        <v>0</v>
      </c>
      <c r="AN83" s="122">
        <f>SUM($AL$4:AL83)</f>
        <v>31215.543190081382</v>
      </c>
      <c r="AO83" s="122">
        <f t="shared" si="58"/>
        <v>31215.543190081382</v>
      </c>
      <c r="AP83" s="13" t="str">
        <f t="shared" si="39"/>
        <v>x</v>
      </c>
    </row>
    <row r="84" spans="1:42" x14ac:dyDescent="0.25">
      <c r="A84" s="7">
        <f t="shared" si="40"/>
        <v>80</v>
      </c>
      <c r="B84" s="122" t="str">
        <f>IF((A84&lt;='Alternative 1'!$B$12),B83+1,"x")</f>
        <v>x</v>
      </c>
      <c r="C84" s="74" t="e">
        <f>'Alternative 1'!I83</f>
        <v>#VALUE!</v>
      </c>
      <c r="D84" s="74" t="e">
        <f>'Alternative 1'!J83</f>
        <v>#VALUE!</v>
      </c>
      <c r="E84" s="122" t="e">
        <f t="shared" si="43"/>
        <v>#VALUE!</v>
      </c>
      <c r="F84" s="122" t="e">
        <f t="shared" si="44"/>
        <v>#VALUE!</v>
      </c>
      <c r="G84" s="122" t="e">
        <f t="shared" si="45"/>
        <v>#VALUE!</v>
      </c>
      <c r="H84" s="122" t="str">
        <f t="shared" si="46"/>
        <v>x</v>
      </c>
      <c r="I84" s="122">
        <f>SUM(H85:H$94)</f>
        <v>0</v>
      </c>
      <c r="J84" s="122">
        <f>SUM($H$4:H84)</f>
        <v>31215.543190081382</v>
      </c>
      <c r="K84" s="122">
        <f t="shared" si="47"/>
        <v>31215.543190081382</v>
      </c>
      <c r="L84" s="122" t="str">
        <f t="shared" si="48"/>
        <v>x</v>
      </c>
      <c r="P84" s="7">
        <f t="shared" si="41"/>
        <v>80</v>
      </c>
      <c r="Q84" s="122" t="str">
        <f>IF((AE84&lt;='Alternative 2'!$B$12),AF83+1,"x")</f>
        <v>x</v>
      </c>
      <c r="R84" s="74" t="e">
        <f>'Alternative 2'!I83</f>
        <v>#VALUE!</v>
      </c>
      <c r="S84" s="74" t="e">
        <f>'Alternative 2'!J83</f>
        <v>#VALUE!</v>
      </c>
      <c r="T84" s="122" t="e">
        <f t="shared" si="49"/>
        <v>#VALUE!</v>
      </c>
      <c r="U84" s="122" t="e">
        <f t="shared" si="50"/>
        <v>#VALUE!</v>
      </c>
      <c r="V84" s="122" t="e">
        <f t="shared" si="51"/>
        <v>#VALUE!</v>
      </c>
      <c r="W84" s="122" t="str">
        <f t="shared" si="52"/>
        <v>x</v>
      </c>
      <c r="X84" s="122">
        <f>SUM(W85:W$94)</f>
        <v>0</v>
      </c>
      <c r="Y84" s="122">
        <f>SUM($W$4:W84)</f>
        <v>31215.543190081382</v>
      </c>
      <c r="Z84" s="122">
        <f t="shared" si="53"/>
        <v>31215.543190081382</v>
      </c>
      <c r="AA84" s="13" t="str">
        <f t="shared" si="38"/>
        <v>x</v>
      </c>
      <c r="AE84" s="7">
        <f t="shared" si="42"/>
        <v>80</v>
      </c>
      <c r="AF84" s="122" t="str">
        <f>IF((AE84&lt;='Alternative 3'!$B$12),AF83+1,"x")</f>
        <v>x</v>
      </c>
      <c r="AG84" s="74" t="e">
        <f>'Alternative 3'!I83</f>
        <v>#VALUE!</v>
      </c>
      <c r="AH84" s="74" t="e">
        <f>'Alternative 3'!J83</f>
        <v>#VALUE!</v>
      </c>
      <c r="AI84" s="122" t="e">
        <f t="shared" si="54"/>
        <v>#VALUE!</v>
      </c>
      <c r="AJ84" s="122" t="e">
        <f t="shared" si="55"/>
        <v>#VALUE!</v>
      </c>
      <c r="AK84" s="122" t="e">
        <f t="shared" si="56"/>
        <v>#VALUE!</v>
      </c>
      <c r="AL84" s="122" t="str">
        <f t="shared" si="57"/>
        <v>x</v>
      </c>
      <c r="AM84" s="122">
        <f>SUM(AL85:AL$94)</f>
        <v>0</v>
      </c>
      <c r="AN84" s="122">
        <f>SUM($AL$4:AL84)</f>
        <v>31215.543190081382</v>
      </c>
      <c r="AO84" s="122">
        <f t="shared" si="58"/>
        <v>31215.543190081382</v>
      </c>
      <c r="AP84" s="13" t="str">
        <f t="shared" si="39"/>
        <v>x</v>
      </c>
    </row>
    <row r="85" spans="1:42" x14ac:dyDescent="0.25">
      <c r="A85" s="7">
        <f t="shared" si="40"/>
        <v>81</v>
      </c>
      <c r="B85" s="122" t="str">
        <f>IF((A85&lt;='Alternative 1'!$B$12),B84+1,"x")</f>
        <v>x</v>
      </c>
      <c r="C85" s="74" t="e">
        <f>'Alternative 1'!I84</f>
        <v>#VALUE!</v>
      </c>
      <c r="D85" s="74" t="e">
        <f>'Alternative 1'!J84</f>
        <v>#VALUE!</v>
      </c>
      <c r="E85" s="122" t="e">
        <f t="shared" si="43"/>
        <v>#VALUE!</v>
      </c>
      <c r="F85" s="122" t="e">
        <f t="shared" si="44"/>
        <v>#VALUE!</v>
      </c>
      <c r="G85" s="122" t="e">
        <f t="shared" si="45"/>
        <v>#VALUE!</v>
      </c>
      <c r="H85" s="122" t="str">
        <f t="shared" si="46"/>
        <v>x</v>
      </c>
      <c r="I85" s="122">
        <f>SUM(H86:H$94)</f>
        <v>0</v>
      </c>
      <c r="J85" s="122">
        <f>SUM($H$4:H85)</f>
        <v>31215.543190081382</v>
      </c>
      <c r="K85" s="122">
        <f t="shared" si="47"/>
        <v>31215.543190081382</v>
      </c>
      <c r="L85" s="122" t="str">
        <f t="shared" si="48"/>
        <v>x</v>
      </c>
      <c r="P85" s="7">
        <f t="shared" si="41"/>
        <v>81</v>
      </c>
      <c r="Q85" s="122" t="str">
        <f>IF((AE85&lt;='Alternative 2'!$B$12),AF84+1,"x")</f>
        <v>x</v>
      </c>
      <c r="R85" s="74" t="e">
        <f>'Alternative 2'!I84</f>
        <v>#VALUE!</v>
      </c>
      <c r="S85" s="74" t="e">
        <f>'Alternative 2'!J84</f>
        <v>#VALUE!</v>
      </c>
      <c r="T85" s="122" t="e">
        <f t="shared" si="49"/>
        <v>#VALUE!</v>
      </c>
      <c r="U85" s="122" t="e">
        <f t="shared" si="50"/>
        <v>#VALUE!</v>
      </c>
      <c r="V85" s="122" t="e">
        <f t="shared" si="51"/>
        <v>#VALUE!</v>
      </c>
      <c r="W85" s="122" t="str">
        <f t="shared" si="52"/>
        <v>x</v>
      </c>
      <c r="X85" s="122">
        <f>SUM(W86:W$94)</f>
        <v>0</v>
      </c>
      <c r="Y85" s="122">
        <f>SUM($W$4:W85)</f>
        <v>31215.543190081382</v>
      </c>
      <c r="Z85" s="122">
        <f t="shared" si="53"/>
        <v>31215.543190081382</v>
      </c>
      <c r="AA85" s="13" t="str">
        <f t="shared" si="38"/>
        <v>x</v>
      </c>
      <c r="AE85" s="7">
        <f t="shared" si="42"/>
        <v>81</v>
      </c>
      <c r="AF85" s="122" t="str">
        <f>IF((AE85&lt;='Alternative 3'!$B$12),AF84+1,"x")</f>
        <v>x</v>
      </c>
      <c r="AG85" s="74" t="e">
        <f>'Alternative 3'!I84</f>
        <v>#VALUE!</v>
      </c>
      <c r="AH85" s="74" t="e">
        <f>'Alternative 3'!J84</f>
        <v>#VALUE!</v>
      </c>
      <c r="AI85" s="122" t="e">
        <f t="shared" si="54"/>
        <v>#VALUE!</v>
      </c>
      <c r="AJ85" s="122" t="e">
        <f t="shared" si="55"/>
        <v>#VALUE!</v>
      </c>
      <c r="AK85" s="122" t="e">
        <f t="shared" si="56"/>
        <v>#VALUE!</v>
      </c>
      <c r="AL85" s="122" t="str">
        <f t="shared" si="57"/>
        <v>x</v>
      </c>
      <c r="AM85" s="122">
        <f>SUM(AL86:AL$94)</f>
        <v>0</v>
      </c>
      <c r="AN85" s="122">
        <f>SUM($AL$4:AL85)</f>
        <v>31215.543190081382</v>
      </c>
      <c r="AO85" s="122">
        <f t="shared" si="58"/>
        <v>31215.543190081382</v>
      </c>
      <c r="AP85" s="13" t="str">
        <f t="shared" si="39"/>
        <v>x</v>
      </c>
    </row>
    <row r="86" spans="1:42" x14ac:dyDescent="0.25">
      <c r="A86" s="7">
        <f t="shared" si="40"/>
        <v>82</v>
      </c>
      <c r="B86" s="122" t="str">
        <f>IF((A86&lt;='Alternative 1'!$B$12),B85+1,"x")</f>
        <v>x</v>
      </c>
      <c r="C86" s="74" t="e">
        <f>'Alternative 1'!I85</f>
        <v>#VALUE!</v>
      </c>
      <c r="D86" s="74" t="e">
        <f>'Alternative 1'!J85</f>
        <v>#VALUE!</v>
      </c>
      <c r="E86" s="122" t="e">
        <f t="shared" si="43"/>
        <v>#VALUE!</v>
      </c>
      <c r="F86" s="122" t="e">
        <f t="shared" si="44"/>
        <v>#VALUE!</v>
      </c>
      <c r="G86" s="122" t="e">
        <f t="shared" si="45"/>
        <v>#VALUE!</v>
      </c>
      <c r="H86" s="122" t="str">
        <f t="shared" si="46"/>
        <v>x</v>
      </c>
      <c r="I86" s="122">
        <f>SUM(H87:H$94)</f>
        <v>0</v>
      </c>
      <c r="J86" s="122">
        <f>SUM($H$4:H86)</f>
        <v>31215.543190081382</v>
      </c>
      <c r="K86" s="122">
        <f t="shared" si="47"/>
        <v>31215.543190081382</v>
      </c>
      <c r="L86" s="122" t="str">
        <f t="shared" si="48"/>
        <v>x</v>
      </c>
      <c r="P86" s="7">
        <f t="shared" si="41"/>
        <v>82</v>
      </c>
      <c r="Q86" s="122" t="str">
        <f>IF((AE86&lt;='Alternative 2'!$B$12),AF85+1,"x")</f>
        <v>x</v>
      </c>
      <c r="R86" s="74" t="e">
        <f>'Alternative 2'!I85</f>
        <v>#VALUE!</v>
      </c>
      <c r="S86" s="74" t="e">
        <f>'Alternative 2'!J85</f>
        <v>#VALUE!</v>
      </c>
      <c r="T86" s="122" t="e">
        <f t="shared" si="49"/>
        <v>#VALUE!</v>
      </c>
      <c r="U86" s="122" t="e">
        <f t="shared" si="50"/>
        <v>#VALUE!</v>
      </c>
      <c r="V86" s="122" t="e">
        <f t="shared" si="51"/>
        <v>#VALUE!</v>
      </c>
      <c r="W86" s="122" t="str">
        <f t="shared" si="52"/>
        <v>x</v>
      </c>
      <c r="X86" s="122">
        <f>SUM(W87:W$94)</f>
        <v>0</v>
      </c>
      <c r="Y86" s="122">
        <f>SUM($W$4:W86)</f>
        <v>31215.543190081382</v>
      </c>
      <c r="Z86" s="122">
        <f t="shared" si="53"/>
        <v>31215.543190081382</v>
      </c>
      <c r="AA86" s="13" t="str">
        <f t="shared" si="38"/>
        <v>x</v>
      </c>
      <c r="AE86" s="7">
        <f t="shared" si="42"/>
        <v>82</v>
      </c>
      <c r="AF86" s="122" t="str">
        <f>IF((AE86&lt;='Alternative 3'!$B$12),AF85+1,"x")</f>
        <v>x</v>
      </c>
      <c r="AG86" s="74" t="e">
        <f>'Alternative 3'!I85</f>
        <v>#VALUE!</v>
      </c>
      <c r="AH86" s="74" t="e">
        <f>'Alternative 3'!J85</f>
        <v>#VALUE!</v>
      </c>
      <c r="AI86" s="122" t="e">
        <f t="shared" si="54"/>
        <v>#VALUE!</v>
      </c>
      <c r="AJ86" s="122" t="e">
        <f t="shared" si="55"/>
        <v>#VALUE!</v>
      </c>
      <c r="AK86" s="122" t="e">
        <f t="shared" si="56"/>
        <v>#VALUE!</v>
      </c>
      <c r="AL86" s="122" t="str">
        <f t="shared" si="57"/>
        <v>x</v>
      </c>
      <c r="AM86" s="122">
        <f>SUM(AL87:AL$94)</f>
        <v>0</v>
      </c>
      <c r="AN86" s="122">
        <f>SUM($AL$4:AL86)</f>
        <v>31215.543190081382</v>
      </c>
      <c r="AO86" s="122">
        <f t="shared" si="58"/>
        <v>31215.543190081382</v>
      </c>
      <c r="AP86" s="13" t="str">
        <f t="shared" si="39"/>
        <v>x</v>
      </c>
    </row>
    <row r="87" spans="1:42" x14ac:dyDescent="0.25">
      <c r="A87" s="7">
        <f t="shared" si="40"/>
        <v>83</v>
      </c>
      <c r="B87" s="122" t="str">
        <f>IF((A87&lt;='Alternative 1'!$B$12),B86+1,"x")</f>
        <v>x</v>
      </c>
      <c r="C87" s="74" t="e">
        <f>'Alternative 1'!I86</f>
        <v>#VALUE!</v>
      </c>
      <c r="D87" s="74" t="e">
        <f>'Alternative 1'!J86</f>
        <v>#VALUE!</v>
      </c>
      <c r="E87" s="122" t="e">
        <f t="shared" si="43"/>
        <v>#VALUE!</v>
      </c>
      <c r="F87" s="122" t="e">
        <f t="shared" si="44"/>
        <v>#VALUE!</v>
      </c>
      <c r="G87" s="122" t="e">
        <f t="shared" si="45"/>
        <v>#VALUE!</v>
      </c>
      <c r="H87" s="122" t="str">
        <f t="shared" si="46"/>
        <v>x</v>
      </c>
      <c r="I87" s="122">
        <f>SUM(H88:H$94)</f>
        <v>0</v>
      </c>
      <c r="J87" s="122">
        <f>SUM($H$4:H87)</f>
        <v>31215.543190081382</v>
      </c>
      <c r="K87" s="122">
        <f t="shared" si="47"/>
        <v>31215.543190081382</v>
      </c>
      <c r="L87" s="122" t="str">
        <f t="shared" si="48"/>
        <v>x</v>
      </c>
      <c r="P87" s="7">
        <f t="shared" si="41"/>
        <v>83</v>
      </c>
      <c r="Q87" s="122" t="str">
        <f>IF((AE87&lt;='Alternative 2'!$B$12),AF86+1,"x")</f>
        <v>x</v>
      </c>
      <c r="R87" s="74" t="e">
        <f>'Alternative 2'!I86</f>
        <v>#VALUE!</v>
      </c>
      <c r="S87" s="74" t="e">
        <f>'Alternative 2'!J86</f>
        <v>#VALUE!</v>
      </c>
      <c r="T87" s="122" t="e">
        <f t="shared" si="49"/>
        <v>#VALUE!</v>
      </c>
      <c r="U87" s="122" t="e">
        <f t="shared" si="50"/>
        <v>#VALUE!</v>
      </c>
      <c r="V87" s="122" t="e">
        <f t="shared" si="51"/>
        <v>#VALUE!</v>
      </c>
      <c r="W87" s="122" t="str">
        <f t="shared" si="52"/>
        <v>x</v>
      </c>
      <c r="X87" s="122">
        <f>SUM(W88:W$94)</f>
        <v>0</v>
      </c>
      <c r="Y87" s="122">
        <f>SUM($W$4:W87)</f>
        <v>31215.543190081382</v>
      </c>
      <c r="Z87" s="122">
        <f t="shared" si="53"/>
        <v>31215.543190081382</v>
      </c>
      <c r="AA87" s="13" t="str">
        <f t="shared" si="38"/>
        <v>x</v>
      </c>
      <c r="AE87" s="7">
        <f t="shared" si="42"/>
        <v>83</v>
      </c>
      <c r="AF87" s="122" t="str">
        <f>IF((AE87&lt;='Alternative 3'!$B$12),AF86+1,"x")</f>
        <v>x</v>
      </c>
      <c r="AG87" s="74" t="e">
        <f>'Alternative 3'!I86</f>
        <v>#VALUE!</v>
      </c>
      <c r="AH87" s="74" t="e">
        <f>'Alternative 3'!J86</f>
        <v>#VALUE!</v>
      </c>
      <c r="AI87" s="122" t="e">
        <f t="shared" si="54"/>
        <v>#VALUE!</v>
      </c>
      <c r="AJ87" s="122" t="e">
        <f t="shared" si="55"/>
        <v>#VALUE!</v>
      </c>
      <c r="AK87" s="122" t="e">
        <f t="shared" si="56"/>
        <v>#VALUE!</v>
      </c>
      <c r="AL87" s="122" t="str">
        <f t="shared" si="57"/>
        <v>x</v>
      </c>
      <c r="AM87" s="122">
        <f>SUM(AL88:AL$94)</f>
        <v>0</v>
      </c>
      <c r="AN87" s="122">
        <f>SUM($AL$4:AL87)</f>
        <v>31215.543190081382</v>
      </c>
      <c r="AO87" s="122">
        <f t="shared" si="58"/>
        <v>31215.543190081382</v>
      </c>
      <c r="AP87" s="13" t="str">
        <f t="shared" si="39"/>
        <v>x</v>
      </c>
    </row>
    <row r="88" spans="1:42" x14ac:dyDescent="0.25">
      <c r="A88" s="7">
        <f t="shared" si="40"/>
        <v>84</v>
      </c>
      <c r="B88" s="122" t="str">
        <f>IF((A88&lt;='Alternative 1'!$B$12),B87+1,"x")</f>
        <v>x</v>
      </c>
      <c r="C88" s="74" t="e">
        <f>'Alternative 1'!I87</f>
        <v>#VALUE!</v>
      </c>
      <c r="D88" s="74" t="e">
        <f>'Alternative 1'!J87</f>
        <v>#VALUE!</v>
      </c>
      <c r="E88" s="122" t="e">
        <f t="shared" si="43"/>
        <v>#VALUE!</v>
      </c>
      <c r="F88" s="122" t="e">
        <f t="shared" si="44"/>
        <v>#VALUE!</v>
      </c>
      <c r="G88" s="122" t="e">
        <f t="shared" si="45"/>
        <v>#VALUE!</v>
      </c>
      <c r="H88" s="122" t="str">
        <f t="shared" si="46"/>
        <v>x</v>
      </c>
      <c r="I88" s="122">
        <f>SUM(H89:H$94)</f>
        <v>0</v>
      </c>
      <c r="J88" s="122">
        <f>SUM($H$4:H88)</f>
        <v>31215.543190081382</v>
      </c>
      <c r="K88" s="122">
        <f t="shared" si="47"/>
        <v>31215.543190081382</v>
      </c>
      <c r="L88" s="122" t="str">
        <f t="shared" si="48"/>
        <v>x</v>
      </c>
      <c r="P88" s="7">
        <f t="shared" si="41"/>
        <v>84</v>
      </c>
      <c r="Q88" s="122" t="str">
        <f>IF((AE88&lt;='Alternative 2'!$B$12),AF87+1,"x")</f>
        <v>x</v>
      </c>
      <c r="R88" s="74" t="e">
        <f>'Alternative 2'!I87</f>
        <v>#VALUE!</v>
      </c>
      <c r="S88" s="74" t="e">
        <f>'Alternative 2'!J87</f>
        <v>#VALUE!</v>
      </c>
      <c r="T88" s="122" t="e">
        <f t="shared" si="49"/>
        <v>#VALUE!</v>
      </c>
      <c r="U88" s="122" t="e">
        <f t="shared" si="50"/>
        <v>#VALUE!</v>
      </c>
      <c r="V88" s="122" t="e">
        <f t="shared" si="51"/>
        <v>#VALUE!</v>
      </c>
      <c r="W88" s="122" t="str">
        <f t="shared" si="52"/>
        <v>x</v>
      </c>
      <c r="X88" s="122">
        <f>SUM(W89:W$94)</f>
        <v>0</v>
      </c>
      <c r="Y88" s="122">
        <f>SUM($W$4:W88)</f>
        <v>31215.543190081382</v>
      </c>
      <c r="Z88" s="122">
        <f t="shared" si="53"/>
        <v>31215.543190081382</v>
      </c>
      <c r="AA88" s="13" t="str">
        <f t="shared" si="38"/>
        <v>x</v>
      </c>
      <c r="AE88" s="7">
        <f t="shared" si="42"/>
        <v>84</v>
      </c>
      <c r="AF88" s="122" t="str">
        <f>IF((AE88&lt;='Alternative 3'!$B$12),AF87+1,"x")</f>
        <v>x</v>
      </c>
      <c r="AG88" s="74" t="e">
        <f>'Alternative 3'!I87</f>
        <v>#VALUE!</v>
      </c>
      <c r="AH88" s="74" t="e">
        <f>'Alternative 3'!J87</f>
        <v>#VALUE!</v>
      </c>
      <c r="AI88" s="122" t="e">
        <f t="shared" si="54"/>
        <v>#VALUE!</v>
      </c>
      <c r="AJ88" s="122" t="e">
        <f t="shared" si="55"/>
        <v>#VALUE!</v>
      </c>
      <c r="AK88" s="122" t="e">
        <f t="shared" si="56"/>
        <v>#VALUE!</v>
      </c>
      <c r="AL88" s="122" t="str">
        <f t="shared" si="57"/>
        <v>x</v>
      </c>
      <c r="AM88" s="122">
        <f>SUM(AL89:AL$94)</f>
        <v>0</v>
      </c>
      <c r="AN88" s="122">
        <f>SUM($AL$4:AL88)</f>
        <v>31215.543190081382</v>
      </c>
      <c r="AO88" s="122">
        <f t="shared" si="58"/>
        <v>31215.543190081382</v>
      </c>
      <c r="AP88" s="13" t="str">
        <f t="shared" si="39"/>
        <v>x</v>
      </c>
    </row>
    <row r="89" spans="1:42" x14ac:dyDescent="0.25">
      <c r="A89" s="7">
        <f t="shared" si="40"/>
        <v>85</v>
      </c>
      <c r="B89" s="122" t="str">
        <f>IF((A89&lt;='Alternative 1'!$B$12),B88+1,"x")</f>
        <v>x</v>
      </c>
      <c r="C89" s="74" t="e">
        <f>'Alternative 1'!I88</f>
        <v>#VALUE!</v>
      </c>
      <c r="D89" s="74" t="e">
        <f>'Alternative 1'!J88</f>
        <v>#VALUE!</v>
      </c>
      <c r="E89" s="122" t="e">
        <f t="shared" si="43"/>
        <v>#VALUE!</v>
      </c>
      <c r="F89" s="122" t="e">
        <f t="shared" si="44"/>
        <v>#VALUE!</v>
      </c>
      <c r="G89" s="122" t="e">
        <f t="shared" si="45"/>
        <v>#VALUE!</v>
      </c>
      <c r="H89" s="122" t="str">
        <f t="shared" si="46"/>
        <v>x</v>
      </c>
      <c r="I89" s="122">
        <f>SUM(H90:H$94)</f>
        <v>0</v>
      </c>
      <c r="J89" s="122">
        <f>SUM($H$4:H89)</f>
        <v>31215.543190081382</v>
      </c>
      <c r="K89" s="122">
        <f t="shared" si="47"/>
        <v>31215.543190081382</v>
      </c>
      <c r="L89" s="122" t="str">
        <f t="shared" si="48"/>
        <v>x</v>
      </c>
      <c r="P89" s="7">
        <f t="shared" si="41"/>
        <v>85</v>
      </c>
      <c r="Q89" s="122" t="str">
        <f>IF((AE89&lt;='Alternative 2'!$B$12),AF88+1,"x")</f>
        <v>x</v>
      </c>
      <c r="R89" s="74" t="e">
        <f>'Alternative 2'!I88</f>
        <v>#VALUE!</v>
      </c>
      <c r="S89" s="74" t="e">
        <f>'Alternative 2'!J88</f>
        <v>#VALUE!</v>
      </c>
      <c r="T89" s="122" t="e">
        <f t="shared" si="49"/>
        <v>#VALUE!</v>
      </c>
      <c r="U89" s="122" t="e">
        <f t="shared" si="50"/>
        <v>#VALUE!</v>
      </c>
      <c r="V89" s="122" t="e">
        <f t="shared" si="51"/>
        <v>#VALUE!</v>
      </c>
      <c r="W89" s="122" t="str">
        <f t="shared" si="52"/>
        <v>x</v>
      </c>
      <c r="X89" s="122">
        <f>SUM(W90:W$94)</f>
        <v>0</v>
      </c>
      <c r="Y89" s="122">
        <f>SUM($W$4:W89)</f>
        <v>31215.543190081382</v>
      </c>
      <c r="Z89" s="122">
        <f t="shared" si="53"/>
        <v>31215.543190081382</v>
      </c>
      <c r="AA89" s="13" t="str">
        <f t="shared" si="38"/>
        <v>x</v>
      </c>
      <c r="AE89" s="7">
        <f t="shared" si="42"/>
        <v>85</v>
      </c>
      <c r="AF89" s="122" t="str">
        <f>IF((AE89&lt;='Alternative 3'!$B$12),AF88+1,"x")</f>
        <v>x</v>
      </c>
      <c r="AG89" s="74" t="e">
        <f>'Alternative 3'!I88</f>
        <v>#VALUE!</v>
      </c>
      <c r="AH89" s="74" t="e">
        <f>'Alternative 3'!J88</f>
        <v>#VALUE!</v>
      </c>
      <c r="AI89" s="122" t="e">
        <f t="shared" si="54"/>
        <v>#VALUE!</v>
      </c>
      <c r="AJ89" s="122" t="e">
        <f t="shared" si="55"/>
        <v>#VALUE!</v>
      </c>
      <c r="AK89" s="122" t="e">
        <f t="shared" si="56"/>
        <v>#VALUE!</v>
      </c>
      <c r="AL89" s="122" t="str">
        <f t="shared" si="57"/>
        <v>x</v>
      </c>
      <c r="AM89" s="122">
        <f>SUM(AL90:AL$94)</f>
        <v>0</v>
      </c>
      <c r="AN89" s="122">
        <f>SUM($AL$4:AL89)</f>
        <v>31215.543190081382</v>
      </c>
      <c r="AO89" s="122">
        <f t="shared" si="58"/>
        <v>31215.543190081382</v>
      </c>
      <c r="AP89" s="13" t="str">
        <f t="shared" si="39"/>
        <v>x</v>
      </c>
    </row>
    <row r="90" spans="1:42" x14ac:dyDescent="0.25">
      <c r="A90" s="7">
        <f t="shared" si="40"/>
        <v>86</v>
      </c>
      <c r="B90" s="122" t="str">
        <f>IF((A90&lt;='Alternative 1'!$B$12),B89+1,"x")</f>
        <v>x</v>
      </c>
      <c r="C90" s="74" t="e">
        <f>'Alternative 1'!I89</f>
        <v>#VALUE!</v>
      </c>
      <c r="D90" s="74" t="e">
        <f>'Alternative 1'!J89</f>
        <v>#VALUE!</v>
      </c>
      <c r="E90" s="122" t="e">
        <f t="shared" si="43"/>
        <v>#VALUE!</v>
      </c>
      <c r="F90" s="122" t="e">
        <f t="shared" si="44"/>
        <v>#VALUE!</v>
      </c>
      <c r="G90" s="122" t="e">
        <f t="shared" si="45"/>
        <v>#VALUE!</v>
      </c>
      <c r="H90" s="122" t="str">
        <f t="shared" si="46"/>
        <v>x</v>
      </c>
      <c r="I90" s="122">
        <f>SUM(H91:H$94)</f>
        <v>0</v>
      </c>
      <c r="J90" s="122">
        <f>SUM($H$4:H90)</f>
        <v>31215.543190081382</v>
      </c>
      <c r="K90" s="122">
        <f t="shared" si="47"/>
        <v>31215.543190081382</v>
      </c>
      <c r="L90" s="122" t="str">
        <f t="shared" si="48"/>
        <v>x</v>
      </c>
      <c r="P90" s="7">
        <f t="shared" si="41"/>
        <v>86</v>
      </c>
      <c r="Q90" s="122" t="str">
        <f>IF((AE90&lt;='Alternative 2'!$B$12),AF89+1,"x")</f>
        <v>x</v>
      </c>
      <c r="R90" s="74" t="e">
        <f>'Alternative 2'!I89</f>
        <v>#VALUE!</v>
      </c>
      <c r="S90" s="74" t="e">
        <f>'Alternative 2'!J89</f>
        <v>#VALUE!</v>
      </c>
      <c r="T90" s="122" t="e">
        <f t="shared" si="49"/>
        <v>#VALUE!</v>
      </c>
      <c r="U90" s="122" t="e">
        <f t="shared" si="50"/>
        <v>#VALUE!</v>
      </c>
      <c r="V90" s="122" t="e">
        <f t="shared" si="51"/>
        <v>#VALUE!</v>
      </c>
      <c r="W90" s="122" t="str">
        <f t="shared" si="52"/>
        <v>x</v>
      </c>
      <c r="X90" s="122">
        <f>SUM(W91:W$94)</f>
        <v>0</v>
      </c>
      <c r="Y90" s="122">
        <f>SUM($W$4:W90)</f>
        <v>31215.543190081382</v>
      </c>
      <c r="Z90" s="122">
        <f t="shared" si="53"/>
        <v>31215.543190081382</v>
      </c>
      <c r="AA90" s="13" t="str">
        <f t="shared" si="38"/>
        <v>x</v>
      </c>
      <c r="AE90" s="7">
        <f t="shared" si="42"/>
        <v>86</v>
      </c>
      <c r="AF90" s="122" t="str">
        <f>IF((AE90&lt;='Alternative 3'!$B$12),AF89+1,"x")</f>
        <v>x</v>
      </c>
      <c r="AG90" s="74" t="e">
        <f>'Alternative 3'!I89</f>
        <v>#VALUE!</v>
      </c>
      <c r="AH90" s="74" t="e">
        <f>'Alternative 3'!J89</f>
        <v>#VALUE!</v>
      </c>
      <c r="AI90" s="122" t="e">
        <f t="shared" si="54"/>
        <v>#VALUE!</v>
      </c>
      <c r="AJ90" s="122" t="e">
        <f t="shared" si="55"/>
        <v>#VALUE!</v>
      </c>
      <c r="AK90" s="122" t="e">
        <f t="shared" si="56"/>
        <v>#VALUE!</v>
      </c>
      <c r="AL90" s="122" t="str">
        <f t="shared" si="57"/>
        <v>x</v>
      </c>
      <c r="AM90" s="122">
        <f>SUM(AL91:AL$94)</f>
        <v>0</v>
      </c>
      <c r="AN90" s="122">
        <f>SUM($AL$4:AL90)</f>
        <v>31215.543190081382</v>
      </c>
      <c r="AO90" s="122">
        <f t="shared" si="58"/>
        <v>31215.543190081382</v>
      </c>
      <c r="AP90" s="13" t="str">
        <f t="shared" si="39"/>
        <v>x</v>
      </c>
    </row>
    <row r="91" spans="1:42" x14ac:dyDescent="0.25">
      <c r="A91" s="7">
        <f t="shared" si="40"/>
        <v>87</v>
      </c>
      <c r="B91" s="122" t="str">
        <f>IF((A91&lt;='Alternative 1'!$B$12),B90+1,"x")</f>
        <v>x</v>
      </c>
      <c r="C91" s="74" t="e">
        <f>'Alternative 1'!I90</f>
        <v>#VALUE!</v>
      </c>
      <c r="D91" s="74" t="e">
        <f>'Alternative 1'!J90</f>
        <v>#VALUE!</v>
      </c>
      <c r="E91" s="122" t="e">
        <f t="shared" si="43"/>
        <v>#VALUE!</v>
      </c>
      <c r="F91" s="122" t="e">
        <f t="shared" si="44"/>
        <v>#VALUE!</v>
      </c>
      <c r="G91" s="122" t="e">
        <f t="shared" si="45"/>
        <v>#VALUE!</v>
      </c>
      <c r="H91" s="122" t="str">
        <f t="shared" si="46"/>
        <v>x</v>
      </c>
      <c r="I91" s="122">
        <f>SUM(H92:H$94)</f>
        <v>0</v>
      </c>
      <c r="J91" s="122">
        <f>SUM($H$4:H91)</f>
        <v>31215.543190081382</v>
      </c>
      <c r="K91" s="122">
        <f t="shared" si="47"/>
        <v>31215.543190081382</v>
      </c>
      <c r="L91" s="122" t="str">
        <f t="shared" si="48"/>
        <v>x</v>
      </c>
      <c r="P91" s="7">
        <f t="shared" si="41"/>
        <v>87</v>
      </c>
      <c r="Q91" s="122" t="str">
        <f>IF((AE91&lt;='Alternative 2'!$B$12),AF90+1,"x")</f>
        <v>x</v>
      </c>
      <c r="R91" s="74" t="e">
        <f>'Alternative 2'!I90</f>
        <v>#VALUE!</v>
      </c>
      <c r="S91" s="74" t="e">
        <f>'Alternative 2'!J90</f>
        <v>#VALUE!</v>
      </c>
      <c r="T91" s="122" t="e">
        <f t="shared" si="49"/>
        <v>#VALUE!</v>
      </c>
      <c r="U91" s="122" t="e">
        <f t="shared" si="50"/>
        <v>#VALUE!</v>
      </c>
      <c r="V91" s="122" t="e">
        <f t="shared" si="51"/>
        <v>#VALUE!</v>
      </c>
      <c r="W91" s="122" t="str">
        <f t="shared" si="52"/>
        <v>x</v>
      </c>
      <c r="X91" s="122">
        <f>SUM(W92:W$94)</f>
        <v>0</v>
      </c>
      <c r="Y91" s="122">
        <f>SUM($W$4:W91)</f>
        <v>31215.543190081382</v>
      </c>
      <c r="Z91" s="122">
        <f t="shared" si="53"/>
        <v>31215.543190081382</v>
      </c>
      <c r="AA91" s="13" t="str">
        <f t="shared" si="38"/>
        <v>x</v>
      </c>
      <c r="AE91" s="7">
        <f t="shared" si="42"/>
        <v>87</v>
      </c>
      <c r="AF91" s="122" t="str">
        <f>IF((AE91&lt;='Alternative 3'!$B$12),AF90+1,"x")</f>
        <v>x</v>
      </c>
      <c r="AG91" s="74" t="e">
        <f>'Alternative 3'!I90</f>
        <v>#VALUE!</v>
      </c>
      <c r="AH91" s="74" t="e">
        <f>'Alternative 3'!J90</f>
        <v>#VALUE!</v>
      </c>
      <c r="AI91" s="122" t="e">
        <f t="shared" si="54"/>
        <v>#VALUE!</v>
      </c>
      <c r="AJ91" s="122" t="e">
        <f t="shared" si="55"/>
        <v>#VALUE!</v>
      </c>
      <c r="AK91" s="122" t="e">
        <f t="shared" si="56"/>
        <v>#VALUE!</v>
      </c>
      <c r="AL91" s="122" t="str">
        <f t="shared" si="57"/>
        <v>x</v>
      </c>
      <c r="AM91" s="122">
        <f>SUM(AL92:AL$94)</f>
        <v>0</v>
      </c>
      <c r="AN91" s="122">
        <f>SUM($AL$4:AL91)</f>
        <v>31215.543190081382</v>
      </c>
      <c r="AO91" s="122">
        <f t="shared" si="58"/>
        <v>31215.543190081382</v>
      </c>
      <c r="AP91" s="13" t="str">
        <f t="shared" si="39"/>
        <v>x</v>
      </c>
    </row>
    <row r="92" spans="1:42" x14ac:dyDescent="0.25">
      <c r="A92" s="7">
        <f t="shared" si="40"/>
        <v>88</v>
      </c>
      <c r="B92" s="122" t="str">
        <f>IF((A92&lt;='Alternative 1'!$B$12),B91+1,"x")</f>
        <v>x</v>
      </c>
      <c r="C92" s="74" t="e">
        <f>'Alternative 1'!I91</f>
        <v>#VALUE!</v>
      </c>
      <c r="D92" s="74" t="e">
        <f>'Alternative 1'!J91</f>
        <v>#VALUE!</v>
      </c>
      <c r="E92" s="122" t="e">
        <f t="shared" si="43"/>
        <v>#VALUE!</v>
      </c>
      <c r="F92" s="122" t="e">
        <f t="shared" si="44"/>
        <v>#VALUE!</v>
      </c>
      <c r="G92" s="122" t="e">
        <f t="shared" si="45"/>
        <v>#VALUE!</v>
      </c>
      <c r="H92" s="122" t="str">
        <f t="shared" si="46"/>
        <v>x</v>
      </c>
      <c r="I92" s="122">
        <f>SUM(H93:H$94)</f>
        <v>0</v>
      </c>
      <c r="J92" s="122">
        <f>SUM($H$4:H92)</f>
        <v>31215.543190081382</v>
      </c>
      <c r="K92" s="122">
        <f t="shared" si="47"/>
        <v>31215.543190081382</v>
      </c>
      <c r="L92" s="122" t="str">
        <f t="shared" si="48"/>
        <v>x</v>
      </c>
      <c r="P92" s="7">
        <f t="shared" si="41"/>
        <v>88</v>
      </c>
      <c r="Q92" s="122" t="str">
        <f>IF((AE92&lt;='Alternative 2'!$B$12),AF91+1,"x")</f>
        <v>x</v>
      </c>
      <c r="R92" s="74" t="e">
        <f>'Alternative 2'!I91</f>
        <v>#VALUE!</v>
      </c>
      <c r="S92" s="74" t="e">
        <f>'Alternative 2'!J91</f>
        <v>#VALUE!</v>
      </c>
      <c r="T92" s="122" t="e">
        <f t="shared" si="49"/>
        <v>#VALUE!</v>
      </c>
      <c r="U92" s="122" t="e">
        <f t="shared" si="50"/>
        <v>#VALUE!</v>
      </c>
      <c r="V92" s="122" t="e">
        <f t="shared" si="51"/>
        <v>#VALUE!</v>
      </c>
      <c r="W92" s="122" t="str">
        <f t="shared" si="52"/>
        <v>x</v>
      </c>
      <c r="X92" s="122">
        <f>SUM(W93:W$94)</f>
        <v>0</v>
      </c>
      <c r="Y92" s="122">
        <f>SUM($W$4:W92)</f>
        <v>31215.543190081382</v>
      </c>
      <c r="Z92" s="122">
        <f t="shared" si="53"/>
        <v>31215.543190081382</v>
      </c>
      <c r="AA92" s="13" t="str">
        <f t="shared" si="38"/>
        <v>x</v>
      </c>
      <c r="AE92" s="7">
        <f t="shared" si="42"/>
        <v>88</v>
      </c>
      <c r="AF92" s="122" t="str">
        <f>IF((AE92&lt;='Alternative 3'!$B$12),AF91+1,"x")</f>
        <v>x</v>
      </c>
      <c r="AG92" s="74" t="e">
        <f>'Alternative 3'!I91</f>
        <v>#VALUE!</v>
      </c>
      <c r="AH92" s="74" t="e">
        <f>'Alternative 3'!J91</f>
        <v>#VALUE!</v>
      </c>
      <c r="AI92" s="122" t="e">
        <f t="shared" si="54"/>
        <v>#VALUE!</v>
      </c>
      <c r="AJ92" s="122" t="e">
        <f t="shared" si="55"/>
        <v>#VALUE!</v>
      </c>
      <c r="AK92" s="122" t="e">
        <f t="shared" si="56"/>
        <v>#VALUE!</v>
      </c>
      <c r="AL92" s="122" t="str">
        <f t="shared" si="57"/>
        <v>x</v>
      </c>
      <c r="AM92" s="122">
        <f>SUM(AL93:AL$94)</f>
        <v>0</v>
      </c>
      <c r="AN92" s="122">
        <f>SUM($AL$4:AL92)</f>
        <v>31215.543190081382</v>
      </c>
      <c r="AO92" s="122">
        <f t="shared" si="58"/>
        <v>31215.543190081382</v>
      </c>
      <c r="AP92" s="13" t="str">
        <f t="shared" si="39"/>
        <v>x</v>
      </c>
    </row>
    <row r="93" spans="1:42" x14ac:dyDescent="0.25">
      <c r="A93" s="7">
        <f t="shared" si="40"/>
        <v>89</v>
      </c>
      <c r="B93" s="122" t="str">
        <f>IF((A93&lt;='Alternative 1'!$B$12),B92+1,"x")</f>
        <v>x</v>
      </c>
      <c r="C93" s="74" t="e">
        <f>'Alternative 1'!I92</f>
        <v>#VALUE!</v>
      </c>
      <c r="D93" s="74" t="e">
        <f>'Alternative 1'!J92</f>
        <v>#VALUE!</v>
      </c>
      <c r="E93" s="122" t="e">
        <f t="shared" si="43"/>
        <v>#VALUE!</v>
      </c>
      <c r="F93" s="122" t="e">
        <f t="shared" si="44"/>
        <v>#VALUE!</v>
      </c>
      <c r="G93" s="122" t="e">
        <f t="shared" si="45"/>
        <v>#VALUE!</v>
      </c>
      <c r="H93" s="122" t="str">
        <f t="shared" si="46"/>
        <v>x</v>
      </c>
      <c r="I93" s="122">
        <f>SUM(H94:H$94)</f>
        <v>0</v>
      </c>
      <c r="J93" s="122">
        <f>SUM($H$4:H93)</f>
        <v>31215.543190081382</v>
      </c>
      <c r="K93" s="122">
        <f t="shared" si="47"/>
        <v>31215.543190081382</v>
      </c>
      <c r="L93" s="122" t="str">
        <f t="shared" si="48"/>
        <v>x</v>
      </c>
      <c r="P93" s="7">
        <f t="shared" si="41"/>
        <v>89</v>
      </c>
      <c r="Q93" s="122" t="str">
        <f>IF((AE93&lt;='Alternative 2'!$B$12),AF92+1,"x")</f>
        <v>x</v>
      </c>
      <c r="R93" s="74" t="e">
        <f>'Alternative 2'!I92</f>
        <v>#VALUE!</v>
      </c>
      <c r="S93" s="74" t="e">
        <f>'Alternative 2'!J92</f>
        <v>#VALUE!</v>
      </c>
      <c r="T93" s="122" t="e">
        <f t="shared" si="49"/>
        <v>#VALUE!</v>
      </c>
      <c r="U93" s="122" t="e">
        <f t="shared" si="50"/>
        <v>#VALUE!</v>
      </c>
      <c r="V93" s="122" t="e">
        <f t="shared" si="51"/>
        <v>#VALUE!</v>
      </c>
      <c r="W93" s="122" t="str">
        <f t="shared" si="52"/>
        <v>x</v>
      </c>
      <c r="X93" s="122">
        <f>SUM(W94:W$94)</f>
        <v>0</v>
      </c>
      <c r="Y93" s="122">
        <f>SUM($W$4:W93)</f>
        <v>31215.543190081382</v>
      </c>
      <c r="Z93" s="122">
        <f t="shared" si="53"/>
        <v>31215.543190081382</v>
      </c>
      <c r="AA93" s="13" t="str">
        <f t="shared" si="38"/>
        <v>x</v>
      </c>
      <c r="AE93" s="7">
        <f t="shared" si="42"/>
        <v>89</v>
      </c>
      <c r="AF93" s="122" t="str">
        <f>IF((AE93&lt;='Alternative 3'!$B$12),AF92+1,"x")</f>
        <v>x</v>
      </c>
      <c r="AG93" s="74" t="e">
        <f>'Alternative 3'!I92</f>
        <v>#VALUE!</v>
      </c>
      <c r="AH93" s="74" t="e">
        <f>'Alternative 3'!J92</f>
        <v>#VALUE!</v>
      </c>
      <c r="AI93" s="122" t="e">
        <f t="shared" si="54"/>
        <v>#VALUE!</v>
      </c>
      <c r="AJ93" s="122" t="e">
        <f t="shared" si="55"/>
        <v>#VALUE!</v>
      </c>
      <c r="AK93" s="122" t="e">
        <f t="shared" si="56"/>
        <v>#VALUE!</v>
      </c>
      <c r="AL93" s="122" t="str">
        <f t="shared" si="57"/>
        <v>x</v>
      </c>
      <c r="AM93" s="122">
        <f>SUM(AL94:AL$94)</f>
        <v>0</v>
      </c>
      <c r="AN93" s="122">
        <f>SUM($AL$4:AL93)</f>
        <v>31215.543190081382</v>
      </c>
      <c r="AO93" s="122">
        <f t="shared" si="58"/>
        <v>31215.543190081382</v>
      </c>
      <c r="AP93" s="13" t="str">
        <f t="shared" si="39"/>
        <v>x</v>
      </c>
    </row>
    <row r="94" spans="1:42" x14ac:dyDescent="0.25">
      <c r="A94" s="7">
        <f t="shared" si="40"/>
        <v>90</v>
      </c>
      <c r="B94" s="122" t="str">
        <f>IF((A94&lt;='Alternative 1'!$B$12),B93+1,"x")</f>
        <v>x</v>
      </c>
      <c r="C94" s="74" t="e">
        <f>'Alternative 1'!I93</f>
        <v>#VALUE!</v>
      </c>
      <c r="D94" s="74" t="e">
        <f>'Alternative 1'!J93</f>
        <v>#VALUE!</v>
      </c>
      <c r="E94" s="122" t="e">
        <f t="shared" ref="E94" si="59">(PI()*1*(C93^2+C94^2+C93*C94)*(1/3))</f>
        <v>#VALUE!</v>
      </c>
      <c r="F94" s="122" t="e">
        <f t="shared" ref="F94" si="60">(PI()*1*(D93^2+D94^2+D93*D94)*(1/3))</f>
        <v>#VALUE!</v>
      </c>
      <c r="G94" s="122" t="e">
        <f t="shared" ref="G94" si="61">(E94-F94)</f>
        <v>#VALUE!</v>
      </c>
      <c r="H94" s="122" t="str">
        <f t="shared" ref="H94" si="62">IF(NOT(B94="x"),G94*$A$1,"x")</f>
        <v>x</v>
      </c>
      <c r="I94" s="122">
        <f>SUM(H$94:H95)</f>
        <v>0</v>
      </c>
      <c r="J94" s="122">
        <f>SUM($H$4:H94)</f>
        <v>31215.543190081382</v>
      </c>
      <c r="K94" s="122">
        <f t="shared" ref="K94" si="63">ABS(I94-J94)</f>
        <v>31215.543190081382</v>
      </c>
      <c r="L94" s="122" t="str">
        <f t="shared" ref="L94" si="64">B94</f>
        <v>x</v>
      </c>
      <c r="P94" s="7">
        <f t="shared" si="41"/>
        <v>90</v>
      </c>
      <c r="Q94" s="122" t="str">
        <f>IF((AE94&lt;='Alternative 2'!$B$12),AF93+1,"x")</f>
        <v>x</v>
      </c>
      <c r="R94" s="74" t="e">
        <f>'Alternative 2'!I93</f>
        <v>#VALUE!</v>
      </c>
      <c r="S94" s="74" t="e">
        <f>'Alternative 2'!J93</f>
        <v>#VALUE!</v>
      </c>
      <c r="T94" s="122" t="e">
        <f t="shared" si="49"/>
        <v>#VALUE!</v>
      </c>
      <c r="U94" s="122" t="e">
        <f t="shared" si="50"/>
        <v>#VALUE!</v>
      </c>
      <c r="V94" s="122" t="e">
        <f t="shared" si="51"/>
        <v>#VALUE!</v>
      </c>
      <c r="W94" s="122" t="str">
        <f t="shared" si="52"/>
        <v>x</v>
      </c>
      <c r="X94" s="122">
        <f>SUM(W$94:W95)</f>
        <v>0</v>
      </c>
      <c r="Y94" s="122">
        <f>SUM($W$4:W94)</f>
        <v>31215.543190081382</v>
      </c>
      <c r="Z94" s="122">
        <f t="shared" si="53"/>
        <v>31215.543190081382</v>
      </c>
      <c r="AA94" s="13" t="str">
        <f t="shared" si="38"/>
        <v>x</v>
      </c>
      <c r="AE94" s="7">
        <f t="shared" si="42"/>
        <v>90</v>
      </c>
      <c r="AF94" s="122" t="str">
        <f>IF((AE94&lt;='Alternative 3'!$B$12),AF93+1,"x")</f>
        <v>x</v>
      </c>
      <c r="AG94" s="74" t="e">
        <f>'Alternative 3'!I93</f>
        <v>#VALUE!</v>
      </c>
      <c r="AH94" s="74" t="e">
        <f>'Alternative 3'!J93</f>
        <v>#VALUE!</v>
      </c>
      <c r="AI94" s="122" t="e">
        <f t="shared" si="54"/>
        <v>#VALUE!</v>
      </c>
      <c r="AJ94" s="122" t="e">
        <f t="shared" si="55"/>
        <v>#VALUE!</v>
      </c>
      <c r="AK94" s="122" t="e">
        <f t="shared" si="56"/>
        <v>#VALUE!</v>
      </c>
      <c r="AL94" s="122" t="str">
        <f t="shared" si="57"/>
        <v>x</v>
      </c>
      <c r="AM94" s="122">
        <f>SUM(AL$94:AL95)</f>
        <v>0</v>
      </c>
      <c r="AN94" s="122">
        <f>SUM($AL$4:AL94)</f>
        <v>31215.543190081382</v>
      </c>
      <c r="AO94" s="122">
        <f t="shared" si="58"/>
        <v>31215.543190081382</v>
      </c>
      <c r="AP94" s="13" t="str">
        <f t="shared" si="39"/>
        <v>x</v>
      </c>
    </row>
  </sheetData>
  <mergeCells count="3">
    <mergeCell ref="AE2:AR2"/>
    <mergeCell ref="A2:N2"/>
    <mergeCell ref="P2:AC2"/>
  </mergeCells>
  <conditionalFormatting sqref="K4:L4 AA5:AA94 AP5:AP94 L5:L94">
    <cfRule type="cellIs" dxfId="15" priority="16" operator="equal">
      <formula>#REF!</formula>
    </cfRule>
  </conditionalFormatting>
  <conditionalFormatting sqref="K4:L94">
    <cfRule type="cellIs" dxfId="14" priority="15" operator="equal">
      <formula>#REF!</formula>
    </cfRule>
  </conditionalFormatting>
  <conditionalFormatting sqref="Z4:AA4">
    <cfRule type="cellIs" dxfId="13" priority="13" operator="equal">
      <formula>#REF!</formula>
    </cfRule>
  </conditionalFormatting>
  <conditionalFormatting sqref="Z4:AA94">
    <cfRule type="cellIs" dxfId="12" priority="12" operator="equal">
      <formula>#REF!</formula>
    </cfRule>
  </conditionalFormatting>
  <conditionalFormatting sqref="Z1 Z3:Z1048576">
    <cfRule type="cellIs" dxfId="11" priority="7" operator="equal">
      <formula>$AB$4</formula>
    </cfRule>
  </conditionalFormatting>
  <conditionalFormatting sqref="K1 K3:K1048576">
    <cfRule type="cellIs" dxfId="10" priority="6" operator="equal">
      <formula>$M$4</formula>
    </cfRule>
  </conditionalFormatting>
  <conditionalFormatting sqref="AO4:AP4">
    <cfRule type="cellIs" dxfId="9" priority="5" operator="equal">
      <formula>#REF!</formula>
    </cfRule>
  </conditionalFormatting>
  <conditionalFormatting sqref="AO4:AP94">
    <cfRule type="cellIs" dxfId="8" priority="4" operator="equal">
      <formula>#REF!</formula>
    </cfRule>
  </conditionalFormatting>
  <conditionalFormatting sqref="AO3:AO94">
    <cfRule type="cellIs" dxfId="7" priority="1" operator="equal">
      <formula>$AB$4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C11C982-67BC-4E62-A923-8CBF3CB6FE6B}">
            <xm:f>'\Users\H\AppData\Roaming\Microsoft\Excel\[Compiled_Excel_updated 2.19 (version 1).xlsb]Alternative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 B3:B1048576</xm:sqref>
        </x14:conditionalFormatting>
        <x14:conditionalFormatting xmlns:xm="http://schemas.microsoft.com/office/excel/2006/main">
          <x14:cfRule type="cellIs" priority="11" operator="equal" id="{74895920-13F6-4682-ADE5-BE986AADBDC9}">
            <xm:f>'\Users\H\AppData\Roaming\Microsoft\Excel\[Compiled_Excel_updated 2.19 (version 1).xlsb]Alternative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Q3:Q94</xm:sqref>
        </x14:conditionalFormatting>
        <x14:conditionalFormatting xmlns:xm="http://schemas.microsoft.com/office/excel/2006/main">
          <x14:cfRule type="cellIs" priority="10" operator="equal" id="{DB594838-1832-444A-A38B-B24C13F1D055}">
            <xm:f>'\Users\H\AppData\Roaming\Microsoft\Excel\[Compiled_Excel_updated 2.19 (version 1).xlsb]Alternative 2'!#REF!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P1:AC1 P95:AC1048576 P3:AC3 P2 X4:AC94 P4:V94</xm:sqref>
        </x14:conditionalFormatting>
        <x14:conditionalFormatting xmlns:xm="http://schemas.microsoft.com/office/excel/2006/main">
          <x14:cfRule type="cellIs" priority="8" operator="equal" id="{622ABB50-EEE1-4256-B978-D9F6C05A35FD}">
            <xm:f>'\Users\Siena\AppData\Local\Microsoft\Windows\Temporary Internet Files\Low\Content.IE5\O9U3X2IZ\[OLD(2-24-14).xlsx]Alternative 3'!#REF!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B1345D24-C3A2-4AE9-9D39-A19EB87B89E7}">
            <xm:f>'\Users\H\AppData\Roaming\Microsoft\Excel\[Compiled_Excel_updated 2.19 (version 1).xlsb]Alternative 3'!#REF!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AF1 AF95:AF1048576</xm:sqref>
        </x14:conditionalFormatting>
        <x14:conditionalFormatting xmlns:xm="http://schemas.microsoft.com/office/excel/2006/main">
          <x14:cfRule type="cellIs" priority="3" operator="equal" id="{76264020-258D-46CE-ACC3-3B1BA3B11210}">
            <xm:f>'\Users\H\AppData\Roaming\Microsoft\Excel\[Compiled_Excel_updated 2.19 (version 1).xlsb]Alternative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AF3:AF94</xm:sqref>
        </x14:conditionalFormatting>
        <x14:conditionalFormatting xmlns:xm="http://schemas.microsoft.com/office/excel/2006/main">
          <x14:cfRule type="cellIs" priority="2" operator="equal" id="{98F83713-67DA-449A-B2FF-F9969FDC04F5}">
            <xm:f>'\Users\H\AppData\Roaming\Microsoft\Excel\[Compiled_Excel_updated 2.19 (version 1).xlsb]Alternative 2'!#REF!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AE3:AR3 AE4:AK94 AM4:AR94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K97"/>
  <sheetViews>
    <sheetView zoomScale="70" zoomScaleNormal="70" workbookViewId="0">
      <selection activeCell="CB17" sqref="CB17"/>
    </sheetView>
  </sheetViews>
  <sheetFormatPr defaultColWidth="9.140625" defaultRowHeight="15" x14ac:dyDescent="0.25"/>
  <cols>
    <col min="1" max="3" width="9.140625" style="89"/>
    <col min="4" max="4" width="12.85546875" style="89" bestFit="1" customWidth="1"/>
    <col min="5" max="5" width="17.7109375" style="74" bestFit="1" customWidth="1"/>
    <col min="6" max="7" width="19.7109375" style="74" bestFit="1" customWidth="1"/>
    <col min="8" max="8" width="10.140625" style="89" bestFit="1" customWidth="1"/>
    <col min="9" max="9" width="1.28515625" style="244" customWidth="1"/>
    <col min="10" max="10" width="12.140625" style="89" hidden="1" customWidth="1"/>
    <col min="11" max="11" width="11.5703125" style="89" bestFit="1" customWidth="1"/>
    <col min="12" max="12" width="12.42578125" style="89" bestFit="1" customWidth="1"/>
    <col min="13" max="13" width="24.42578125" style="89" bestFit="1" customWidth="1"/>
    <col min="14" max="14" width="21.42578125" style="89" bestFit="1" customWidth="1"/>
    <col min="15" max="15" width="15.42578125" style="89" bestFit="1" customWidth="1"/>
    <col min="16" max="16" width="20.7109375" style="89" bestFit="1" customWidth="1"/>
    <col min="17" max="17" width="1.28515625" style="244" customWidth="1"/>
    <col min="18" max="18" width="22" style="89" bestFit="1" customWidth="1"/>
    <col min="19" max="19" width="21.42578125" style="89" bestFit="1" customWidth="1"/>
    <col min="20" max="20" width="23.140625" style="89" bestFit="1" customWidth="1"/>
    <col min="21" max="21" width="21.42578125" style="89" bestFit="1" customWidth="1"/>
    <col min="22" max="22" width="18.85546875" style="89" customWidth="1"/>
    <col min="23" max="23" width="1.28515625" style="244" customWidth="1"/>
    <col min="24" max="28" width="18.7109375" style="89" customWidth="1"/>
    <col min="29" max="29" width="1.28515625" style="244" customWidth="1"/>
    <col min="30" max="34" width="18.28515625" style="89" customWidth="1"/>
    <col min="35" max="35" width="1.28515625" style="244" customWidth="1"/>
    <col min="36" max="40" width="19.7109375" style="89" customWidth="1"/>
    <col min="41" max="41" width="1.28515625" style="244" customWidth="1"/>
    <col min="42" max="46" width="20.85546875" style="89" customWidth="1"/>
    <col min="47" max="47" width="1.28515625" style="244" customWidth="1"/>
    <col min="48" max="52" width="20.5703125" style="89" customWidth="1"/>
    <col min="53" max="53" width="1.28515625" style="244" customWidth="1"/>
    <col min="54" max="58" width="19.42578125" style="89" customWidth="1"/>
    <col min="59" max="59" width="1.28515625" style="244" customWidth="1"/>
    <col min="60" max="64" width="18.42578125" style="89" customWidth="1"/>
    <col min="65" max="65" width="1.28515625" style="244" customWidth="1"/>
    <col min="66" max="70" width="17.7109375" style="89" customWidth="1"/>
    <col min="71" max="71" width="1.28515625" style="244" customWidth="1"/>
    <col min="72" max="73" width="18.5703125" style="89" customWidth="1"/>
    <col min="74" max="74" width="17.28515625" style="89" bestFit="1" customWidth="1"/>
    <col min="75" max="76" width="17.28515625" style="89" customWidth="1"/>
    <col min="77" max="77" width="2" style="244" customWidth="1"/>
    <col min="78" max="78" width="19.28515625" style="89" customWidth="1"/>
    <col min="79" max="79" width="18.5703125" style="89" customWidth="1"/>
    <col min="80" max="16384" width="9.140625" style="89"/>
  </cols>
  <sheetData>
    <row r="1" spans="1:115" ht="45" customHeight="1" x14ac:dyDescent="0.25">
      <c r="A1" s="245" t="s">
        <v>105</v>
      </c>
      <c r="B1" s="245"/>
      <c r="C1" s="245"/>
      <c r="D1" s="245"/>
      <c r="E1" s="245"/>
      <c r="F1" s="245"/>
      <c r="G1" s="245"/>
      <c r="H1" s="245"/>
      <c r="K1" s="245" t="s">
        <v>106</v>
      </c>
      <c r="L1" s="245"/>
      <c r="M1" s="245"/>
      <c r="N1" s="245"/>
      <c r="O1" s="245"/>
      <c r="P1" s="245"/>
      <c r="R1" s="246" t="s">
        <v>156</v>
      </c>
      <c r="S1" s="246"/>
      <c r="T1" s="246"/>
      <c r="U1" s="246"/>
      <c r="V1" s="246"/>
      <c r="X1" s="245" t="s">
        <v>108</v>
      </c>
      <c r="Y1" s="245"/>
      <c r="Z1" s="245"/>
      <c r="AA1" s="245"/>
      <c r="AB1" s="245"/>
      <c r="AD1" s="245" t="s">
        <v>109</v>
      </c>
      <c r="AE1" s="245"/>
      <c r="AF1" s="245"/>
      <c r="AG1" s="245"/>
      <c r="AH1" s="245"/>
      <c r="AJ1" s="245" t="s">
        <v>110</v>
      </c>
      <c r="AK1" s="245"/>
      <c r="AL1" s="245"/>
      <c r="AM1" s="245"/>
      <c r="AN1" s="245"/>
      <c r="AP1" s="245" t="s">
        <v>111</v>
      </c>
      <c r="AQ1" s="245"/>
      <c r="AR1" s="245"/>
      <c r="AS1" s="245"/>
      <c r="AT1" s="245"/>
      <c r="AV1" s="245" t="s">
        <v>112</v>
      </c>
      <c r="AW1" s="245"/>
      <c r="AX1" s="245"/>
      <c r="AY1" s="245"/>
      <c r="AZ1" s="245"/>
      <c r="BB1" s="245" t="s">
        <v>113</v>
      </c>
      <c r="BC1" s="245"/>
      <c r="BD1" s="245"/>
      <c r="BE1" s="245"/>
      <c r="BF1" s="245"/>
      <c r="BH1" s="245" t="s">
        <v>114</v>
      </c>
      <c r="BI1" s="245"/>
      <c r="BJ1" s="245"/>
      <c r="BK1" s="245"/>
      <c r="BL1" s="245"/>
      <c r="BN1" s="247" t="s">
        <v>115</v>
      </c>
      <c r="BO1" s="248"/>
      <c r="BP1" s="248"/>
      <c r="BQ1" s="248"/>
      <c r="BR1" s="249"/>
      <c r="BT1" s="247" t="s">
        <v>116</v>
      </c>
      <c r="BU1" s="248"/>
      <c r="BV1" s="248"/>
      <c r="BW1" s="248"/>
      <c r="BX1" s="249"/>
      <c r="BZ1" s="282" t="s">
        <v>227</v>
      </c>
      <c r="CA1" s="282"/>
      <c r="CB1" s="281">
        <f>IF(ROUND('Alternative 1'!$B$28,2)='Alternative 1-Tilt Up'!A3,9999,0)</f>
        <v>0</v>
      </c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</row>
    <row r="2" spans="1:115" ht="60" customHeight="1" x14ac:dyDescent="0.25">
      <c r="A2" s="73" t="s">
        <v>36</v>
      </c>
      <c r="B2" s="72" t="s">
        <v>95</v>
      </c>
      <c r="C2" s="72" t="s">
        <v>96</v>
      </c>
      <c r="D2" s="72" t="s">
        <v>97</v>
      </c>
      <c r="E2" s="83" t="s">
        <v>148</v>
      </c>
      <c r="F2" s="83" t="s">
        <v>147</v>
      </c>
      <c r="G2" s="83" t="s">
        <v>149</v>
      </c>
      <c r="H2" s="72" t="s">
        <v>127</v>
      </c>
      <c r="J2" s="89" t="s">
        <v>98</v>
      </c>
      <c r="K2" s="73" t="s">
        <v>99</v>
      </c>
      <c r="L2" s="72" t="s">
        <v>104</v>
      </c>
      <c r="M2" s="72" t="s">
        <v>100</v>
      </c>
      <c r="N2" s="72" t="s">
        <v>101</v>
      </c>
      <c r="O2" s="73" t="s">
        <v>102</v>
      </c>
      <c r="P2" s="73" t="s">
        <v>103</v>
      </c>
      <c r="R2" s="72" t="s">
        <v>94</v>
      </c>
      <c r="S2" s="72" t="s">
        <v>126</v>
      </c>
      <c r="T2" s="73" t="s">
        <v>123</v>
      </c>
      <c r="U2" s="73" t="s">
        <v>124</v>
      </c>
      <c r="V2" s="73" t="s">
        <v>125</v>
      </c>
      <c r="X2" s="72" t="s">
        <v>94</v>
      </c>
      <c r="Y2" s="72" t="s">
        <v>126</v>
      </c>
      <c r="Z2" s="73" t="s">
        <v>123</v>
      </c>
      <c r="AA2" s="73" t="s">
        <v>124</v>
      </c>
      <c r="AB2" s="73" t="s">
        <v>125</v>
      </c>
      <c r="AD2" s="72" t="s">
        <v>94</v>
      </c>
      <c r="AE2" s="72" t="s">
        <v>126</v>
      </c>
      <c r="AF2" s="73" t="s">
        <v>123</v>
      </c>
      <c r="AG2" s="73" t="s">
        <v>124</v>
      </c>
      <c r="AH2" s="73" t="s">
        <v>125</v>
      </c>
      <c r="AJ2" s="72" t="s">
        <v>94</v>
      </c>
      <c r="AK2" s="72" t="s">
        <v>126</v>
      </c>
      <c r="AL2" s="73" t="s">
        <v>123</v>
      </c>
      <c r="AM2" s="73" t="s">
        <v>124</v>
      </c>
      <c r="AN2" s="73" t="s">
        <v>125</v>
      </c>
      <c r="AP2" s="72" t="s">
        <v>94</v>
      </c>
      <c r="AQ2" s="72" t="s">
        <v>126</v>
      </c>
      <c r="AR2" s="73" t="s">
        <v>123</v>
      </c>
      <c r="AS2" s="73" t="s">
        <v>124</v>
      </c>
      <c r="AT2" s="73" t="s">
        <v>125</v>
      </c>
      <c r="AV2" s="72" t="s">
        <v>94</v>
      </c>
      <c r="AW2" s="72" t="s">
        <v>126</v>
      </c>
      <c r="AX2" s="73" t="s">
        <v>123</v>
      </c>
      <c r="AY2" s="73" t="s">
        <v>124</v>
      </c>
      <c r="AZ2" s="73" t="s">
        <v>125</v>
      </c>
      <c r="BB2" s="72" t="s">
        <v>94</v>
      </c>
      <c r="BC2" s="72" t="s">
        <v>126</v>
      </c>
      <c r="BD2" s="73" t="s">
        <v>123</v>
      </c>
      <c r="BE2" s="73" t="s">
        <v>124</v>
      </c>
      <c r="BF2" s="73" t="s">
        <v>125</v>
      </c>
      <c r="BH2" s="72" t="s">
        <v>94</v>
      </c>
      <c r="BI2" s="72" t="s">
        <v>126</v>
      </c>
      <c r="BJ2" s="73" t="s">
        <v>123</v>
      </c>
      <c r="BK2" s="73" t="s">
        <v>124</v>
      </c>
      <c r="BL2" s="73" t="s">
        <v>125</v>
      </c>
      <c r="BN2" s="72" t="s">
        <v>94</v>
      </c>
      <c r="BO2" s="72" t="s">
        <v>126</v>
      </c>
      <c r="BP2" s="73" t="s">
        <v>123</v>
      </c>
      <c r="BQ2" s="73" t="s">
        <v>124</v>
      </c>
      <c r="BR2" s="73" t="s">
        <v>125</v>
      </c>
      <c r="BT2" s="72" t="s">
        <v>94</v>
      </c>
      <c r="BU2" s="72" t="s">
        <v>126</v>
      </c>
      <c r="BV2" s="73" t="s">
        <v>123</v>
      </c>
      <c r="BW2" s="73" t="s">
        <v>124</v>
      </c>
      <c r="BX2" s="73" t="s">
        <v>125</v>
      </c>
      <c r="BZ2" s="72" t="s">
        <v>155</v>
      </c>
      <c r="CA2" s="72" t="s">
        <v>154</v>
      </c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</row>
    <row r="3" spans="1:115" ht="15" customHeight="1" x14ac:dyDescent="0.25">
      <c r="A3" s="89">
        <f>IF('Alternative 1'!F4&gt;0,'Alternative 1'!F4,"x")</f>
        <v>1</v>
      </c>
      <c r="B3" s="89">
        <f>IF('Alternative 1'!B12&gt;0,'Alternative 1'!B12,"x")</f>
        <v>36</v>
      </c>
      <c r="C3" s="89">
        <f>IF((A3="x"),0,C4+0.5)</f>
        <v>18</v>
      </c>
      <c r="D3" s="89">
        <f>A3</f>
        <v>1</v>
      </c>
      <c r="E3" s="74">
        <f>IF($A3&lt;='Alternative 1'!$B$27, IF($A3='Alternative 1'!$B$27,0,E4+1),0)</f>
        <v>15</v>
      </c>
      <c r="F3" s="74">
        <f>IF($A3&lt;=('Alternative 1'!$B$28), IF($A3=ROUNDDOWN('Alternative 1'!$B$28,0),0,F4+1),0)</f>
        <v>21</v>
      </c>
      <c r="G3" s="74">
        <f>IF($A3&lt;=('Alternative 1'!$B$29), IF($A3=ROUNDDOWN('Alternative 1'!$B$29,0),0,G4+1),0)</f>
        <v>28</v>
      </c>
      <c r="H3" s="89">
        <f>B3</f>
        <v>36</v>
      </c>
      <c r="J3" s="76">
        <v>0</v>
      </c>
      <c r="K3" s="76"/>
      <c r="L3" s="89">
        <f>'Alternative 1'!$B$27*SIN(K3)+'Alternative 1'!$B$28*SIN(K3)+'Alternative 1'!$B$29*SIN(K3)</f>
        <v>0</v>
      </c>
      <c r="M3" s="77">
        <f>(('Alternative 1'!$B$27)*(((('Alternative 1'!$B$28-'Alternative 1'!$B$27)/2)+'Alternative 1'!$B$27)*'Alternative 1'!$B$39)*COS('Alternative 1-Tilt Up'!K3))+(('Alternative 1'!$B$28)*((('Alternative 1'!$B$28-'Alternative 1'!$B$27)/2)+(('Alternative 1'!$B$29-'Alternative 1'!$B$28)/2))*('Alternative 1'!$B$39)*COS('Alternative 1-Tilt Up'!K3))+(('Alternative 1'!$B$29)*((('Alternative 1'!$B$12-'Alternative 1'!$B$29+(('Alternative 1'!$B$29-'Alternative 1'!$B$28)/2)*('Alternative 1'!$B$39)*COS('Alternative 1-Tilt Up'!K3)))))</f>
        <v>4746112.4232982202</v>
      </c>
      <c r="N3" s="77" t="e">
        <f t="shared" ref="N3:N66" si="0">M3*3/L3</f>
        <v>#DIV/0!</v>
      </c>
      <c r="O3" s="77">
        <f>(((('Alternative 1'!$B$28-'Alternative 1'!$B$27)/2)+'Alternative 1'!$B$27)*('Alternative 1'!$B$39)*COS('Alternative 1-Tilt Up'!K3))+(((('Alternative 1'!$B$28-'Alternative 1'!$B$27)/2)+(('Alternative 1'!$B$29-'Alternative 1'!$B$28)/2))*('Alternative 1'!$B$39)*COS('Alternative 1-Tilt Up'!K3))+(((('Alternative 1'!$B$12-'Alternative 1'!$B$29)+(('Alternative 1'!$B$29-'Alternative 1'!$B$28)/2))*('Alternative 1'!$B$39)*COS('Alternative 1-Tilt Up'!K3)))</f>
        <v>306119.90662501159</v>
      </c>
      <c r="P3" s="77" t="e">
        <f t="shared" ref="P3:P66" si="1">N3*COS(K3)</f>
        <v>#DIV/0!</v>
      </c>
      <c r="R3" s="78">
        <f>'Alternative 1'!$B$39*$B3*$C3*COS($K$5)-($N$5/3)*$E3*SIN($K$5)-($N$5/3)*$F3*SIN($K$5)-($N$5/3)*$G3*SIN($K$5)</f>
        <v>1042593.360605106</v>
      </c>
      <c r="S3" s="79">
        <f>IF(($A3&lt;'Alternative 1'!$B$27),(($H3*'Alternative 1'!$B$39)+(3*($N$5/3)*COS($K$5))),IF(($A3&lt;'Alternative 1'!$B$28),(($H3*'Alternative 1'!$B$39)+(2*(($N$5/3)*COS($K$5)))),IF(($A3&lt;'Alternative 1'!$B$29),(($H$3*'Alternative 1'!$B$39+(($N$5/3)*COS($K$5)))),($H3*'Alternative 1'!$B$39))))</f>
        <v>6298535.5378487883</v>
      </c>
      <c r="T3" s="78">
        <f>R3*'Alternative 1'!$K4/'Alternative 1'!$L4</f>
        <v>15106603.988169821</v>
      </c>
      <c r="U3" s="78">
        <f>S3/'Alternative 1'!$M4</f>
        <v>1825244.5260042725</v>
      </c>
      <c r="V3" s="78">
        <f t="shared" ref="V3:V66" si="2">(T3+U3)/1000000</f>
        <v>16.931848514174092</v>
      </c>
      <c r="X3" s="78">
        <f>'Alternative 1'!$B$39*$B3*$C3*COS($K$13)-($N$12/3)*$E3*SIN($K$13)-($N$12/3)*$F3*SIN($K$13)-($N$12/3)*$G3*SIN($K$13)</f>
        <v>529030.34312356031</v>
      </c>
      <c r="Y3" s="79">
        <f>IF(($A3&lt;'Alternative 1'!$B$27),(($H3*'Alternative 1'!$B$39)+(3*($N$12/3)*COS($K$13))),IF(($A3&lt;'Alternative 1'!$B$28),(($H3*'Alternative 1'!$B$39)+(2*(($N$12/3)*COS($K$13)))),IF(($A3&lt;'Alternative 1'!$B$29),(($H$3*'Alternative 1'!$B$39+(($N$12/3)*COS($K$13)))),($H3*'Alternative 1'!$B$39))))</f>
        <v>1608055.5926517113</v>
      </c>
      <c r="Z3" s="78">
        <f>X3*'Alternative 1'!$K4/'Alternative 1'!$L4</f>
        <v>7665358.5120232012</v>
      </c>
      <c r="AA3" s="78">
        <f>Y3/'Alternative 1'!$M4</f>
        <v>465996.36540282972</v>
      </c>
      <c r="AB3" s="78">
        <f t="shared" ref="AB3:AB66" si="3">(Z3+AA3)/1000000</f>
        <v>8.1313548774260305</v>
      </c>
      <c r="AD3" s="78">
        <f>'Alternative 1'!$B$39*$B3*$C3*COS($K$23)-($N$22/3)*$E3*SIN($K$23)-($N$22/3)*$F3*SIN($K$23)-($N$22/3)*$G3*SIN($K$23)</f>
        <v>740849.82228926686</v>
      </c>
      <c r="AE3" s="79">
        <f>IF(($A3&lt;'Alternative 1'!$B$27),(($H3*'Alternative 1'!$B$39)+(3*($N$22/3)*COS($K$23))),IF(($A3&lt;'Alternative 1'!$B$28),(($H3*'Alternative 1'!$B$39)+(2*(($N$22/3)*COS($K$23)))),IF(($A3&lt;'Alternative 1'!$B$29),(($H$3*'Alternative 1'!$B$39+(($N$22/3)*COS($K$23)))),($H3*'Alternative 1'!$B$39))))</f>
        <v>877552.96178322355</v>
      </c>
      <c r="AF3" s="78">
        <f>AD3*'Alternative 1'!$K4/'Alternative 1'!$L4</f>
        <v>10734506.18708566</v>
      </c>
      <c r="AG3" s="78">
        <f>AE3/'Alternative 1'!$M4</f>
        <v>254304.94599078331</v>
      </c>
      <c r="AH3" s="78">
        <f t="shared" ref="AH3:AH66" si="4">(AF3+AG3)/1000000</f>
        <v>10.988811133076444</v>
      </c>
      <c r="AJ3" s="78">
        <f>'Alternative 1'!$B$39*$B3*$C3*COS($K$33)-($N$32/3)*$E3*SIN($K$33)-($N$32/3)*$F3*SIN($K$33)-($N$32/3)*$G3*SIN($K$33)</f>
        <v>742636.35056391661</v>
      </c>
      <c r="AK3" s="79">
        <f>IF(($A3&lt;'Alternative 1'!$B$27),(($H3*'Alternative 1'!$B$39)+(3*($N$32/3)*COS($K$33))),IF(($A3&lt;'Alternative 1'!$B$28),(($H3*'Alternative 1'!$B$39)+(2*(($N$32/3)*COS($K$33)))),IF(($A3&lt;'Alternative 1'!$B$29),(($H$3*'Alternative 1'!$B$39+(($N$32/3)*COS($K$33)))),($H3*'Alternative 1'!$B$39))))</f>
        <v>633258.35606959346</v>
      </c>
      <c r="AL3" s="78">
        <f>AJ3*'Alternative 1'!$K4/'Alternative 1'!$L4</f>
        <v>10760391.998542523</v>
      </c>
      <c r="AM3" s="78">
        <f>AK3/'Alternative 1'!$M4</f>
        <v>183511.12588264624</v>
      </c>
      <c r="AN3" s="78">
        <f t="shared" ref="AN3:AN66" si="5">(AL3+AM3)/1000000</f>
        <v>10.943903124425169</v>
      </c>
      <c r="AP3" s="78">
        <f>'Alternative 1'!$B$39*$B3*$C3*COS($K$43)-($N$42/3)*$E3*SIN($K$43)-($N$42/3)*$F3*SIN($K$43)-($N$42/3)*$G3*SIN($K$43)</f>
        <v>675240.30499292654</v>
      </c>
      <c r="AQ3" s="79">
        <f>IF(($A3&lt;'Alternative 1'!$B$27),(($H3*'Alternative 1'!$B$39)+(3*($N$42/3)*COS($K$43))),IF(($A3&lt;'Alternative 1'!$B$28),(($H3*'Alternative 1'!$B$39)+(2*(($N$42/3)*COS($K$43)))),IF(($A3&lt;'Alternative 1'!$B$29),(($H$3*'Alternative 1'!$B$39+(($N$42/3)*COS($K$43)))),($H3*'Alternative 1'!$B$39))))</f>
        <v>504199.73628121638</v>
      </c>
      <c r="AR3" s="78">
        <f>AP3*'Alternative 1'!$K4/'Alternative 1'!$L4</f>
        <v>9783860.3906501736</v>
      </c>
      <c r="AS3" s="78">
        <f>AQ3/'Alternative 1'!$M4</f>
        <v>146111.39416931901</v>
      </c>
      <c r="AT3" s="78">
        <f t="shared" ref="AT3:AT66" si="6">(AR3+AS3)/1000000</f>
        <v>9.9299717848194931</v>
      </c>
      <c r="AV3" s="78">
        <f>'Alternative 1'!$B$39*$B3*$C3*COS($K$53)-($N$52/3)*$E3*SIN($K$53)-($N$52/3)*$F3*SIN($K$53)-($N$52/3)*$G3*SIN($K$53)</f>
        <v>567214.13764524809</v>
      </c>
      <c r="AW3" s="79">
        <f>IF(($A3&lt;'Alternative 1'!$B$27),(($H3*'Alternative 1'!$B$39)+(3*($N$52/3)*COS($K$53))),IF(($A3&lt;'Alternative 1'!$B$28),(($H3*'Alternative 1'!$B$39)+(2*(($N$52/3)*COS($K$53)))),IF(($A3&lt;'Alternative 1'!$B$29),(($H$3*'Alternative 1'!$B$39+(($N$52/3)*COS($K$53)))),($H3*'Alternative 1'!$B$39))))</f>
        <v>423121.10195907514</v>
      </c>
      <c r="AX3" s="78">
        <f>AV3*'Alternative 1'!$K4/'Alternative 1'!$L4</f>
        <v>8218620.6796146035</v>
      </c>
      <c r="AY3" s="78">
        <f>AW3/'Alternative 1'!$M4</f>
        <v>122615.72083650892</v>
      </c>
      <c r="AZ3" s="78">
        <f t="shared" ref="AZ3:AZ66" si="7">(AX3+AY3)/1000000</f>
        <v>8.3412364004511126</v>
      </c>
      <c r="BB3" s="78">
        <f>'Alternative 1'!$B$39*$B3*$C3*COS($K$63)-($N$62/3)*$E3*SIN($K$63)-($N$62/3)*$F3*SIN($K$63)-($N$62/3)*$G3*SIN($K$63)</f>
        <v>430575.0904595945</v>
      </c>
      <c r="BC3" s="79">
        <f>IF(($A3&lt;'Alternative 1'!$B$27),(($H3*'Alternative 1'!$B$39)+(3*($N$62/3)*COS($K$63))),IF(($A3&lt;'Alternative 1'!$B$28),(($H3*'Alternative 1'!$B$39)+(2*(($N$62/3)*COS($K$63)))),IF(($A3&lt;'Alternative 1'!$B$29),(($H$3*'Alternative 1'!$B$39+(($N$62/3)*COS($K$63)))),($H3*'Alternative 1'!$B$39))))</f>
        <v>369028.64334681258</v>
      </c>
      <c r="BD3" s="78">
        <f>BB3*'Alternative 1'!$K4/'Alternative 1'!$L4</f>
        <v>6238796.0872572195</v>
      </c>
      <c r="BE3" s="78">
        <f>BC3/'Alternative 1'!$M4</f>
        <v>106940.33671160392</v>
      </c>
      <c r="BF3" s="78">
        <f t="shared" ref="BF3:BF66" si="8">(BD3+BE3)/1000000</f>
        <v>6.3457364239688232</v>
      </c>
      <c r="BH3" s="78">
        <f>'Alternative 1'!$B$39*$B3*$C3*COS($K$73)-($N$72/3)*$E3*SIN($K$73)-($N$72/3)*$F3*SIN($K$73)-($N$72/3)*$G3*SIN($K$73)</f>
        <v>273181.37703530118</v>
      </c>
      <c r="BI3" s="79">
        <f>IF(($A3&lt;'Alternative 1'!$B$27),(($H3*'Alternative 1'!$B$39)+(3*($N$72/3)*COS($K$73))),IF(($A3&lt;'Alternative 1'!$B$28),(($H3*'Alternative 1'!$B$39)+(2*(($N$72/3)*COS($K$73)))),IF(($A3&lt;'Alternative 1'!$B$29),(($H$3*'Alternative 1'!$B$39+(($N$72/3)*COS($K$73)))),($H3*'Alternative 1'!$B$39))))</f>
        <v>333612.23495678173</v>
      </c>
      <c r="BJ3" s="78">
        <f>BH3*'Alternative 1'!$K4/'Alternative 1'!$L4</f>
        <v>3958247.8037458868</v>
      </c>
      <c r="BK3" s="78">
        <f>BI3/'Alternative 1'!$M4</f>
        <v>96677.06119998965</v>
      </c>
      <c r="BL3" s="78">
        <f t="shared" ref="BL3:BL66" si="9">(BJ3+BK3)/1000000</f>
        <v>4.0549248649458765</v>
      </c>
      <c r="BN3" s="78">
        <f>'Alternative 1'!$B$39*$B3*$C3*COS($K$83)-($N$82/3)*$E3*SIN($K$83)-($N$82/3)*$F3*SIN($K$83)-($N$82/3)*$G3*SIN($K$83)</f>
        <v>101587.54253658489</v>
      </c>
      <c r="BO3" s="79">
        <f>IF(($A3&lt;'Alternative 1'!$B$27),(($H3*'Alternative 1'!$B$39)+(3*($N$82/3)*COS($K$83))),IF(($A3&lt;'Alternative 1'!$B$28),(($H3*'Alternative 1'!$B$39)+(2*(($N$82/3)*COS($K$83)))),IF(($A3&lt;'Alternative 1'!$B$29),(($H$3*'Alternative 1'!$B$39+(($N$82/3)*COS($K$83)))),($H3*'Alternative 1'!$B$39))))</f>
        <v>313188.75671695999</v>
      </c>
      <c r="BP3" s="78">
        <f>BN3*'Alternative 1'!$K4/'Alternative 1'!$L4</f>
        <v>1471947.5811172058</v>
      </c>
      <c r="BQ3" s="78">
        <f>BO3/'Alternative 1'!$M4</f>
        <v>90758.567665231589</v>
      </c>
      <c r="BR3" s="78">
        <f t="shared" ref="BR3:BR66" si="10">(BP3+BQ3)/1000000</f>
        <v>1.5627061487824374</v>
      </c>
      <c r="BT3" s="78">
        <f>'Alternative 1'!$B$39*$B3*$C3*COS($K$93)-($K$92/3)*$E3*SIN($K$93)-($K$92/3)*$F3*SIN($K$93)-($K$92/3)*$G3*SIN($K$93)</f>
        <v>-33.137984730861469</v>
      </c>
      <c r="BU3" s="79">
        <f>IF(($A3&lt;'Alternative 1'!$B$27),(($H3*'Alternative 1'!$B$39)+(3*($N$92/3)*COS($K$93))),IF(($A3&lt;'Alternative 1'!$B$28),(($H3*'Alternative 1'!$B$39)+(2*(($N$92/3)*COS($K$93)))),IF(($A3&lt;'Alternative 1'!$B$29),(($H$3*'Alternative 1'!$B$39+(($N$92/3)*COS($K$93)))),($H3*'Alternative 1'!$B$39))))</f>
        <v>306119.90662501159</v>
      </c>
      <c r="BV3" s="78">
        <f>BT3*'Alternative 1'!$K4/'Alternative 1'!$L4</f>
        <v>-480.15116075993438</v>
      </c>
      <c r="BW3" s="78">
        <f>BU3/'Alternative 1'!$M4</f>
        <v>88710.094673701824</v>
      </c>
      <c r="BX3" s="78">
        <f t="shared" ref="BX3:BX66" si="11">(BV3+BW3)/1000000</f>
        <v>8.8229943512941889E-2</v>
      </c>
      <c r="BZ3" s="77">
        <v>150</v>
      </c>
      <c r="CA3" s="77">
        <v>-150</v>
      </c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</row>
    <row r="4" spans="1:115" ht="15" customHeight="1" x14ac:dyDescent="0.25">
      <c r="A4" s="89">
        <f>IF('Alternative 1'!F5&gt;0,'Alternative 1'!F5,"x")</f>
        <v>2</v>
      </c>
      <c r="B4" s="89">
        <f>IF(B3-1&gt;0,B3-1,"x")</f>
        <v>35</v>
      </c>
      <c r="C4" s="89">
        <f t="shared" ref="C4:C67" si="12">IF((A4="x"),0,C5+0.5)</f>
        <v>17.5</v>
      </c>
      <c r="D4" s="89">
        <f t="shared" ref="D4:D67" si="13">A4</f>
        <v>2</v>
      </c>
      <c r="E4" s="74">
        <f>IF($A4&lt;='Alternative 1'!$B$27, IF($A4='Alternative 1'!$B$27,0,E5+1),0)</f>
        <v>14</v>
      </c>
      <c r="F4" s="74">
        <f>IF($A4&lt;=('Alternative 1'!$B$28), IF($A4=ROUNDDOWN('Alternative 1'!$B$28,0),0,F5+1),0)</f>
        <v>20</v>
      </c>
      <c r="G4" s="74">
        <f>IF($A4&lt;=('Alternative 1'!$B$29), IF($A4=ROUNDDOWN('Alternative 1'!$B$29,0),0,G5+1),0)</f>
        <v>27</v>
      </c>
      <c r="H4" s="89">
        <f t="shared" ref="H4:H67" si="14">B4</f>
        <v>35</v>
      </c>
      <c r="J4" s="77">
        <f t="shared" ref="J4:J67" si="15">J3+1</f>
        <v>1</v>
      </c>
      <c r="K4" s="77">
        <f t="shared" ref="K4:K67" si="16">J4*PI()/180</f>
        <v>1.7453292519943295E-2</v>
      </c>
      <c r="L4" s="78">
        <f>'Alternative 1'!$B$27*SIN(K4)+'Alternative 1'!$B$28*SIN(K4)+'Alternative 1'!$B$29*SIN(K4)</f>
        <v>1.1867636377352788</v>
      </c>
      <c r="M4" s="77">
        <f>(('Alternative 1'!$B$27)*(((('Alternative 1'!$B$28-'Alternative 1'!$B$27)/2)+'Alternative 1'!$B$27)*'Alternative 1'!$B$39)*COS('Alternative 1-Tilt Up'!K4))+(('Alternative 1'!$B$28)*((('Alternative 1'!$B$28-'Alternative 1'!$B$27)/2)+(('Alternative 1'!$B$29-'Alternative 1'!$B$28)/2))*('Alternative 1'!$B$39)*COS('Alternative 1-Tilt Up'!K4))+(('Alternative 1'!$B$29)*((('Alternative 1'!$B$12-'Alternative 1'!$B$29+(('Alternative 1'!$B$29-'Alternative 1'!$B$28)/2)*('Alternative 1'!$B$39)*COS('Alternative 1-Tilt Up'!K4)))))</f>
        <v>4745389.5971834045</v>
      </c>
      <c r="N4" s="77">
        <f t="shared" si="0"/>
        <v>11995791.191173784</v>
      </c>
      <c r="O4" s="77">
        <f>(((('Alternative 1'!$B$28-'Alternative 1'!$B$27)/2)+'Alternative 1'!$B$27)*('Alternative 1'!$B$39)*COS('Alternative 1-Tilt Up'!K4))+(((('Alternative 1'!$B$28-'Alternative 1'!$B$27)/2)+(('Alternative 1'!$B$29-'Alternative 1'!$B$28)/2))*('Alternative 1'!$B$39)*COS('Alternative 1-Tilt Up'!K4))+(((('Alternative 1'!$B$12-'Alternative 1'!$B$29)+(('Alternative 1'!$B$29-'Alternative 1'!$B$28)/2))*('Alternative 1'!$B$39)*COS('Alternative 1-Tilt Up'!K4)))</f>
        <v>306073.28308050754</v>
      </c>
      <c r="P4" s="77">
        <f t="shared" si="1"/>
        <v>11993964.17407245</v>
      </c>
      <c r="R4" s="78">
        <f>'Alternative 1'!$B$39*$B4*$C4*COS($K$5)-($N$5/3)*$E4*SIN($K$5)-($N$5/3)*$F4*SIN($K$5)-($N$5/3)*$G4*SIN($K$5)</f>
        <v>950168.77428296232</v>
      </c>
      <c r="S4" s="79">
        <f>IF(($A4&lt;'Alternative 1'!$B$27),(($H4*'Alternative 1'!$B$39)+(3*($N$5/3)*COS($K$5))),IF(($A4&lt;'Alternative 1'!$B$28),(($H4*'Alternative 1'!$B$39)+(2*(($N$5/3)*COS($K$5)))),IF(($A4&lt;'Alternative 1'!$B$29),(($H$3*'Alternative 1'!$B$39+(($N$5/3)*COS($K$5)))),($H4*'Alternative 1'!$B$39))))</f>
        <v>6290032.2071092045</v>
      </c>
      <c r="T4" s="78">
        <f>R4*'Alternative 1'!$K5/'Alternative 1'!$L5</f>
        <v>14032452.267589455</v>
      </c>
      <c r="U4" s="78">
        <f>S4/'Alternative 1'!$M5</f>
        <v>1857869.7766197508</v>
      </c>
      <c r="V4" s="78">
        <f t="shared" si="2"/>
        <v>15.890322044209206</v>
      </c>
      <c r="X4" s="78">
        <f>'Alternative 1'!$B$39*$B4*$C4*COS($K$13)-($N$12/3)*$E4*SIN($K$13)-($N$12/3)*$F4*SIN($K$13)-($N$12/3)*$G4*SIN($K$13)</f>
        <v>461314.54734095233</v>
      </c>
      <c r="Y4" s="79">
        <f>IF(($A4&lt;'Alternative 1'!$B$27),(($H4*'Alternative 1'!$B$39)+(3*($N$12/3)*COS($K$13))),IF(($A4&lt;'Alternative 1'!$B$28),(($H4*'Alternative 1'!$B$39)+(2*(($N$12/3)*COS($K$13)))),IF(($A4&lt;'Alternative 1'!$B$29),(($H$3*'Alternative 1'!$B$39+(($N$12/3)*COS($K$13)))),($H4*'Alternative 1'!$B$39))))</f>
        <v>1599552.2619121275</v>
      </c>
      <c r="Z4" s="78">
        <f>X4*'Alternative 1'!$K5/'Alternative 1'!$L5</f>
        <v>6812867.9252710994</v>
      </c>
      <c r="AA4" s="78">
        <f>Y4/'Alternative 1'!$M5</f>
        <v>472455.41925389814</v>
      </c>
      <c r="AB4" s="78">
        <f t="shared" si="3"/>
        <v>7.285323344524997</v>
      </c>
      <c r="AD4" s="78">
        <f>'Alternative 1'!$B$39*$B4*$C4*COS($K$23)-($N$22/3)*$E4*SIN($K$23)-($N$22/3)*$F4*SIN($K$23)-($N$22/3)*$G4*SIN($K$23)</f>
        <v>665171.08648550231</v>
      </c>
      <c r="AE4" s="79">
        <f>IF(($A4&lt;'Alternative 1'!$B$27),(($H4*'Alternative 1'!$B$39)+(3*($N$22/3)*COS($K$23))),IF(($A4&lt;'Alternative 1'!$B$28),(($H4*'Alternative 1'!$B$39)+(2*(($N$22/3)*COS($K$23)))),IF(($A4&lt;'Alternative 1'!$B$29),(($H$3*'Alternative 1'!$B$39+(($N$22/3)*COS($K$23)))),($H4*'Alternative 1'!$B$39))))</f>
        <v>869049.63104363985</v>
      </c>
      <c r="AF4" s="78">
        <f>AD4*'Alternative 1'!$K5/'Alternative 1'!$L5</f>
        <v>9823498.4915519319</v>
      </c>
      <c r="AG4" s="78">
        <f>AE4/'Alternative 1'!$M5</f>
        <v>256688.83572228305</v>
      </c>
      <c r="AH4" s="78">
        <f t="shared" si="4"/>
        <v>10.080187327274215</v>
      </c>
      <c r="AJ4" s="78">
        <f>'Alternative 1'!$B$39*$B4*$C4*COS($K$33)-($N$32/3)*$E4*SIN($K$33)-($N$32/3)*$F4*SIN($K$33)-($N$32/3)*$G4*SIN($K$33)</f>
        <v>670084.25689027156</v>
      </c>
      <c r="AK4" s="79">
        <f>IF(($A4&lt;'Alternative 1'!$B$27),(($H4*'Alternative 1'!$B$39)+(3*($N$32/3)*COS($K$33))),IF(($A4&lt;'Alternative 1'!$B$28),(($H4*'Alternative 1'!$B$39)+(2*(($N$32/3)*COS($K$33)))),IF(($A4&lt;'Alternative 1'!$B$29),(($H$3*'Alternative 1'!$B$39+(($N$32/3)*COS($K$33)))),($H4*'Alternative 1'!$B$39))))</f>
        <v>624755.02533000975</v>
      </c>
      <c r="AL4" s="78">
        <f>AJ4*'Alternative 1'!$K5/'Alternative 1'!$L5</f>
        <v>9896058.052604109</v>
      </c>
      <c r="AM4" s="78">
        <f>AK4/'Alternative 1'!$M5</f>
        <v>184532.19969844588</v>
      </c>
      <c r="AN4" s="78">
        <f t="shared" si="5"/>
        <v>10.080590252302555</v>
      </c>
      <c r="AP4" s="78">
        <f>'Alternative 1'!$B$39*$B4*$C4*COS($K$43)-($N$42/3)*$E4*SIN($K$43)-($N$42/3)*$F4*SIN($K$43)-($N$42/3)*$G4*SIN($K$43)</f>
        <v>610204.52823344618</v>
      </c>
      <c r="AQ4" s="79">
        <f>IF(($A4&lt;'Alternative 1'!$B$27),(($H4*'Alternative 1'!$B$39)+(3*($N$42/3)*COS($K$43))),IF(($A4&lt;'Alternative 1'!$B$28),(($H4*'Alternative 1'!$B$39)+(2*(($N$42/3)*COS($K$43)))),IF(($A4&lt;'Alternative 1'!$B$29),(($H$3*'Alternative 1'!$B$39+(($N$42/3)*COS($K$43)))),($H4*'Alternative 1'!$B$39))))</f>
        <v>495696.40554163267</v>
      </c>
      <c r="AR4" s="78">
        <f>AP4*'Alternative 1'!$K5/'Alternative 1'!$L5</f>
        <v>9011731.5446032491</v>
      </c>
      <c r="AS4" s="78">
        <f>AQ4/'Alternative 1'!$M5</f>
        <v>146412.50472357997</v>
      </c>
      <c r="AT4" s="78">
        <f t="shared" si="6"/>
        <v>9.1581440493268289</v>
      </c>
      <c r="AV4" s="78">
        <f>'Alternative 1'!$B$39*$B4*$C4*COS($K$53)-($N$52/3)*$E4*SIN($K$53)-($N$52/3)*$F4*SIN($K$53)-($N$52/3)*$G4*SIN($K$53)</f>
        <v>512613.56728571281</v>
      </c>
      <c r="AW4" s="79">
        <f>IF(($A4&lt;'Alternative 1'!$B$27),(($H4*'Alternative 1'!$B$39)+(3*($N$52/3)*COS($K$53))),IF(($A4&lt;'Alternative 1'!$B$28),(($H4*'Alternative 1'!$B$39)+(2*(($N$52/3)*COS($K$53)))),IF(($A4&lt;'Alternative 1'!$B$29),(($H$3*'Alternative 1'!$B$39+(($N$52/3)*COS($K$53)))),($H4*'Alternative 1'!$B$39))))</f>
        <v>414617.77121949143</v>
      </c>
      <c r="AX4" s="78">
        <f>AV4*'Alternative 1'!$K5/'Alternative 1'!$L5</f>
        <v>7570471.2776778359</v>
      </c>
      <c r="AY4" s="78">
        <f>AW4/'Alternative 1'!$M5</f>
        <v>122464.52810329177</v>
      </c>
      <c r="AZ4" s="78">
        <f t="shared" si="7"/>
        <v>7.6929358057811275</v>
      </c>
      <c r="BB4" s="78">
        <f>'Alternative 1'!$B$39*$B4*$C4*COS($K$63)-($N$62/3)*$E4*SIN($K$63)-($N$62/3)*$F4*SIN($K$63)-($N$62/3)*$G4*SIN($K$63)</f>
        <v>388602.09807411768</v>
      </c>
      <c r="BC4" s="79">
        <f>IF(($A4&lt;'Alternative 1'!$B$27),(($H4*'Alternative 1'!$B$39)+(3*($N$62/3)*COS($K$63))),IF(($A4&lt;'Alternative 1'!$B$28),(($H4*'Alternative 1'!$B$39)+(2*(($N$62/3)*COS($K$63)))),IF(($A4&lt;'Alternative 1'!$B$29),(($H$3*'Alternative 1'!$B$39+(($N$62/3)*COS($K$63)))),($H4*'Alternative 1'!$B$39))))</f>
        <v>360525.31260722887</v>
      </c>
      <c r="BD4" s="78">
        <f>BB4*'Alternative 1'!$K5/'Alternative 1'!$L5</f>
        <v>5739022.939819579</v>
      </c>
      <c r="BE4" s="78">
        <f>BC4/'Alternative 1'!$M5</f>
        <v>106487.38511105199</v>
      </c>
      <c r="BF4" s="78">
        <f t="shared" si="8"/>
        <v>5.8455103249306308</v>
      </c>
      <c r="BH4" s="78">
        <f>'Alternative 1'!$B$39*$B4*$C4*COS($K$73)-($N$72/3)*$E4*SIN($K$73)-($N$72/3)*$F4*SIN($K$73)-($N$72/3)*$G4*SIN($K$73)</f>
        <v>245470.90919549437</v>
      </c>
      <c r="BI4" s="79">
        <f>IF(($A4&lt;'Alternative 1'!$B$27),(($H4*'Alternative 1'!$B$39)+(3*($N$72/3)*COS($K$73))),IF(($A4&lt;'Alternative 1'!$B$28),(($H4*'Alternative 1'!$B$39)+(2*(($N$72/3)*COS($K$73)))),IF(($A4&lt;'Alternative 1'!$B$29),(($H$3*'Alternative 1'!$B$39+(($N$72/3)*COS($K$73)))),($H4*'Alternative 1'!$B$39))))</f>
        <v>325108.90421719803</v>
      </c>
      <c r="BJ4" s="78">
        <f>BH4*'Alternative 1'!$K5/'Alternative 1'!$L5</f>
        <v>3625207.3416819773</v>
      </c>
      <c r="BK4" s="78">
        <f>BI4/'Alternative 1'!$M5</f>
        <v>96026.536489340288</v>
      </c>
      <c r="BL4" s="78">
        <f t="shared" si="9"/>
        <v>3.7212338781713177</v>
      </c>
      <c r="BN4" s="78">
        <f>'Alternative 1'!$B$39*$B4*$C4*COS($K$83)-($N$82/3)*$E4*SIN($K$83)-($N$82/3)*$F4*SIN($K$83)-($N$82/3)*$G4*SIN($K$83)</f>
        <v>89258.113559164514</v>
      </c>
      <c r="BO4" s="79">
        <f>IF(($A4&lt;'Alternative 1'!$B$27),(($H4*'Alternative 1'!$B$39)+(3*($N$82/3)*COS($K$83))),IF(($A4&lt;'Alternative 1'!$B$28),(($H4*'Alternative 1'!$B$39)+(2*(($N$82/3)*COS($K$83)))),IF(($A4&lt;'Alternative 1'!$B$29),(($H$3*'Alternative 1'!$B$39+(($N$82/3)*COS($K$83)))),($H4*'Alternative 1'!$B$39))))</f>
        <v>304685.42597737629</v>
      </c>
      <c r="BP4" s="78">
        <f>BN4*'Alternative 1'!$K5/'Alternative 1'!$L5</f>
        <v>1318197.6212165598</v>
      </c>
      <c r="BQ4" s="78">
        <f>BO4/'Alternative 1'!$M5</f>
        <v>89994.109038121489</v>
      </c>
      <c r="BR4" s="78">
        <f t="shared" si="10"/>
        <v>1.4081917302546814</v>
      </c>
      <c r="BT4" s="78">
        <f>'Alternative 1'!$B$39*$B4*$C4*COS($K$93)-($K$92/3)*$E4*SIN($K$93)-($K$92/3)*$F4*SIN($K$93)-($K$92/3)*$G4*SIN($K$93)</f>
        <v>-31.584641696605004</v>
      </c>
      <c r="BU4" s="79">
        <f>IF(($A4&lt;'Alternative 1'!$B$27),(($H4*'Alternative 1'!$B$39)+(3*($N$92/3)*COS($K$93))),IF(($A4&lt;'Alternative 1'!$B$28),(($H4*'Alternative 1'!$B$39)+(2*(($N$92/3)*COS($K$93)))),IF(($A4&lt;'Alternative 1'!$B$29),(($H$3*'Alternative 1'!$B$39+(($N$92/3)*COS($K$93)))),($H4*'Alternative 1'!$B$39))))</f>
        <v>297616.57588542788</v>
      </c>
      <c r="BV4" s="78">
        <f>BT4*'Alternative 1'!$K5/'Alternative 1'!$L5</f>
        <v>-466.45394901657386</v>
      </c>
      <c r="BW4" s="78">
        <f>BU4/'Alternative 1'!$M5</f>
        <v>87906.201932265452</v>
      </c>
      <c r="BX4" s="78">
        <f t="shared" si="11"/>
        <v>8.7439747983248869E-2</v>
      </c>
      <c r="BZ4" s="77">
        <v>150</v>
      </c>
      <c r="CA4" s="77">
        <v>-150</v>
      </c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</row>
    <row r="5" spans="1:115" ht="15" customHeight="1" x14ac:dyDescent="0.25">
      <c r="A5" s="89">
        <f>IF('Alternative 1'!F6&gt;0,'Alternative 1'!F6,"x")</f>
        <v>3</v>
      </c>
      <c r="B5" s="89">
        <f t="shared" ref="B5:B68" si="17">IF(B4-1&gt;0,B4-1,"x")</f>
        <v>34</v>
      </c>
      <c r="C5" s="89">
        <f t="shared" si="12"/>
        <v>17</v>
      </c>
      <c r="D5" s="89">
        <f t="shared" si="13"/>
        <v>3</v>
      </c>
      <c r="E5" s="74">
        <f>IF($A5&lt;='Alternative 1'!$B$27, IF($A5='Alternative 1'!$B$27,0,E6+1),0)</f>
        <v>13</v>
      </c>
      <c r="F5" s="74">
        <f>IF($A5&lt;=('Alternative 1'!$B$28), IF($A5=ROUNDDOWN('Alternative 1'!$B$28,0),0,F6+1),0)</f>
        <v>19</v>
      </c>
      <c r="G5" s="74">
        <f>IF($A5&lt;=('Alternative 1'!$B$29), IF($A5=ROUNDDOWN('Alternative 1'!$B$29,0),0,G6+1),0)</f>
        <v>26</v>
      </c>
      <c r="H5" s="89">
        <f t="shared" si="14"/>
        <v>34</v>
      </c>
      <c r="J5" s="77">
        <f t="shared" si="15"/>
        <v>2</v>
      </c>
      <c r="K5" s="77">
        <f t="shared" si="16"/>
        <v>3.4906585039886591E-2</v>
      </c>
      <c r="L5" s="78">
        <f>'Alternative 1'!$B$27*SIN(K5)+'Alternative 1'!$B$28*SIN(K5)+'Alternative 1'!$B$29*SIN(K5)</f>
        <v>2.3731657757700662</v>
      </c>
      <c r="M5" s="77">
        <f>(('Alternative 1'!$B$27)*(((('Alternative 1'!$B$28-'Alternative 1'!$B$27)/2)+'Alternative 1'!$B$27)*'Alternative 1'!$B$39)*COS('Alternative 1-Tilt Up'!K5))+(('Alternative 1'!$B$28)*((('Alternative 1'!$B$28-'Alternative 1'!$B$27)/2)+(('Alternative 1'!$B$29-'Alternative 1'!$B$28)/2))*('Alternative 1'!$B$39)*COS('Alternative 1-Tilt Up'!K5))+(('Alternative 1'!$B$29)*((('Alternative 1'!$B$12-'Alternative 1'!$B$29+(('Alternative 1'!$B$29-'Alternative 1'!$B$28)/2)*('Alternative 1'!$B$39)*COS('Alternative 1-Tilt Up'!K5)))))</f>
        <v>4743221.3390187928</v>
      </c>
      <c r="N5" s="81">
        <f t="shared" si="0"/>
        <v>5996068.2740079593</v>
      </c>
      <c r="O5" s="77">
        <f>(((('Alternative 1'!$B$28-'Alternative 1'!$B$27)/2)+'Alternative 1'!$B$27)*('Alternative 1'!$B$39)*COS('Alternative 1-Tilt Up'!K5))+(((('Alternative 1'!$B$28-'Alternative 1'!$B$27)/2)+(('Alternative 1'!$B$29-'Alternative 1'!$B$28)/2))*('Alternative 1'!$B$39)*COS('Alternative 1-Tilt Up'!K5))+(((('Alternative 1'!$B$12-'Alternative 1'!$B$29)+(('Alternative 1'!$B$29-'Alternative 1'!$B$28)/2))*('Alternative 1'!$B$39)*COS('Alternative 1-Tilt Up'!K5)))</f>
        <v>305933.42664897867</v>
      </c>
      <c r="P5" s="77">
        <f t="shared" si="1"/>
        <v>5992415.6312237764</v>
      </c>
      <c r="R5" s="78">
        <f>'Alternative 1'!$B$39*$B5*$C5*COS($K$5)-($N$5/3)*$E5*SIN($K$5)-($N$5/3)*$F5*SIN($K$5)-($N$5/3)*$G5*SIN($K$5)</f>
        <v>866242.33870106982</v>
      </c>
      <c r="S5" s="79">
        <f>IF(($A5&lt;'Alternative 1'!$B$27),(($H5*'Alternative 1'!$B$39)+(3*($N$5/3)*COS($K$5))),IF(($A5&lt;'Alternative 1'!$B$28),(($H5*'Alternative 1'!$B$39)+(2*(($N$5/3)*COS($K$5)))),IF(($A5&lt;'Alternative 1'!$B$29),(($H$3*'Alternative 1'!$B$39+(($N$5/3)*COS($K$5)))),($H5*'Alternative 1'!$B$39))))</f>
        <v>6281528.8763696207</v>
      </c>
      <c r="T5" s="78">
        <f>R5*'Alternative 1'!$K6/'Alternative 1'!$L6</f>
        <v>13041659.745748181</v>
      </c>
      <c r="U5" s="78">
        <f>S5/'Alternative 1'!$M6</f>
        <v>1891421.843504552</v>
      </c>
      <c r="V5" s="78">
        <f t="shared" si="2"/>
        <v>14.933081589252733</v>
      </c>
      <c r="X5" s="78">
        <f>'Alternative 1'!$B$39*$B5*$C5*COS($K$13)-($N$12/3)*$E5*SIN($K$13)-($N$12/3)*$F5*SIN($K$13)-($N$12/3)*$G5*SIN($K$13)</f>
        <v>401972.89759711362</v>
      </c>
      <c r="Y5" s="79">
        <f>IF(($A5&lt;'Alternative 1'!$B$27),(($H5*'Alternative 1'!$B$39)+(3*($N$12/3)*COS($K$13))),IF(($A5&lt;'Alternative 1'!$B$28),(($H5*'Alternative 1'!$B$39)+(2*(($N$12/3)*COS($K$13)))),IF(($A5&lt;'Alternative 1'!$B$29),(($H$3*'Alternative 1'!$B$39+(($N$12/3)*COS($K$13)))),($H5*'Alternative 1'!$B$39))))</f>
        <v>1591048.9311725439</v>
      </c>
      <c r="Z5" s="78">
        <f>X5*'Alternative 1'!$K6/'Alternative 1'!$L6</f>
        <v>6051878.9295556722</v>
      </c>
      <c r="AA5" s="78">
        <f>Y5/'Alternative 1'!$M6</f>
        <v>479078.38389872311</v>
      </c>
      <c r="AB5" s="78">
        <f t="shared" si="3"/>
        <v>6.5309573134543948</v>
      </c>
      <c r="AD5" s="78">
        <f>'Alternative 1'!$B$39*$B5*$C5*COS($K$23)-($N$22/3)*$E5*SIN($K$23)-($N$22/3)*$F5*SIN($K$23)-($N$22/3)*$G5*SIN($K$23)</f>
        <v>597482.86782982736</v>
      </c>
      <c r="AE5" s="79">
        <f>IF(($A5&lt;'Alternative 1'!$B$27),(($H5*'Alternative 1'!$B$39)+(3*($N$22/3)*COS($K$23))),IF(($A5&lt;'Alternative 1'!$B$28),(($H5*'Alternative 1'!$B$39)+(2*(($N$22/3)*COS($K$23)))),IF(($A5&lt;'Alternative 1'!$B$29),(($H$3*'Alternative 1'!$B$39+(($N$22/3)*COS($K$23)))),($H5*'Alternative 1'!$B$39))))</f>
        <v>860546.30030405615</v>
      </c>
      <c r="AF5" s="78">
        <f>AD5*'Alternative 1'!$K6/'Alternative 1'!$L6</f>
        <v>8995367.5986731313</v>
      </c>
      <c r="AG5" s="78">
        <f>AE5/'Alternative 1'!$M6</f>
        <v>259117.82016400053</v>
      </c>
      <c r="AH5" s="78">
        <f t="shared" si="4"/>
        <v>9.254485418837131</v>
      </c>
      <c r="AJ5" s="78">
        <f>'Alternative 1'!$B$39*$B5*$C5*COS($K$33)-($N$32/3)*$E5*SIN($K$33)-($N$32/3)*$F5*SIN($K$33)-($N$32/3)*$G5*SIN($K$33)</f>
        <v>604896.26365388813</v>
      </c>
      <c r="AK5" s="79">
        <f>IF(($A5&lt;'Alternative 1'!$B$27),(($H5*'Alternative 1'!$B$39)+(3*($N$32/3)*COS($K$33))),IF(($A5&lt;'Alternative 1'!$B$28),(($H5*'Alternative 1'!$B$39)+(2*(($N$32/3)*COS($K$33)))),IF(($A5&lt;'Alternative 1'!$B$29),(($H$3*'Alternative 1'!$B$39+(($N$32/3)*COS($K$33)))),($H5*'Alternative 1'!$B$39))))</f>
        <v>616251.69459042605</v>
      </c>
      <c r="AL5" s="78">
        <f>AJ5*'Alternative 1'!$K6/'Alternative 1'!$L6</f>
        <v>9106979.536324352</v>
      </c>
      <c r="AM5" s="78">
        <f>AK5/'Alternative 1'!$M6</f>
        <v>185558.6337634853</v>
      </c>
      <c r="AN5" s="78">
        <f t="shared" si="5"/>
        <v>9.2925381700878376</v>
      </c>
      <c r="AP5" s="78">
        <f>'Alternative 1'!$B$39*$B5*$C5*COS($K$43)-($N$42/3)*$E5*SIN($K$43)-($N$42/3)*$F5*SIN($K$43)-($N$42/3)*$G5*SIN($K$43)</f>
        <v>551682.68073502649</v>
      </c>
      <c r="AQ5" s="79">
        <f>IF(($A5&lt;'Alternative 1'!$B$27),(($H5*'Alternative 1'!$B$39)+(3*($N$42/3)*COS($K$43))),IF(($A5&lt;'Alternative 1'!$B$28),(($H5*'Alternative 1'!$B$39)+(2*(($N$42/3)*COS($K$43)))),IF(($A5&lt;'Alternative 1'!$B$29),(($H$3*'Alternative 1'!$B$39+(($N$42/3)*COS($K$43)))),($H5*'Alternative 1'!$B$39))))</f>
        <v>487193.07480204897</v>
      </c>
      <c r="AR5" s="78">
        <f>AP5*'Alternative 1'!$K6/'Alternative 1'!$L6</f>
        <v>8305825.6198342005</v>
      </c>
      <c r="AS5" s="78">
        <f>AQ5/'Alternative 1'!$M6</f>
        <v>146697.98417249526</v>
      </c>
      <c r="AT5" s="78">
        <f t="shared" si="6"/>
        <v>8.4525236040066964</v>
      </c>
      <c r="AV5" s="78">
        <f>'Alternative 1'!$B$39*$B5*$C5*COS($K$53)-($N$52/3)*$E5*SIN($K$53)-($N$52/3)*$F5*SIN($K$53)-($N$52/3)*$G5*SIN($K$53)</f>
        <v>463478.83256664872</v>
      </c>
      <c r="AW5" s="79">
        <f>IF(($A5&lt;'Alternative 1'!$B$27),(($H5*'Alternative 1'!$B$39)+(3*($N$52/3)*COS($K$53))),IF(($A5&lt;'Alternative 1'!$B$28),(($H5*'Alternative 1'!$B$39)+(2*(($N$52/3)*COS($K$53)))),IF(($A5&lt;'Alternative 1'!$B$29),(($H$3*'Alternative 1'!$B$39+(($N$52/3)*COS($K$53)))),($H5*'Alternative 1'!$B$39))))</f>
        <v>406114.44047990779</v>
      </c>
      <c r="AX5" s="78">
        <f>AV5*'Alternative 1'!$K6/'Alternative 1'!$L6</f>
        <v>6977877.8566222005</v>
      </c>
      <c r="AY5" s="78">
        <f>AW5/'Alternative 1'!$M6</f>
        <v>122284.51684365512</v>
      </c>
      <c r="AZ5" s="78">
        <f t="shared" si="7"/>
        <v>7.1001623734658557</v>
      </c>
      <c r="BB5" s="78">
        <f>'Alternative 1'!$B$39*$B5*$C5*COS($K$63)-($N$62/3)*$E5*SIN($K$63)-($N$62/3)*$F5*SIN($K$63)-($N$62/3)*$G5*SIN($K$63)</f>
        <v>350880.77105843287</v>
      </c>
      <c r="BC5" s="79">
        <f>IF(($A5&lt;'Alternative 1'!$B$27),(($H5*'Alternative 1'!$B$39)+(3*($N$62/3)*COS($K$63))),IF(($A5&lt;'Alternative 1'!$B$28),(($H5*'Alternative 1'!$B$39)+(2*(($N$62/3)*COS($K$63)))),IF(($A5&lt;'Alternative 1'!$B$29),(($H$3*'Alternative 1'!$B$39+(($N$62/3)*COS($K$63)))),($H5*'Alternative 1'!$B$39))))</f>
        <v>352021.98186764523</v>
      </c>
      <c r="BD5" s="78">
        <f>BB5*'Alternative 1'!$K6/'Alternative 1'!$L6</f>
        <v>5282664.4727752041</v>
      </c>
      <c r="BE5" s="78">
        <f>BC5/'Alternative 1'!$M6</f>
        <v>105996.81685822898</v>
      </c>
      <c r="BF5" s="78">
        <f t="shared" si="8"/>
        <v>5.3886612896334336</v>
      </c>
      <c r="BH5" s="78">
        <f>'Alternative 1'!$B$39*$B5*$C5*COS($K$73)-($N$72/3)*$E5*SIN($K$73)-($N$72/3)*$F5*SIN($K$73)-($N$72/3)*$G5*SIN($K$73)</f>
        <v>220668.7517539853</v>
      </c>
      <c r="BI5" s="79">
        <f>IF(($A5&lt;'Alternative 1'!$B$27),(($H5*'Alternative 1'!$B$39)+(3*($N$72/3)*COS($K$73))),IF(($A5&lt;'Alternative 1'!$B$28),(($H5*'Alternative 1'!$B$39)+(2*(($N$72/3)*COS($K$73)))),IF(($A5&lt;'Alternative 1'!$B$29),(($H$3*'Alternative 1'!$B$39+(($N$72/3)*COS($K$73)))),($H5*'Alternative 1'!$B$39))))</f>
        <v>316605.57347761438</v>
      </c>
      <c r="BJ5" s="78">
        <f>BH5*'Alternative 1'!$K6/'Alternative 1'!$L6</f>
        <v>3322265.2003016137</v>
      </c>
      <c r="BK5" s="78">
        <f>BI5/'Alternative 1'!$M6</f>
        <v>95332.634655806745</v>
      </c>
      <c r="BL5" s="78">
        <f t="shared" si="9"/>
        <v>3.4175978349574203</v>
      </c>
      <c r="BN5" s="78">
        <f>'Alternative 1'!$B$39*$B5*$C5*COS($K$83)-($N$82/3)*$E5*SIN($K$83)-($N$82/3)*$F5*SIN($K$83)-($N$82/3)*$G5*SIN($K$83)</f>
        <v>78405.272468772193</v>
      </c>
      <c r="BO5" s="79">
        <f>IF(($A5&lt;'Alternative 1'!$B$27),(($H5*'Alternative 1'!$B$39)+(3*($N$82/3)*COS($K$83))),IF(($A5&lt;'Alternative 1'!$B$28),(($H5*'Alternative 1'!$B$39)+(2*(($N$82/3)*COS($K$83)))),IF(($A5&lt;'Alternative 1'!$B$29),(($H$3*'Alternative 1'!$B$39+(($N$82/3)*COS($K$83)))),($H5*'Alternative 1'!$B$39))))</f>
        <v>296182.09523779264</v>
      </c>
      <c r="BP5" s="78">
        <f>BN5*'Alternative 1'!$K6/'Alternative 1'!$L6</f>
        <v>1180425.8925322159</v>
      </c>
      <c r="BQ5" s="78">
        <f>BO5/'Alternative 1'!$M6</f>
        <v>89182.95141412683</v>
      </c>
      <c r="BR5" s="78">
        <f t="shared" si="10"/>
        <v>1.2696088439463429</v>
      </c>
      <c r="BT5" s="78">
        <f>'Alternative 1'!$B$39*$B5*$C5*COS($K$93)-($K$92/3)*$E5*SIN($K$93)-($K$92/3)*$F5*SIN($K$93)-($K$92/3)*$G5*SIN($K$93)</f>
        <v>-30.031298662348021</v>
      </c>
      <c r="BU5" s="79">
        <f>IF(($A5&lt;'Alternative 1'!$B$27),(($H5*'Alternative 1'!$B$39)+(3*($N$92/3)*COS($K$93))),IF(($A5&lt;'Alternative 1'!$B$28),(($H5*'Alternative 1'!$B$39)+(2*(($N$92/3)*COS($K$93)))),IF(($A5&lt;'Alternative 1'!$B$29),(($H$3*'Alternative 1'!$B$39+(($N$92/3)*COS($K$93)))),($H5*'Alternative 1'!$B$39))))</f>
        <v>289113.24514584424</v>
      </c>
      <c r="BV5" s="78">
        <f>BT5*'Alternative 1'!$K6/'Alternative 1'!$L6</f>
        <v>-452.1344217191882</v>
      </c>
      <c r="BW5" s="78">
        <f>BU5/'Alternative 1'!$M6</f>
        <v>87054.460447115998</v>
      </c>
      <c r="BX5" s="78">
        <f t="shared" si="11"/>
        <v>8.6602326025396803E-2</v>
      </c>
      <c r="BZ5" s="77">
        <v>150</v>
      </c>
      <c r="CA5" s="77">
        <v>-150</v>
      </c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</row>
    <row r="6" spans="1:115" ht="15" customHeight="1" x14ac:dyDescent="0.25">
      <c r="A6" s="89">
        <f>IF('Alternative 1'!F7&gt;0,'Alternative 1'!F7,"x")</f>
        <v>4</v>
      </c>
      <c r="B6" s="89">
        <f t="shared" si="17"/>
        <v>33</v>
      </c>
      <c r="C6" s="89">
        <f t="shared" si="12"/>
        <v>16.5</v>
      </c>
      <c r="D6" s="89">
        <f t="shared" si="13"/>
        <v>4</v>
      </c>
      <c r="E6" s="74">
        <f>IF($A6&lt;='Alternative 1'!$B$27, IF($A6='Alternative 1'!$B$27,0,E7+1),0)</f>
        <v>12</v>
      </c>
      <c r="F6" s="74">
        <f>IF($A6&lt;=('Alternative 1'!$B$28), IF($A6=ROUNDDOWN('Alternative 1'!$B$28,0),0,F7+1),0)</f>
        <v>18</v>
      </c>
      <c r="G6" s="74">
        <f>IF($A6&lt;=('Alternative 1'!$B$29), IF($A6=ROUNDDOWN('Alternative 1'!$B$29,0),0,G7+1),0)</f>
        <v>25</v>
      </c>
      <c r="H6" s="89">
        <f t="shared" si="14"/>
        <v>33</v>
      </c>
      <c r="J6" s="77">
        <f t="shared" si="15"/>
        <v>3</v>
      </c>
      <c r="K6" s="77">
        <f t="shared" si="16"/>
        <v>5.2359877559829883E-2</v>
      </c>
      <c r="L6" s="78">
        <f>'Alternative 1'!$B$27*SIN(K6)+'Alternative 1'!$B$28*SIN(K6)+'Alternative 1'!$B$29*SIN(K6)</f>
        <v>3.5588450245201804</v>
      </c>
      <c r="M6" s="77">
        <f>(('Alternative 1'!$B$27)*(((('Alternative 1'!$B$28-'Alternative 1'!$B$27)/2)+'Alternative 1'!$B$27)*'Alternative 1'!$B$39)*COS('Alternative 1-Tilt Up'!K6))+(('Alternative 1'!$B$28)*((('Alternative 1'!$B$28-'Alternative 1'!$B$27)/2)+(('Alternative 1'!$B$29-'Alternative 1'!$B$28)/2))*('Alternative 1'!$B$39)*COS('Alternative 1-Tilt Up'!K6))+(('Alternative 1'!$B$29)*((('Alternative 1'!$B$12-'Alternative 1'!$B$29+(('Alternative 1'!$B$29-'Alternative 1'!$B$28)/2)*('Alternative 1'!$B$39)*COS('Alternative 1-Tilt Up'!K6)))))</f>
        <v>4739608.3092768276</v>
      </c>
      <c r="N6" s="77">
        <f t="shared" si="0"/>
        <v>3995348.1620761305</v>
      </c>
      <c r="O6" s="77">
        <f>(((('Alternative 1'!$B$28-'Alternative 1'!$B$27)/2)+'Alternative 1'!$B$27)*('Alternative 1'!$B$39)*COS('Alternative 1-Tilt Up'!K6))+(((('Alternative 1'!$B$28-'Alternative 1'!$B$27)/2)+(('Alternative 1'!$B$29-'Alternative 1'!$B$28)/2))*('Alternative 1'!$B$39)*COS('Alternative 1-Tilt Up'!K6))+(((('Alternative 1'!$B$12-'Alternative 1'!$B$29)+(('Alternative 1'!$B$29-'Alternative 1'!$B$28)/2))*('Alternative 1'!$B$39)*COS('Alternative 1-Tilt Up'!K6)))</f>
        <v>305700.37993204885</v>
      </c>
      <c r="P6" s="77">
        <f t="shared" si="1"/>
        <v>3989872.6762766279</v>
      </c>
      <c r="R6" s="78">
        <f>'Alternative 1'!$B$39*$B6*$C6*COS($K$5)-($N$5/3)*$E6*SIN($K$5)-($N$5/3)*$F6*SIN($K$5)-($N$5/3)*$G6*SIN($K$5)</f>
        <v>790814.05385942617</v>
      </c>
      <c r="S6" s="79">
        <f>IF(($A6&lt;'Alternative 1'!$B$27),(($H6*'Alternative 1'!$B$39)+(3*($N$5/3)*COS($K$5))),IF(($A6&lt;'Alternative 1'!$B$28),(($H6*'Alternative 1'!$B$39)+(2*(($N$5/3)*COS($K$5)))),IF(($A6&lt;'Alternative 1'!$B$29),(($H$3*'Alternative 1'!$B$39+(($N$5/3)*COS($K$5)))),($H6*'Alternative 1'!$B$39))))</f>
        <v>6273025.5456300369</v>
      </c>
      <c r="T6" s="78">
        <f>R6*'Alternative 1'!$K7/'Alternative 1'!$L7</f>
        <v>12139749.772374228</v>
      </c>
      <c r="U6" s="78">
        <f>S6/'Alternative 1'!$M7</f>
        <v>1925936.6306730884</v>
      </c>
      <c r="V6" s="78">
        <f t="shared" si="2"/>
        <v>14.065686403047316</v>
      </c>
      <c r="X6" s="78">
        <f>'Alternative 1'!$B$39*$B6*$C6*COS($K$13)-($N$12/3)*$E6*SIN($K$13)-($N$12/3)*$F6*SIN($K$13)-($N$12/3)*$G6*SIN($K$13)</f>
        <v>351005.39389204257</v>
      </c>
      <c r="Y6" s="79">
        <f>IF(($A6&lt;'Alternative 1'!$B$27),(($H6*'Alternative 1'!$B$39)+(3*($N$12/3)*COS($K$13))),IF(($A6&lt;'Alternative 1'!$B$28),(($H6*'Alternative 1'!$B$39)+(2*(($N$12/3)*COS($K$13)))),IF(($A6&lt;'Alternative 1'!$B$29),(($H$3*'Alternative 1'!$B$39+(($N$12/3)*COS($K$13)))),($H6*'Alternative 1'!$B$39))))</f>
        <v>1582545.6004329603</v>
      </c>
      <c r="Z6" s="78">
        <f>X6*'Alternative 1'!$K7/'Alternative 1'!$L7</f>
        <v>5388267.4818529468</v>
      </c>
      <c r="AA6" s="78">
        <f>Y6/'Alternative 1'!$M7</f>
        <v>485871.21468166419</v>
      </c>
      <c r="AB6" s="78">
        <f t="shared" si="3"/>
        <v>5.8741386965346116</v>
      </c>
      <c r="AD6" s="78">
        <f>'Alternative 1'!$B$39*$B6*$C6*COS($K$23)-($N$22/3)*$E6*SIN($K$23)-($N$22/3)*$F6*SIN($K$23)-($N$22/3)*$G6*SIN($K$23)</f>
        <v>537785.16632224014</v>
      </c>
      <c r="AE6" s="79">
        <f>IF(($A6&lt;'Alternative 1'!$B$27),(($H6*'Alternative 1'!$B$39)+(3*($N$22/3)*COS($K$23))),IF(($A6&lt;'Alternative 1'!$B$28),(($H6*'Alternative 1'!$B$39)+(2*(($N$22/3)*COS($K$23)))),IF(($A6&lt;'Alternative 1'!$B$29),(($H$3*'Alternative 1'!$B$39+(($N$22/3)*COS($K$23)))),($H6*'Alternative 1'!$B$39))))</f>
        <v>852042.96956447256</v>
      </c>
      <c r="AF6" s="78">
        <f>AD6*'Alternative 1'!$K7/'Alternative 1'!$L7</f>
        <v>8255515.0842161952</v>
      </c>
      <c r="AG6" s="78">
        <f>AE6/'Alternative 1'!$M7</f>
        <v>261593.19040791181</v>
      </c>
      <c r="AH6" s="78">
        <f t="shared" si="4"/>
        <v>8.5171082746241069</v>
      </c>
      <c r="AJ6" s="78">
        <f>'Alternative 1'!$B$39*$B6*$C6*COS($K$33)-($N$32/3)*$E6*SIN($K$33)-($N$32/3)*$F6*SIN($K$33)-($N$32/3)*$G6*SIN($K$33)</f>
        <v>547072.37085476564</v>
      </c>
      <c r="AK6" s="79">
        <f>IF(($A6&lt;'Alternative 1'!$B$27),(($H6*'Alternative 1'!$B$39)+(3*($N$32/3)*COS($K$33))),IF(($A6&lt;'Alternative 1'!$B$28),(($H6*'Alternative 1'!$B$39)+(2*(($N$32/3)*COS($K$33)))),IF(($A6&lt;'Alternative 1'!$B$29),(($H$3*'Alternative 1'!$B$39+(($N$32/3)*COS($K$33)))),($H6*'Alternative 1'!$B$39))))</f>
        <v>607748.36385084246</v>
      </c>
      <c r="AL6" s="78">
        <f>AJ6*'Alternative 1'!$K7/'Alternative 1'!$L7</f>
        <v>8398082.5291920286</v>
      </c>
      <c r="AM6" s="78">
        <f>AK6/'Alternative 1'!$M7</f>
        <v>186590.15935099544</v>
      </c>
      <c r="AN6" s="78">
        <f t="shared" si="5"/>
        <v>8.5846726885430229</v>
      </c>
      <c r="AP6" s="78">
        <f>'Alternative 1'!$B$39*$B6*$C6*COS($K$43)-($N$42/3)*$E6*SIN($K$43)-($N$42/3)*$F6*SIN($K$43)-($N$42/3)*$G6*SIN($K$43)</f>
        <v>499674.76249766792</v>
      </c>
      <c r="AQ6" s="79">
        <f>IF(($A6&lt;'Alternative 1'!$B$27),(($H6*'Alternative 1'!$B$39)+(3*($N$42/3)*COS($K$43))),IF(($A6&lt;'Alternative 1'!$B$28),(($H6*'Alternative 1'!$B$39)+(2*(($N$42/3)*COS($K$43)))),IF(($A6&lt;'Alternative 1'!$B$29),(($H$3*'Alternative 1'!$B$39+(($N$42/3)*COS($K$43)))),($H6*'Alternative 1'!$B$39))))</f>
        <v>478689.74406246538</v>
      </c>
      <c r="AR6" s="78">
        <f>AP6*'Alternative 1'!$K7/'Alternative 1'!$L7</f>
        <v>7670484.0470253956</v>
      </c>
      <c r="AS6" s="78">
        <f>AQ6/'Alternative 1'!$M7</f>
        <v>146966.73975123005</v>
      </c>
      <c r="AT6" s="78">
        <f t="shared" si="6"/>
        <v>7.8174507867766252</v>
      </c>
      <c r="AV6" s="78">
        <f>'Alternative 1'!$B$39*$B6*$C6*COS($K$53)-($N$52/3)*$E6*SIN($K$53)-($N$52/3)*$F6*SIN($K$53)-($N$52/3)*$G6*SIN($K$53)</f>
        <v>419809.93348805537</v>
      </c>
      <c r="AW6" s="79">
        <f>IF(($A6&lt;'Alternative 1'!$B$27),(($H6*'Alternative 1'!$B$39)+(3*($N$52/3)*COS($K$53))),IF(($A6&lt;'Alternative 1'!$B$28),(($H6*'Alternative 1'!$B$39)+(2*(($N$52/3)*COS($K$53)))),IF(($A6&lt;'Alternative 1'!$B$29),(($H$3*'Alternative 1'!$B$39+(($N$52/3)*COS($K$53)))),($H6*'Alternative 1'!$B$39))))</f>
        <v>397611.10974032414</v>
      </c>
      <c r="AX6" s="78">
        <f>AV6*'Alternative 1'!$K7/'Alternative 1'!$L7</f>
        <v>6444482.7701658243</v>
      </c>
      <c r="AY6" s="78">
        <f>AW6/'Alternative 1'!$M7</f>
        <v>122074.07660645136</v>
      </c>
      <c r="AZ6" s="78">
        <f t="shared" si="7"/>
        <v>6.5665568467722757</v>
      </c>
      <c r="BB6" s="78">
        <f>'Alternative 1'!$B$39*$B6*$C6*COS($K$63)-($N$62/3)*$E6*SIN($K$63)-($N$62/3)*$F6*SIN($K$63)-($N$62/3)*$G6*SIN($K$63)</f>
        <v>317411.1094125401</v>
      </c>
      <c r="BC6" s="79">
        <f>IF(($A6&lt;'Alternative 1'!$B$27),(($H6*'Alternative 1'!$B$39)+(3*($N$62/3)*COS($K$63))),IF(($A6&lt;'Alternative 1'!$B$28),(($H6*'Alternative 1'!$B$39)+(2*(($N$62/3)*COS($K$63)))),IF(($A6&lt;'Alternative 1'!$B$29),(($H$3*'Alternative 1'!$B$39+(($N$62/3)*COS($K$63)))),($H6*'Alternative 1'!$B$39))))</f>
        <v>343518.65112806158</v>
      </c>
      <c r="BD6" s="78">
        <f>BB6*'Alternative 1'!$K7/'Alternative 1'!$L7</f>
        <v>4872563.1827540714</v>
      </c>
      <c r="BE6" s="78">
        <f>BC6/'Alternative 1'!$M7</f>
        <v>105466.67612215107</v>
      </c>
      <c r="BF6" s="78">
        <f t="shared" si="8"/>
        <v>4.9780298588762228</v>
      </c>
      <c r="BH6" s="78">
        <f>'Alternative 1'!$B$39*$B6*$C6*COS($K$73)-($N$72/3)*$E6*SIN($K$73)-($N$72/3)*$F6*SIN($K$73)-($N$72/3)*$G6*SIN($K$73)</f>
        <v>198774.90471077431</v>
      </c>
      <c r="BI6" s="79">
        <f>IF(($A6&lt;'Alternative 1'!$B$27),(($H6*'Alternative 1'!$B$39)+(3*($N$72/3)*COS($K$73))),IF(($A6&lt;'Alternative 1'!$B$28),(($H6*'Alternative 1'!$B$39)+(2*(($N$72/3)*COS($K$73)))),IF(($A6&lt;'Alternative 1'!$B$29),(($H$3*'Alternative 1'!$B$39+(($N$72/3)*COS($K$73)))),($H6*'Alternative 1'!$B$39))))</f>
        <v>308102.24273803073</v>
      </c>
      <c r="BJ6" s="78">
        <f>BH6*'Alternative 1'!$K7/'Alternative 1'!$L7</f>
        <v>3051384.3202959518</v>
      </c>
      <c r="BK6" s="78">
        <f>BI6/'Alternative 1'!$M7</f>
        <v>94593.17373497285</v>
      </c>
      <c r="BL6" s="78">
        <f t="shared" si="9"/>
        <v>3.1459774940309244</v>
      </c>
      <c r="BN6" s="78">
        <f>'Alternative 1'!$B$39*$B6*$C6*COS($K$83)-($N$82/3)*$E6*SIN($K$83)-($N$82/3)*$F6*SIN($K$83)-($N$82/3)*$G6*SIN($K$83)</f>
        <v>69029.019265407464</v>
      </c>
      <c r="BO6" s="79">
        <f>IF(($A6&lt;'Alternative 1'!$B$27),(($H6*'Alternative 1'!$B$39)+(3*($N$82/3)*COS($K$83))),IF(($A6&lt;'Alternative 1'!$B$28),(($H6*'Alternative 1'!$B$39)+(2*(($N$82/3)*COS($K$83)))),IF(($A6&lt;'Alternative 1'!$B$29),(($H$3*'Alternative 1'!$B$39+(($N$82/3)*COS($K$83)))),($H6*'Alternative 1'!$B$39))))</f>
        <v>287678.764498209</v>
      </c>
      <c r="BP6" s="78">
        <f>BN6*'Alternative 1'!$K7/'Alternative 1'!$L7</f>
        <v>1059661.2652807091</v>
      </c>
      <c r="BQ6" s="78">
        <f>BO6/'Alternative 1'!$M7</f>
        <v>88322.782425116195</v>
      </c>
      <c r="BR6" s="78">
        <f t="shared" si="10"/>
        <v>1.1479840477058254</v>
      </c>
      <c r="BT6" s="78">
        <f>'Alternative 1'!$B$39*$B6*$C6*COS($K$93)-($K$92/3)*$E6*SIN($K$93)-($K$92/3)*$F6*SIN($K$93)-($K$92/3)*$G6*SIN($K$93)</f>
        <v>-28.47795562809052</v>
      </c>
      <c r="BU6" s="79">
        <f>IF(($A6&lt;'Alternative 1'!$B$27),(($H6*'Alternative 1'!$B$39)+(3*($N$92/3)*COS($K$93))),IF(($A6&lt;'Alternative 1'!$B$28),(($H6*'Alternative 1'!$B$39)+(2*(($N$92/3)*COS($K$93)))),IF(($A6&lt;'Alternative 1'!$B$29),(($H$3*'Alternative 1'!$B$39+(($N$92/3)*COS($K$93)))),($H6*'Alternative 1'!$B$39))))</f>
        <v>280609.91440626059</v>
      </c>
      <c r="BV6" s="78">
        <f>BT6*'Alternative 1'!$K7/'Alternative 1'!$L7</f>
        <v>-437.1637727814699</v>
      </c>
      <c r="BW6" s="78">
        <f>BU6/'Alternative 1'!$M7</f>
        <v>86152.512715581164</v>
      </c>
      <c r="BX6" s="78">
        <f t="shared" si="11"/>
        <v>8.5715348942799696E-2</v>
      </c>
      <c r="BZ6" s="77">
        <v>150</v>
      </c>
      <c r="CA6" s="77">
        <v>-150</v>
      </c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</row>
    <row r="7" spans="1:115" ht="15" customHeight="1" x14ac:dyDescent="0.25">
      <c r="A7" s="89">
        <f>IF('Alternative 1'!F8&gt;0,'Alternative 1'!F8,"x")</f>
        <v>5</v>
      </c>
      <c r="B7" s="89">
        <f t="shared" si="17"/>
        <v>32</v>
      </c>
      <c r="C7" s="89">
        <f t="shared" si="12"/>
        <v>16</v>
      </c>
      <c r="D7" s="89">
        <f t="shared" si="13"/>
        <v>5</v>
      </c>
      <c r="E7" s="74">
        <f>IF($A7&lt;='Alternative 1'!$B$27, IF($A7='Alternative 1'!$B$27,0,E8+1),0)</f>
        <v>11</v>
      </c>
      <c r="F7" s="74">
        <f>IF($A7&lt;=('Alternative 1'!$B$28), IF($A7=ROUNDDOWN('Alternative 1'!$B$28,0),0,F8+1),0)</f>
        <v>17</v>
      </c>
      <c r="G7" s="74">
        <f>IF($A7&lt;=('Alternative 1'!$B$29), IF($A7=ROUNDDOWN('Alternative 1'!$B$29,0),0,G8+1),0)</f>
        <v>24</v>
      </c>
      <c r="H7" s="89">
        <f t="shared" si="14"/>
        <v>32</v>
      </c>
      <c r="J7" s="77">
        <f t="shared" si="15"/>
        <v>4</v>
      </c>
      <c r="K7" s="77">
        <f t="shared" si="16"/>
        <v>6.9813170079773182E-2</v>
      </c>
      <c r="L7" s="78">
        <f>'Alternative 1'!$B$27*SIN(K7)+'Alternative 1'!$B$28*SIN(K7)+'Alternative 1'!$B$29*SIN(K7)</f>
        <v>4.7434402146005201</v>
      </c>
      <c r="M7" s="77">
        <f>(('Alternative 1'!$B$27)*(((('Alternative 1'!$B$28-'Alternative 1'!$B$27)/2)+'Alternative 1'!$B$27)*'Alternative 1'!$B$39)*COS('Alternative 1-Tilt Up'!K7))+(('Alternative 1'!$B$28)*((('Alternative 1'!$B$28-'Alternative 1'!$B$27)/2)+(('Alternative 1'!$B$29-'Alternative 1'!$B$28)/2))*('Alternative 1'!$B$39)*COS('Alternative 1-Tilt Up'!K7))+(('Alternative 1'!$B$29)*((('Alternative 1'!$B$12-'Alternative 1'!$B$29+(('Alternative 1'!$B$29-'Alternative 1'!$B$28)/2)*('Alternative 1'!$B$39)*COS('Alternative 1-Tilt Up'!K7)))))</f>
        <v>4734551.6085213693</v>
      </c>
      <c r="N7" s="77">
        <f t="shared" si="0"/>
        <v>2994378.3800298837</v>
      </c>
      <c r="O7" s="77">
        <f>(((('Alternative 1'!$B$28-'Alternative 1'!$B$27)/2)+'Alternative 1'!$B$27)*('Alternative 1'!$B$39)*COS('Alternative 1-Tilt Up'!K7))+(((('Alternative 1'!$B$28-'Alternative 1'!$B$27)/2)+(('Alternative 1'!$B$29-'Alternative 1'!$B$28)/2))*('Alternative 1'!$B$39)*COS('Alternative 1-Tilt Up'!K7))+(((('Alternative 1'!$B$12-'Alternative 1'!$B$29)+(('Alternative 1'!$B$29-'Alternative 1'!$B$28)/2))*('Alternative 1'!$B$39)*COS('Alternative 1-Tilt Up'!K7)))</f>
        <v>305374.2139180057</v>
      </c>
      <c r="P7" s="77">
        <f t="shared" si="1"/>
        <v>2987084.2247930621</v>
      </c>
      <c r="R7" s="78">
        <f>'Alternative 1'!$B$39*$B7*$C7*COS($K$5)-($N$5/3)*$E7*SIN($K$5)-($N$5/3)*$F7*SIN($K$5)-($N$5/3)*$G7*SIN($K$5)</f>
        <v>723883.91975803208</v>
      </c>
      <c r="S7" s="79">
        <f>IF(($A7&lt;'Alternative 1'!$B$27),(($H7*'Alternative 1'!$B$39)+(3*($N$5/3)*COS($K$5))),IF(($A7&lt;'Alternative 1'!$B$28),(($H7*'Alternative 1'!$B$39)+(2*(($N$5/3)*COS($K$5)))),IF(($A7&lt;'Alternative 1'!$B$29),(($H$3*'Alternative 1'!$B$39+(($N$5/3)*COS($K$5)))),($H7*'Alternative 1'!$B$39))))</f>
        <v>6264522.214890453</v>
      </c>
      <c r="T7" s="78">
        <f>R7*'Alternative 1'!$K8/'Alternative 1'!$L8</f>
        <v>11332586.34691924</v>
      </c>
      <c r="U7" s="78">
        <f>S7/'Alternative 1'!$M8</f>
        <v>1961451.807152404</v>
      </c>
      <c r="V7" s="78">
        <f t="shared" si="2"/>
        <v>13.294038154071645</v>
      </c>
      <c r="X7" s="78">
        <f>'Alternative 1'!$B$39*$B7*$C7*COS($K$13)-($N$12/3)*$E7*SIN($K$13)-($N$12/3)*$F7*SIN($K$13)-($N$12/3)*$G7*SIN($K$13)</f>
        <v>308412.03622574289</v>
      </c>
      <c r="Y7" s="79">
        <f>IF(($A7&lt;'Alternative 1'!$B$27),(($H7*'Alternative 1'!$B$39)+(3*($N$12/3)*COS($K$13))),IF(($A7&lt;'Alternative 1'!$B$28),(($H7*'Alternative 1'!$B$39)+(2*(($N$12/3)*COS($K$13)))),IF(($A7&lt;'Alternative 1'!$B$29),(($H$3*'Alternative 1'!$B$39+(($N$12/3)*COS($K$13)))),($H7*'Alternative 1'!$B$39))))</f>
        <v>1574042.2696933765</v>
      </c>
      <c r="Z7" s="78">
        <f>X7*'Alternative 1'!$K8/'Alternative 1'!$L8</f>
        <v>4828268.6430245638</v>
      </c>
      <c r="AA7" s="78">
        <f>Y7/'Alternative 1'!$M8</f>
        <v>492840.14782256371</v>
      </c>
      <c r="AB7" s="78">
        <f t="shared" si="3"/>
        <v>5.3211087908471271</v>
      </c>
      <c r="AD7" s="78">
        <f>'Alternative 1'!$B$39*$B7*$C7*COS($K$23)-($N$22/3)*$E7*SIN($K$23)-($N$22/3)*$F7*SIN($K$23)-($N$22/3)*$G7*SIN($K$23)</f>
        <v>486077.98196274252</v>
      </c>
      <c r="AE7" s="79">
        <f>IF(($A7&lt;'Alternative 1'!$B$27),(($H7*'Alternative 1'!$B$39)+(3*($N$22/3)*COS($K$23))),IF(($A7&lt;'Alternative 1'!$B$28),(($H7*'Alternative 1'!$B$39)+(2*(($N$22/3)*COS($K$23)))),IF(($A7&lt;'Alternative 1'!$B$29),(($H$3*'Alternative 1'!$B$39+(($N$22/3)*COS($K$23)))),($H7*'Alternative 1'!$B$39))))</f>
        <v>843539.63882488897</v>
      </c>
      <c r="AF7" s="78">
        <f>AD7*'Alternative 1'!$K8/'Alternative 1'!$L8</f>
        <v>7609674.081129374</v>
      </c>
      <c r="AG7" s="78">
        <f>AE7/'Alternative 1'!$M8</f>
        <v>264116.28727965133</v>
      </c>
      <c r="AH7" s="78">
        <f t="shared" si="4"/>
        <v>7.8737903684090256</v>
      </c>
      <c r="AJ7" s="78">
        <f>'Alternative 1'!$B$39*$B7*$C7*COS($K$33)-($N$32/3)*$E7*SIN($K$33)-($N$32/3)*$F7*SIN($K$33)-($N$32/3)*$G7*SIN($K$33)</f>
        <v>496612.57849290385</v>
      </c>
      <c r="AK7" s="79">
        <f>IF(($A7&lt;'Alternative 1'!$B$27),(($H7*'Alternative 1'!$B$39)+(3*($N$32/3)*COS($K$33))),IF(($A7&lt;'Alternative 1'!$B$28),(($H7*'Alternative 1'!$B$39)+(2*(($N$32/3)*COS($K$33)))),IF(($A7&lt;'Alternative 1'!$B$29),(($H$3*'Alternative 1'!$B$39+(($N$32/3)*COS($K$33)))),($H7*'Alternative 1'!$B$39))))</f>
        <v>599245.03311125888</v>
      </c>
      <c r="AL7" s="78">
        <f>AJ7*'Alternative 1'!$K8/'Alternative 1'!$L8</f>
        <v>7774595.8614721606</v>
      </c>
      <c r="AM7" s="78">
        <f>AK7/'Alternative 1'!$M8</f>
        <v>187626.48016944336</v>
      </c>
      <c r="AN7" s="78">
        <f t="shared" si="5"/>
        <v>7.9622223416416036</v>
      </c>
      <c r="AP7" s="78">
        <f>'Alternative 1'!$B$39*$B7*$C7*COS($K$43)-($N$42/3)*$E7*SIN($K$43)-($N$42/3)*$F7*SIN($K$43)-($N$42/3)*$G7*SIN($K$43)</f>
        <v>454180.77352137049</v>
      </c>
      <c r="AQ7" s="79">
        <f>IF(($A7&lt;'Alternative 1'!$B$27),(($H7*'Alternative 1'!$B$39)+(3*($N$42/3)*COS($K$43))),IF(($A7&lt;'Alternative 1'!$B$28),(($H7*'Alternative 1'!$B$39)+(2*(($N$42/3)*COS($K$43)))),IF(($A7&lt;'Alternative 1'!$B$29),(($H$3*'Alternative 1'!$B$39+(($N$42/3)*COS($K$43)))),($H7*'Alternative 1'!$B$39))))</f>
        <v>470186.41332288168</v>
      </c>
      <c r="AR7" s="78">
        <f>AP7*'Alternative 1'!$K8/'Alternative 1'!$L8</f>
        <v>7110315.1935768528</v>
      </c>
      <c r="AS7" s="78">
        <f>AQ7/'Alternative 1'!$M8</f>
        <v>147217.61029413171</v>
      </c>
      <c r="AT7" s="78">
        <f t="shared" si="6"/>
        <v>7.2575328038709843</v>
      </c>
      <c r="AV7" s="78">
        <f>'Alternative 1'!$B$39*$B7*$C7*COS($K$53)-($N$52/3)*$E7*SIN($K$53)-($N$52/3)*$F7*SIN($K$53)-($N$52/3)*$G7*SIN($K$53)</f>
        <v>381606.8700499339</v>
      </c>
      <c r="AW7" s="79">
        <f>IF(($A7&lt;'Alternative 1'!$B$27),(($H7*'Alternative 1'!$B$39)+(3*($N$52/3)*COS($K$53))),IF(($A7&lt;'Alternative 1'!$B$28),(($H7*'Alternative 1'!$B$39)+(2*(($N$52/3)*COS($K$53)))),IF(($A7&lt;'Alternative 1'!$B$29),(($H$3*'Alternative 1'!$B$39+(($N$52/3)*COS($K$53)))),($H7*'Alternative 1'!$B$39))))</f>
        <v>389107.7790007405</v>
      </c>
      <c r="AX7" s="78">
        <f>AV7*'Alternative 1'!$K8/'Alternative 1'!$L8</f>
        <v>5974152.3293734975</v>
      </c>
      <c r="AY7" s="78">
        <f>AW7/'Alternative 1'!$M8</f>
        <v>121831.50288523751</v>
      </c>
      <c r="AZ7" s="78">
        <f t="shared" si="7"/>
        <v>6.0959838322587352</v>
      </c>
      <c r="BB7" s="78">
        <f>'Alternative 1'!$B$39*$B7*$C7*COS($K$63)-($N$62/3)*$E7*SIN($K$63)-($N$62/3)*$F7*SIN($K$63)-($N$62/3)*$G7*SIN($K$63)</f>
        <v>288193.113136439</v>
      </c>
      <c r="BC7" s="79">
        <f>IF(($A7&lt;'Alternative 1'!$B$27),(($H7*'Alternative 1'!$B$39)+(3*($N$62/3)*COS($K$63))),IF(($A7&lt;'Alternative 1'!$B$28),(($H7*'Alternative 1'!$B$39)+(2*(($N$62/3)*COS($K$63)))),IF(($A7&lt;'Alternative 1'!$B$29),(($H$3*'Alternative 1'!$B$39+(($N$62/3)*COS($K$63)))),($H7*'Alternative 1'!$B$39))))</f>
        <v>335015.32038847794</v>
      </c>
      <c r="BD7" s="78">
        <f>BB7*'Alternative 1'!$K8/'Alternative 1'!$L8</f>
        <v>4511736.2743709739</v>
      </c>
      <c r="BE7" s="78">
        <f>BC7/'Alternative 1'!$M8</f>
        <v>104894.89590088597</v>
      </c>
      <c r="BF7" s="78">
        <f t="shared" si="8"/>
        <v>4.6166311702718597</v>
      </c>
      <c r="BH7" s="78">
        <f>'Alternative 1'!$B$39*$B7*$C7*COS($K$73)-($N$72/3)*$E7*SIN($K$73)-($N$72/3)*$F7*SIN($K$73)-($N$72/3)*$G7*SIN($K$73)</f>
        <v>179789.36806586164</v>
      </c>
      <c r="BI7" s="79">
        <f>IF(($A7&lt;'Alternative 1'!$B$27),(($H7*'Alternative 1'!$B$39)+(3*($N$72/3)*COS($K$73))),IF(($A7&lt;'Alternative 1'!$B$28),(($H7*'Alternative 1'!$B$39)+(2*(($N$72/3)*COS($K$73)))),IF(($A7&lt;'Alternative 1'!$B$29),(($H$3*'Alternative 1'!$B$39+(($N$72/3)*COS($K$73)))),($H7*'Alternative 1'!$B$39))))</f>
        <v>299598.91199844709</v>
      </c>
      <c r="BJ7" s="78">
        <f>BH7*'Alternative 1'!$K8/'Alternative 1'!$L8</f>
        <v>2814648.1531810737</v>
      </c>
      <c r="BK7" s="78">
        <f>BI7/'Alternative 1'!$M8</f>
        <v>93805.849385199166</v>
      </c>
      <c r="BL7" s="78">
        <f t="shared" si="9"/>
        <v>2.9084540025662728</v>
      </c>
      <c r="BN7" s="78">
        <f>'Alternative 1'!$B$39*$B7*$C7*COS($K$83)-($N$82/3)*$E7*SIN($K$83)-($N$82/3)*$F7*SIN($K$83)-($N$82/3)*$G7*SIN($K$83)</f>
        <v>61129.353949070792</v>
      </c>
      <c r="BO7" s="79">
        <f>IF(($A7&lt;'Alternative 1'!$B$27),(($H7*'Alternative 1'!$B$39)+(3*($N$82/3)*COS($K$83))),IF(($A7&lt;'Alternative 1'!$B$28),(($H7*'Alternative 1'!$B$39)+(2*(($N$82/3)*COS($K$83)))),IF(($A7&lt;'Alternative 1'!$B$29),(($H$3*'Alternative 1'!$B$39+(($N$82/3)*COS($K$83)))),($H7*'Alternative 1'!$B$39))))</f>
        <v>279175.43375862535</v>
      </c>
      <c r="BP7" s="78">
        <f>BN7*'Alternative 1'!$K8/'Alternative 1'!$L8</f>
        <v>956995.53899580415</v>
      </c>
      <c r="BQ7" s="78">
        <f>BO7/'Alternative 1'!$M8</f>
        <v>87411.160863444646</v>
      </c>
      <c r="BR7" s="78">
        <f t="shared" si="10"/>
        <v>1.0444066998592487</v>
      </c>
      <c r="BT7" s="78">
        <f>'Alternative 1'!$B$39*$B7*$C7*COS($K$93)-($K$92/3)*$E7*SIN($K$93)-($K$92/3)*$F7*SIN($K$93)-($K$92/3)*$G7*SIN($K$93)</f>
        <v>-26.924612593832496</v>
      </c>
      <c r="BU7" s="79">
        <f>IF(($A7&lt;'Alternative 1'!$B$27),(($H7*'Alternative 1'!$B$39)+(3*($N$92/3)*COS($K$93))),IF(($A7&lt;'Alternative 1'!$B$28),(($H7*'Alternative 1'!$B$39)+(2*(($N$92/3)*COS($K$93)))),IF(($A7&lt;'Alternative 1'!$B$29),(($H$3*'Alternative 1'!$B$39+(($N$92/3)*COS($K$93)))),($H7*'Alternative 1'!$B$39))))</f>
        <v>272106.58366667695</v>
      </c>
      <c r="BV7" s="78">
        <f>BT7*'Alternative 1'!$K8/'Alternative 1'!$L8</f>
        <v>-421.51163846677002</v>
      </c>
      <c r="BW7" s="78">
        <f>BU7/'Alternative 1'!$M8</f>
        <v>85197.870158786478</v>
      </c>
      <c r="BX7" s="78">
        <f t="shared" si="11"/>
        <v>8.4776358520319714E-2</v>
      </c>
      <c r="BZ7" s="77">
        <v>150</v>
      </c>
      <c r="CA7" s="77">
        <v>-150</v>
      </c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</row>
    <row r="8" spans="1:115" ht="15" customHeight="1" x14ac:dyDescent="0.25">
      <c r="A8" s="89">
        <f>IF('Alternative 1'!F9&gt;0,'Alternative 1'!F9,"x")</f>
        <v>6</v>
      </c>
      <c r="B8" s="89">
        <f t="shared" si="17"/>
        <v>31</v>
      </c>
      <c r="C8" s="89">
        <f t="shared" si="12"/>
        <v>15.5</v>
      </c>
      <c r="D8" s="89">
        <f t="shared" si="13"/>
        <v>6</v>
      </c>
      <c r="E8" s="74">
        <f>IF($A8&lt;='Alternative 1'!$B$27, IF($A8='Alternative 1'!$B$27,0,E9+1),0)</f>
        <v>10</v>
      </c>
      <c r="F8" s="74">
        <f>IF($A8&lt;=('Alternative 1'!$B$28), IF($A8=ROUNDDOWN('Alternative 1'!$B$28,0),0,F9+1),0)</f>
        <v>16</v>
      </c>
      <c r="G8" s="74">
        <f>IF($A8&lt;=('Alternative 1'!$B$29), IF($A8=ROUNDDOWN('Alternative 1'!$B$29,0),0,G9+1),0)</f>
        <v>23</v>
      </c>
      <c r="H8" s="89">
        <f t="shared" si="14"/>
        <v>31</v>
      </c>
      <c r="J8" s="77">
        <f t="shared" si="15"/>
        <v>5</v>
      </c>
      <c r="K8" s="77">
        <f t="shared" si="16"/>
        <v>8.7266462599716474E-2</v>
      </c>
      <c r="L8" s="78">
        <f>'Alternative 1'!$B$27*SIN(K8)+'Alternative 1'!$B$28*SIN(K8)+'Alternative 1'!$B$29*SIN(K8)</f>
        <v>5.9265905068407552</v>
      </c>
      <c r="M8" s="77">
        <f>(('Alternative 1'!$B$27)*(((('Alternative 1'!$B$28-'Alternative 1'!$B$27)/2)+'Alternative 1'!$B$27)*'Alternative 1'!$B$39)*COS('Alternative 1-Tilt Up'!K8))+(('Alternative 1'!$B$28)*((('Alternative 1'!$B$28-'Alternative 1'!$B$27)/2)+(('Alternative 1'!$B$29-'Alternative 1'!$B$28)/2))*('Alternative 1'!$B$39)*COS('Alternative 1-Tilt Up'!K8))+(('Alternative 1'!$B$29)*((('Alternative 1'!$B$12-'Alternative 1'!$B$29+(('Alternative 1'!$B$29-'Alternative 1'!$B$28)/2)*('Alternative 1'!$B$39)*COS('Alternative 1-Tilt Up'!K8)))))</f>
        <v>4728052.7770724511</v>
      </c>
      <c r="N8" s="77">
        <f t="shared" si="0"/>
        <v>2393308.3135818671</v>
      </c>
      <c r="O8" s="77">
        <f>(((('Alternative 1'!$B$28-'Alternative 1'!$B$27)/2)+'Alternative 1'!$B$27)*('Alternative 1'!$B$39)*COS('Alternative 1-Tilt Up'!K8))+(((('Alternative 1'!$B$28-'Alternative 1'!$B$27)/2)+(('Alternative 1'!$B$29-'Alternative 1'!$B$28)/2))*('Alternative 1'!$B$39)*COS('Alternative 1-Tilt Up'!K8))+(((('Alternative 1'!$B$12-'Alternative 1'!$B$29)+(('Alternative 1'!$B$29-'Alternative 1'!$B$28)/2))*('Alternative 1'!$B$39)*COS('Alternative 1-Tilt Up'!K8)))</f>
        <v>304955.0279601767</v>
      </c>
      <c r="P8" s="77">
        <f t="shared" si="1"/>
        <v>2384201.0528891529</v>
      </c>
      <c r="R8" s="78">
        <f>'Alternative 1'!$B$39*$B8*$C8*COS($K$5)-($N$5/3)*$E8*SIN($K$5)-($N$5/3)*$F8*SIN($K$5)-($N$5/3)*$G8*SIN($K$5)</f>
        <v>665451.93639688706</v>
      </c>
      <c r="S8" s="79">
        <f>IF(($A8&lt;'Alternative 1'!$B$27),(($H8*'Alternative 1'!$B$39)+(3*($N$5/3)*COS($K$5))),IF(($A8&lt;'Alternative 1'!$B$28),(($H8*'Alternative 1'!$B$39)+(2*(($N$5/3)*COS($K$5)))),IF(($A8&lt;'Alternative 1'!$B$29),(($H$3*'Alternative 1'!$B$39+(($N$5/3)*COS($K$5)))),($H8*'Alternative 1'!$B$39))))</f>
        <v>6256018.8841508701</v>
      </c>
      <c r="T8" s="78">
        <f>R8*'Alternative 1'!$K9/'Alternative 1'!$L9</f>
        <v>10626397.259030014</v>
      </c>
      <c r="U8" s="78">
        <f>S8/'Alternative 1'!$M9</f>
        <v>1998006.912421857</v>
      </c>
      <c r="V8" s="78">
        <f t="shared" si="2"/>
        <v>12.62440417145187</v>
      </c>
      <c r="X8" s="78">
        <f>'Alternative 1'!$B$39*$B8*$C8*COS($K$13)-($N$12/3)*$E8*SIN($K$13)-($N$12/3)*$F8*SIN($K$13)-($N$12/3)*$G8*SIN($K$13)</f>
        <v>274192.82459821063</v>
      </c>
      <c r="Y8" s="79">
        <f>IF(($A8&lt;'Alternative 1'!$B$27),(($H8*'Alternative 1'!$B$39)+(3*($N$12/3)*COS($K$13))),IF(($A8&lt;'Alternative 1'!$B$28),(($H8*'Alternative 1'!$B$39)+(2*(($N$12/3)*COS($K$13)))),IF(($A8&lt;'Alternative 1'!$B$29),(($H$3*'Alternative 1'!$B$39+(($N$12/3)*COS($K$13)))),($H8*'Alternative 1'!$B$39))))</f>
        <v>1565538.9389537929</v>
      </c>
      <c r="Z8" s="78">
        <f>X8*'Alternative 1'!$K9/'Alternative 1'!$L9</f>
        <v>4378500.8659413578</v>
      </c>
      <c r="AA8" s="78">
        <f>Y8/'Alternative 1'!$M9</f>
        <v>499991.7167161518</v>
      </c>
      <c r="AB8" s="78">
        <f t="shared" si="3"/>
        <v>4.8784925826575094</v>
      </c>
      <c r="AD8" s="78">
        <f>'Alternative 1'!$B$39*$B8*$C8*COS($K$23)-($N$22/3)*$E8*SIN($K$23)-($N$22/3)*$F8*SIN($K$23)-($N$22/3)*$G8*SIN($K$23)</f>
        <v>442361.31475133379</v>
      </c>
      <c r="AE8" s="79">
        <f>IF(($A8&lt;'Alternative 1'!$B$27),(($H8*'Alternative 1'!$B$39)+(3*($N$22/3)*COS($K$23))),IF(($A8&lt;'Alternative 1'!$B$28),(($H8*'Alternative 1'!$B$39)+(2*(($N$22/3)*COS($K$23)))),IF(($A8&lt;'Alternative 1'!$B$29),(($H$3*'Alternative 1'!$B$39+(($N$22/3)*COS($K$23)))),($H8*'Alternative 1'!$B$39))))</f>
        <v>835036.30808530527</v>
      </c>
      <c r="AF8" s="78">
        <f>AD8*'Alternative 1'!$K9/'Alternative 1'!$L9</f>
        <v>7063931.7514449377</v>
      </c>
      <c r="AG8" s="78">
        <f>AE8/'Alternative 1'!$M9</f>
        <v>266688.50375507149</v>
      </c>
      <c r="AH8" s="78">
        <f t="shared" si="4"/>
        <v>7.3306202552000093</v>
      </c>
      <c r="AJ8" s="78">
        <f>'Alternative 1'!$B$39*$B8*$C8*COS($K$33)-($N$32/3)*$E8*SIN($K$33)-($N$32/3)*$F8*SIN($K$33)-($N$32/3)*$G8*SIN($K$33)</f>
        <v>453516.88656830229</v>
      </c>
      <c r="AK8" s="79">
        <f>IF(($A8&lt;'Alternative 1'!$B$27),(($H8*'Alternative 1'!$B$39)+(3*($N$32/3)*COS($K$33))),IF(($A8&lt;'Alternative 1'!$B$28),(($H8*'Alternative 1'!$B$39)+(2*(($N$32/3)*COS($K$33)))),IF(($A8&lt;'Alternative 1'!$B$29),(($H$3*'Alternative 1'!$B$39+(($N$32/3)*COS($K$33)))),($H8*'Alternative 1'!$B$39))))</f>
        <v>590741.70237167517</v>
      </c>
      <c r="AL8" s="78">
        <f>AJ8*'Alternative 1'!$K9/'Alternative 1'!$L9</f>
        <v>7242071.645996307</v>
      </c>
      <c r="AM8" s="78">
        <f>AK8/'Alternative 1'!$M9</f>
        <v>188667.27013639209</v>
      </c>
      <c r="AN8" s="78">
        <f t="shared" si="5"/>
        <v>7.4307389161326984</v>
      </c>
      <c r="AP8" s="78">
        <f>'Alternative 1'!$B$39*$B8*$C8*COS($K$43)-($N$42/3)*$E8*SIN($K$43)-($N$42/3)*$F8*SIN($K$43)-($N$42/3)*$G8*SIN($K$43)</f>
        <v>415200.71380613325</v>
      </c>
      <c r="AQ8" s="79">
        <f>IF(($A8&lt;'Alternative 1'!$B$27),(($H8*'Alternative 1'!$B$39)+(3*($N$42/3)*COS($K$43))),IF(($A8&lt;'Alternative 1'!$B$28),(($H8*'Alternative 1'!$B$39)+(2*(($N$42/3)*COS($K$43)))),IF(($A8&lt;'Alternative 1'!$B$29),(($H$3*'Alternative 1'!$B$39+(($N$42/3)*COS($K$43)))),($H8*'Alternative 1'!$B$39))))</f>
        <v>461683.08258329809</v>
      </c>
      <c r="AR8" s="78">
        <f>AP8*'Alternative 1'!$K9/'Alternative 1'!$L9</f>
        <v>6630212.4703794606</v>
      </c>
      <c r="AS8" s="78">
        <f>AQ8/'Alternative 1'!$M9</f>
        <v>147449.36155589376</v>
      </c>
      <c r="AT8" s="78">
        <f t="shared" si="6"/>
        <v>6.7776618319353545</v>
      </c>
      <c r="AV8" s="78">
        <f>'Alternative 1'!$B$39*$B8*$C8*COS($K$53)-($N$52/3)*$E8*SIN($K$53)-($N$52/3)*$F8*SIN($K$53)-($N$52/3)*$G8*SIN($K$53)</f>
        <v>348869.64225228294</v>
      </c>
      <c r="AW8" s="79">
        <f>IF(($A8&lt;'Alternative 1'!$B$27),(($H8*'Alternative 1'!$B$39)+(3*($N$52/3)*COS($K$53))),IF(($A8&lt;'Alternative 1'!$B$28),(($H8*'Alternative 1'!$B$39)+(2*(($N$52/3)*COS($K$53)))),IF(($A8&lt;'Alternative 1'!$B$29),(($H$3*'Alternative 1'!$B$39+(($N$52/3)*COS($K$53)))),($H8*'Alternative 1'!$B$39))))</f>
        <v>380604.44826115685</v>
      </c>
      <c r="AX8" s="78">
        <f>AV8*'Alternative 1'!$K9/'Alternative 1'!$L9</f>
        <v>5570991.9941947348</v>
      </c>
      <c r="AY8" s="78">
        <f>AW8/'Alternative 1'!$M9</f>
        <v>121554.99089857917</v>
      </c>
      <c r="AZ8" s="78">
        <f t="shared" si="7"/>
        <v>5.6925469850933146</v>
      </c>
      <c r="BB8" s="78">
        <f>'Alternative 1'!$B$39*$B8*$C8*COS($K$63)-($N$62/3)*$E8*SIN($K$63)-($N$62/3)*$F8*SIN($K$63)-($N$62/3)*$G8*SIN($K$63)</f>
        <v>263226.78223012993</v>
      </c>
      <c r="BC8" s="79">
        <f>IF(($A8&lt;'Alternative 1'!$B$27),(($H8*'Alternative 1'!$B$39)+(3*($N$62/3)*COS($K$63))),IF(($A8&lt;'Alternative 1'!$B$28),(($H8*'Alternative 1'!$B$39)+(2*(($N$62/3)*COS($K$63)))),IF(($A8&lt;'Alternative 1'!$B$29),(($H$3*'Alternative 1'!$B$39+(($N$62/3)*COS($K$63)))),($H8*'Alternative 1'!$B$39))))</f>
        <v>326511.98964889429</v>
      </c>
      <c r="BD8" s="78">
        <f>BB8*'Alternative 1'!$K9/'Alternative 1'!$L9</f>
        <v>4203387.5088542439</v>
      </c>
      <c r="BE8" s="78">
        <f>BC8/'Alternative 1'!$M9</f>
        <v>104279.29077385631</v>
      </c>
      <c r="BF8" s="78">
        <f t="shared" si="8"/>
        <v>4.3076667996281</v>
      </c>
      <c r="BH8" s="78">
        <f>'Alternative 1'!$B$39*$B8*$C8*COS($K$73)-($N$72/3)*$E8*SIN($K$73)-($N$72/3)*$F8*SIN($K$73)-($N$72/3)*$G8*SIN($K$73)</f>
        <v>163712.1418192467</v>
      </c>
      <c r="BI8" s="79">
        <f>IF(($A8&lt;'Alternative 1'!$B$27),(($H8*'Alternative 1'!$B$39)+(3*($N$72/3)*COS($K$73))),IF(($A8&lt;'Alternative 1'!$B$28),(($H8*'Alternative 1'!$B$39)+(2*(($N$72/3)*COS($K$73)))),IF(($A8&lt;'Alternative 1'!$B$29),(($H$3*'Alternative 1'!$B$39+(($N$72/3)*COS($K$73)))),($H8*'Alternative 1'!$B$39))))</f>
        <v>291095.58125886344</v>
      </c>
      <c r="BJ8" s="78">
        <f>BH8*'Alternative 1'!$K9/'Alternative 1'!$L9</f>
        <v>2614268.8298684382</v>
      </c>
      <c r="BK8" s="78">
        <f>BI8/'Alternative 1'!$M9</f>
        <v>92968.226966854767</v>
      </c>
      <c r="BL8" s="78">
        <f t="shared" si="9"/>
        <v>2.707237056835293</v>
      </c>
      <c r="BN8" s="78">
        <f>'Alternative 1'!$B$39*$B8*$C8*COS($K$83)-($N$82/3)*$E8*SIN($K$83)-($N$82/3)*$F8*SIN($K$83)-($N$82/3)*$G8*SIN($K$83)</f>
        <v>54706.276519762119</v>
      </c>
      <c r="BO8" s="79">
        <f>IF(($A8&lt;'Alternative 1'!$B$27),(($H8*'Alternative 1'!$B$39)+(3*($N$82/3)*COS($K$83))),IF(($A8&lt;'Alternative 1'!$B$28),(($H8*'Alternative 1'!$B$39)+(2*(($N$82/3)*COS($K$83)))),IF(($A8&lt;'Alternative 1'!$B$29),(($H$3*'Alternative 1'!$B$39+(($N$82/3)*COS($K$83)))),($H8*'Alternative 1'!$B$39))))</f>
        <v>270672.10301904171</v>
      </c>
      <c r="BP8" s="78">
        <f>BN8*'Alternative 1'!$K9/'Alternative 1'!$L9</f>
        <v>873587.70042653033</v>
      </c>
      <c r="BQ8" s="78">
        <f>BO8/'Alternative 1'!$M9</f>
        <v>86445.508373047342</v>
      </c>
      <c r="BR8" s="78">
        <f t="shared" si="10"/>
        <v>0.96003320879957765</v>
      </c>
      <c r="BT8" s="78">
        <f>'Alternative 1'!$B$39*$B8*$C8*COS($K$93)-($K$92/3)*$E8*SIN($K$93)-($K$92/3)*$F8*SIN($K$93)-($K$92/3)*$G8*SIN($K$93)</f>
        <v>-25.37126955957395</v>
      </c>
      <c r="BU8" s="79">
        <f>IF(($A8&lt;'Alternative 1'!$B$27),(($H8*'Alternative 1'!$B$39)+(3*($N$92/3)*COS($K$93))),IF(($A8&lt;'Alternative 1'!$B$28),(($H8*'Alternative 1'!$B$39)+(2*(($N$92/3)*COS($K$93)))),IF(($A8&lt;'Alternative 1'!$B$29),(($H$3*'Alternative 1'!$B$39+(($N$92/3)*COS($K$93)))),($H8*'Alternative 1'!$B$39))))</f>
        <v>263603.2529270933</v>
      </c>
      <c r="BV8" s="78">
        <f>BT8*'Alternative 1'!$K9/'Alternative 1'!$L9</f>
        <v>-405.14599862126045</v>
      </c>
      <c r="BW8" s="78">
        <f>BU8/'Alternative 1'!$M9</f>
        <v>84187.904678408915</v>
      </c>
      <c r="BX8" s="78">
        <f t="shared" si="11"/>
        <v>8.3782758679787656E-2</v>
      </c>
      <c r="BZ8" s="77">
        <v>150</v>
      </c>
      <c r="CA8" s="77">
        <v>-150</v>
      </c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</row>
    <row r="9" spans="1:115" ht="15" customHeight="1" x14ac:dyDescent="0.25">
      <c r="A9" s="89">
        <f>IF('Alternative 1'!F10&gt;0,'Alternative 1'!F10,"x")</f>
        <v>7</v>
      </c>
      <c r="B9" s="89">
        <f t="shared" si="17"/>
        <v>30</v>
      </c>
      <c r="C9" s="89">
        <f t="shared" si="12"/>
        <v>15</v>
      </c>
      <c r="D9" s="89">
        <f t="shared" si="13"/>
        <v>7</v>
      </c>
      <c r="E9" s="74">
        <f>IF($A9&lt;='Alternative 1'!$B$27, IF($A9='Alternative 1'!$B$27,0,E10+1),0)</f>
        <v>9</v>
      </c>
      <c r="F9" s="74">
        <f>IF($A9&lt;=('Alternative 1'!$B$28), IF($A9=ROUNDDOWN('Alternative 1'!$B$28,0),0,F10+1),0)</f>
        <v>15</v>
      </c>
      <c r="G9" s="74">
        <f>IF($A9&lt;=('Alternative 1'!$B$29), IF($A9=ROUNDDOWN('Alternative 1'!$B$29,0),0,G10+1),0)</f>
        <v>22</v>
      </c>
      <c r="H9" s="89">
        <f t="shared" si="14"/>
        <v>30</v>
      </c>
      <c r="J9" s="77">
        <f t="shared" si="15"/>
        <v>6</v>
      </c>
      <c r="K9" s="77">
        <f t="shared" si="16"/>
        <v>0.10471975511965977</v>
      </c>
      <c r="L9" s="78">
        <f>'Alternative 1'!$B$27*SIN(K9)+'Alternative 1'!$B$28*SIN(K9)+'Alternative 1'!$B$29*SIN(K9)</f>
        <v>7.1079355022004354</v>
      </c>
      <c r="M9" s="77">
        <f>(('Alternative 1'!$B$27)*(((('Alternative 1'!$B$28-'Alternative 1'!$B$27)/2)+'Alternative 1'!$B$27)*'Alternative 1'!$B$39)*COS('Alternative 1-Tilt Up'!K9))+(('Alternative 1'!$B$28)*((('Alternative 1'!$B$28-'Alternative 1'!$B$27)/2)+(('Alternative 1'!$B$29-'Alternative 1'!$B$28)/2))*('Alternative 1'!$B$39)*COS('Alternative 1-Tilt Up'!K9))+(('Alternative 1'!$B$29)*((('Alternative 1'!$B$12-'Alternative 1'!$B$29+(('Alternative 1'!$B$29-'Alternative 1'!$B$28)/2)*('Alternative 1'!$B$39)*COS('Alternative 1-Tilt Up'!K9)))))</f>
        <v>4720113.7945370898</v>
      </c>
      <c r="N9" s="77">
        <f t="shared" si="0"/>
        <v>1992187.6583190139</v>
      </c>
      <c r="O9" s="77">
        <f>(((('Alternative 1'!$B$28-'Alternative 1'!$B$27)/2)+'Alternative 1'!$B$27)*('Alternative 1'!$B$39)*COS('Alternative 1-Tilt Up'!K9))+(((('Alternative 1'!$B$28-'Alternative 1'!$B$27)/2)+(('Alternative 1'!$B$29-'Alternative 1'!$B$28)/2))*('Alternative 1'!$B$39)*COS('Alternative 1-Tilt Up'!K9))+(((('Alternative 1'!$B$12-'Alternative 1'!$B$29)+(('Alternative 1'!$B$29-'Alternative 1'!$B$28)/2))*('Alternative 1'!$B$39)*COS('Alternative 1-Tilt Up'!K9)))</f>
        <v>304442.94974666531</v>
      </c>
      <c r="P9" s="77">
        <f t="shared" si="1"/>
        <v>1981274.2458807076</v>
      </c>
      <c r="R9" s="78">
        <f>'Alternative 1'!$B$39*$B9*$C9*COS($K$5)-($N$5/3)*$E9*SIN($K$5)-($N$5/3)*$F9*SIN($K$5)-($N$5/3)*$G9*SIN($K$5)</f>
        <v>615518.10377599089</v>
      </c>
      <c r="S9" s="79">
        <f>IF(($A9&lt;'Alternative 1'!$B$27),(($H9*'Alternative 1'!$B$39)+(3*($N$5/3)*COS($K$5))),IF(($A9&lt;'Alternative 1'!$B$28),(($H9*'Alternative 1'!$B$39)+(2*(($N$5/3)*COS($K$5)))),IF(($A9&lt;'Alternative 1'!$B$29),(($H$3*'Alternative 1'!$B$39+(($N$5/3)*COS($K$5)))),($H9*'Alternative 1'!$B$39))))</f>
        <v>6247515.5534112863</v>
      </c>
      <c r="T9" s="78">
        <f>R9*'Alternative 1'!$K10/'Alternative 1'!$L10</f>
        <v>10027799.002435122</v>
      </c>
      <c r="U9" s="78">
        <f>S9/'Alternative 1'!$M10</f>
        <v>2035643.4692870143</v>
      </c>
      <c r="V9" s="78">
        <f t="shared" si="2"/>
        <v>12.063442471722135</v>
      </c>
      <c r="X9" s="78">
        <f>'Alternative 1'!$B$39*$B9*$C9*COS($K$13)-($N$12/3)*$E9*SIN($K$13)-($N$12/3)*$F9*SIN($K$13)-($N$12/3)*$G9*SIN($K$13)</f>
        <v>248347.75900944672</v>
      </c>
      <c r="Y9" s="79">
        <f>IF(($A9&lt;'Alternative 1'!$B$27),(($H9*'Alternative 1'!$B$39)+(3*($N$12/3)*COS($K$13))),IF(($A9&lt;'Alternative 1'!$B$28),(($H9*'Alternative 1'!$B$39)+(2*(($N$12/3)*COS($K$13)))),IF(($A9&lt;'Alternative 1'!$B$29),(($H$3*'Alternative 1'!$B$39+(($N$12/3)*COS($K$13)))),($H9*'Alternative 1'!$B$39))))</f>
        <v>1557035.6082142093</v>
      </c>
      <c r="Z9" s="78">
        <f>X9*'Alternative 1'!$K10/'Alternative 1'!$L10</f>
        <v>4045992.1402381151</v>
      </c>
      <c r="AA9" s="78">
        <f>Y9/'Alternative 1'!$M10</f>
        <v>507332.7693562815</v>
      </c>
      <c r="AB9" s="78">
        <f t="shared" si="3"/>
        <v>4.5533249095943962</v>
      </c>
      <c r="AD9" s="78">
        <f>'Alternative 1'!$B$39*$B9*$C9*COS($K$23)-($N$22/3)*$E9*SIN($K$23)-($N$22/3)*$F9*SIN($K$23)-($N$22/3)*$G9*SIN($K$23)</f>
        <v>406635.16468801256</v>
      </c>
      <c r="AE9" s="79">
        <f>IF(($A9&lt;'Alternative 1'!$B$27),(($H9*'Alternative 1'!$B$39)+(3*($N$22/3)*COS($K$23))),IF(($A9&lt;'Alternative 1'!$B$28),(($H9*'Alternative 1'!$B$39)+(2*(($N$22/3)*COS($K$23)))),IF(($A9&lt;'Alternative 1'!$B$29),(($H$3*'Alternative 1'!$B$39+(($N$22/3)*COS($K$23)))),($H9*'Alternative 1'!$B$39))))</f>
        <v>826532.97734572156</v>
      </c>
      <c r="AF9" s="78">
        <f>AD9*'Alternative 1'!$K10/'Alternative 1'!$L10</f>
        <v>6624753.4780837223</v>
      </c>
      <c r="AG9" s="78">
        <f>AE9/'Alternative 1'!$M10</f>
        <v>269311.28751899977</v>
      </c>
      <c r="AH9" s="78">
        <f t="shared" si="4"/>
        <v>6.8940647656027219</v>
      </c>
      <c r="AJ9" s="78">
        <f>'Alternative 1'!$B$39*$B9*$C9*COS($K$33)-($N$32/3)*$E9*SIN($K$33)-($N$32/3)*$F9*SIN($K$33)-($N$32/3)*$G9*SIN($K$33)</f>
        <v>417785.29508096073</v>
      </c>
      <c r="AK9" s="79">
        <f>IF(($A9&lt;'Alternative 1'!$B$27),(($H9*'Alternative 1'!$B$39)+(3*($N$32/3)*COS($K$33))),IF(($A9&lt;'Alternative 1'!$B$28),(($H9*'Alternative 1'!$B$39)+(2*(($N$32/3)*COS($K$33)))),IF(($A9&lt;'Alternative 1'!$B$29),(($H$3*'Alternative 1'!$B$39+(($N$32/3)*COS($K$33)))),($H9*'Alternative 1'!$B$39))))</f>
        <v>582238.37163209147</v>
      </c>
      <c r="AL9" s="78">
        <f>AJ9*'Alternative 1'!$K10/'Alternative 1'!$L10</f>
        <v>6806407.3819177505</v>
      </c>
      <c r="AM9" s="78">
        <f>AK9/'Alternative 1'!$M10</f>
        <v>189712.17096594663</v>
      </c>
      <c r="AN9" s="78">
        <f t="shared" si="5"/>
        <v>6.9961195528836964</v>
      </c>
      <c r="AP9" s="78">
        <f>'Alternative 1'!$B$39*$B9*$C9*COS($K$43)-($N$42/3)*$E9*SIN($K$43)-($N$42/3)*$F9*SIN($K$43)-($N$42/3)*$G9*SIN($K$43)</f>
        <v>382734.58335195761</v>
      </c>
      <c r="AQ9" s="79">
        <f>IF(($A9&lt;'Alternative 1'!$B$27),(($H9*'Alternative 1'!$B$39)+(3*($N$42/3)*COS($K$43))),IF(($A9&lt;'Alternative 1'!$B$28),(($H9*'Alternative 1'!$B$39)+(2*(($N$42/3)*COS($K$43)))),IF(($A9&lt;'Alternative 1'!$B$29),(($H$3*'Alternative 1'!$B$39+(($N$42/3)*COS($K$43)))),($H9*'Alternative 1'!$B$39))))</f>
        <v>453179.75184371439</v>
      </c>
      <c r="AR9" s="78">
        <f>AP9*'Alternative 1'!$K10/'Alternative 1'!$L10</f>
        <v>6235373.825058056</v>
      </c>
      <c r="AS9" s="78">
        <f>AQ9/'Alternative 1'!$M10</f>
        <v>147660.68117270299</v>
      </c>
      <c r="AT9" s="78">
        <f t="shared" si="6"/>
        <v>6.3830345062307599</v>
      </c>
      <c r="AV9" s="78">
        <f>'Alternative 1'!$B$39*$B9*$C9*COS($K$53)-($N$52/3)*$E9*SIN($K$53)-($N$52/3)*$F9*SIN($K$53)-($N$52/3)*$G9*SIN($K$53)</f>
        <v>321598.2500951027</v>
      </c>
      <c r="AW9" s="79">
        <f>IF(($A9&lt;'Alternative 1'!$B$27),(($H9*'Alternative 1'!$B$39)+(3*($N$52/3)*COS($K$53))),IF(($A9&lt;'Alternative 1'!$B$28),(($H9*'Alternative 1'!$B$39)+(2*(($N$52/3)*COS($K$53)))),IF(($A9&lt;'Alternative 1'!$B$29),(($H$3*'Alternative 1'!$B$39+(($N$52/3)*COS($K$53)))),($H9*'Alternative 1'!$B$39))))</f>
        <v>372101.11752157321</v>
      </c>
      <c r="AX9" s="78">
        <f>AV9*'Alternative 1'!$K10/'Alternative 1'!$L10</f>
        <v>5239362.7282524519</v>
      </c>
      <c r="AY9" s="78">
        <f>AW9/'Alternative 1'!$M10</f>
        <v>121242.62890127533</v>
      </c>
      <c r="AZ9" s="78">
        <f t="shared" si="7"/>
        <v>5.3606053571537267</v>
      </c>
      <c r="BB9" s="78">
        <f>'Alternative 1'!$B$39*$B9*$C9*COS($K$63)-($N$62/3)*$E9*SIN($K$63)-($N$62/3)*$F9*SIN($K$63)-($N$62/3)*$G9*SIN($K$63)</f>
        <v>242512.11669361242</v>
      </c>
      <c r="BC9" s="79">
        <f>IF(($A9&lt;'Alternative 1'!$B$27),(($H9*'Alternative 1'!$B$39)+(3*($N$62/3)*COS($K$63))),IF(($A9&lt;'Alternative 1'!$B$28),(($H9*'Alternative 1'!$B$39)+(2*(($N$62/3)*COS($K$63)))),IF(($A9&lt;'Alternative 1'!$B$29),(($H$3*'Alternative 1'!$B$39+(($N$62/3)*COS($K$63)))),($H9*'Alternative 1'!$B$39))))</f>
        <v>318008.65890931064</v>
      </c>
      <c r="BD9" s="78">
        <f>BB9*'Alternative 1'!$K10/'Alternative 1'!$L10</f>
        <v>3950919.9598517059</v>
      </c>
      <c r="BE9" s="78">
        <f>BC9/'Alternative 1'!$M10</f>
        <v>103617.54911230125</v>
      </c>
      <c r="BF9" s="78">
        <f t="shared" si="8"/>
        <v>4.0545375089640077</v>
      </c>
      <c r="BH9" s="78">
        <f>'Alternative 1'!$B$39*$B9*$C9*COS($K$73)-($N$72/3)*$E9*SIN($K$73)-($N$72/3)*$F9*SIN($K$73)-($N$72/3)*$G9*SIN($K$73)</f>
        <v>150543.22597092972</v>
      </c>
      <c r="BI9" s="79">
        <f>IF(($A9&lt;'Alternative 1'!$B$27),(($H9*'Alternative 1'!$B$39)+(3*($N$72/3)*COS($K$73))),IF(($A9&lt;'Alternative 1'!$B$28),(($H9*'Alternative 1'!$B$39)+(2*(($N$72/3)*COS($K$73)))),IF(($A9&lt;'Alternative 1'!$B$29),(($H$3*'Alternative 1'!$B$39+(($N$72/3)*COS($K$73)))),($H9*'Alternative 1'!$B$39))))</f>
        <v>282592.2505192798</v>
      </c>
      <c r="BJ9" s="78">
        <f>BH9*'Alternative 1'!$K10/'Alternative 1'!$L10</f>
        <v>2452595.9544547494</v>
      </c>
      <c r="BK9" s="78">
        <f>BI9/'Alternative 1'!$M10</f>
        <v>92077.733032067175</v>
      </c>
      <c r="BL9" s="78">
        <f t="shared" si="9"/>
        <v>2.5446736874868168</v>
      </c>
      <c r="BN9" s="78">
        <f>'Alternative 1'!$B$39*$B9*$C9*COS($K$83)-($N$82/3)*$E9*SIN($K$83)-($N$82/3)*$F9*SIN($K$83)-($N$82/3)*$G9*SIN($K$83)</f>
        <v>49759.786977481213</v>
      </c>
      <c r="BO9" s="79">
        <f>IF(($A9&lt;'Alternative 1'!$B$27),(($H9*'Alternative 1'!$B$39)+(3*($N$82/3)*COS($K$83))),IF(($A9&lt;'Alternative 1'!$B$28),(($H9*'Alternative 1'!$B$39)+(2*(($N$82/3)*COS($K$83)))),IF(($A9&lt;'Alternative 1'!$B$29),(($H$3*'Alternative 1'!$B$39+(($N$82/3)*COS($K$83)))),($H9*'Alternative 1'!$B$39))))</f>
        <v>262168.772279458</v>
      </c>
      <c r="BP9" s="78">
        <f>BN9*'Alternative 1'!$K10/'Alternative 1'!$L10</f>
        <v>810668.50699125393</v>
      </c>
      <c r="BQ9" s="78">
        <f>BO9/'Alternative 1'!$M10</f>
        <v>85423.1005235786</v>
      </c>
      <c r="BR9" s="78">
        <f t="shared" si="10"/>
        <v>0.89609160751483252</v>
      </c>
      <c r="BT9" s="78">
        <f>'Alternative 1'!$B$39*$B9*$C9*COS($K$93)-($K$92/3)*$E9*SIN($K$93)-($K$92/3)*$F9*SIN($K$93)-($K$92/3)*$G9*SIN($K$93)</f>
        <v>-23.817926525314881</v>
      </c>
      <c r="BU9" s="79">
        <f>IF(($A9&lt;'Alternative 1'!$B$27),(($H9*'Alternative 1'!$B$39)+(3*($N$92/3)*COS($K$93))),IF(($A9&lt;'Alternative 1'!$B$28),(($H9*'Alternative 1'!$B$39)+(2*(($N$92/3)*COS($K$93)))),IF(($A9&lt;'Alternative 1'!$B$29),(($H$3*'Alternative 1'!$B$39+(($N$92/3)*COS($K$93)))),($H9*'Alternative 1'!$B$39))))</f>
        <v>255099.92218750963</v>
      </c>
      <c r="BV9" s="78">
        <f>BT9*'Alternative 1'!$K10/'Alternative 1'!$L10</f>
        <v>-388.03307065286339</v>
      </c>
      <c r="BW9" s="78">
        <f>BU9/'Alternative 1'!$M10</f>
        <v>83119.839586967326</v>
      </c>
      <c r="BX9" s="78">
        <f t="shared" si="11"/>
        <v>8.2731806516314468E-2</v>
      </c>
      <c r="BZ9" s="77">
        <v>150</v>
      </c>
      <c r="CA9" s="77">
        <v>-150</v>
      </c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</row>
    <row r="10" spans="1:115" ht="15" customHeight="1" x14ac:dyDescent="0.25">
      <c r="A10" s="89">
        <f>IF('Alternative 1'!F11&gt;0,'Alternative 1'!F11,"x")</f>
        <v>8</v>
      </c>
      <c r="B10" s="89">
        <f t="shared" si="17"/>
        <v>29</v>
      </c>
      <c r="C10" s="89">
        <f t="shared" si="12"/>
        <v>14.5</v>
      </c>
      <c r="D10" s="89">
        <f t="shared" si="13"/>
        <v>8</v>
      </c>
      <c r="E10" s="74">
        <f>IF($A10&lt;='Alternative 1'!$B$27, IF($A10='Alternative 1'!$B$27,0,E11+1),0)</f>
        <v>8</v>
      </c>
      <c r="F10" s="74">
        <f>IF($A10&lt;=('Alternative 1'!$B$28), IF($A10=ROUNDDOWN('Alternative 1'!$B$28,0),0,F11+1),0)</f>
        <v>14</v>
      </c>
      <c r="G10" s="74">
        <f>IF($A10&lt;=('Alternative 1'!$B$29), IF($A10=ROUNDDOWN('Alternative 1'!$B$29,0),0,G11+1),0)</f>
        <v>21</v>
      </c>
      <c r="H10" s="89">
        <f t="shared" si="14"/>
        <v>29</v>
      </c>
      <c r="J10" s="77">
        <f t="shared" si="15"/>
        <v>7</v>
      </c>
      <c r="K10" s="77">
        <f t="shared" si="16"/>
        <v>0.12217304763960307</v>
      </c>
      <c r="L10" s="78">
        <f>'Alternative 1'!$B$27*SIN(K10)+'Alternative 1'!$B$28*SIN(K10)+'Alternative 1'!$B$29*SIN(K10)</f>
        <v>8.2871153515500282</v>
      </c>
      <c r="M10" s="77">
        <f>(('Alternative 1'!$B$27)*(((('Alternative 1'!$B$28-'Alternative 1'!$B$27)/2)+'Alternative 1'!$B$27)*'Alternative 1'!$B$39)*COS('Alternative 1-Tilt Up'!K10))+(('Alternative 1'!$B$28)*((('Alternative 1'!$B$28-'Alternative 1'!$B$27)/2)+(('Alternative 1'!$B$29-'Alternative 1'!$B$28)/2))*('Alternative 1'!$B$39)*COS('Alternative 1-Tilt Up'!K10))+(('Alternative 1'!$B$29)*((('Alternative 1'!$B$12-'Alternative 1'!$B$29+(('Alternative 1'!$B$29-'Alternative 1'!$B$28)/2)*('Alternative 1'!$B$39)*COS('Alternative 1-Tilt Up'!K10)))))</f>
        <v>4710737.0792062711</v>
      </c>
      <c r="N10" s="77">
        <f t="shared" si="0"/>
        <v>1705323.3408867072</v>
      </c>
      <c r="O10" s="77">
        <f>(((('Alternative 1'!$B$28-'Alternative 1'!$B$27)/2)+'Alternative 1'!$B$27)*('Alternative 1'!$B$39)*COS('Alternative 1-Tilt Up'!K10))+(((('Alternative 1'!$B$28-'Alternative 1'!$B$27)/2)+(('Alternative 1'!$B$29-'Alternative 1'!$B$28)/2))*('Alternative 1'!$B$39)*COS('Alternative 1-Tilt Up'!K10))+(((('Alternative 1'!$B$12-'Alternative 1'!$B$29)+(('Alternative 1'!$B$29-'Alternative 1'!$B$28)/2))*('Alternative 1'!$B$39)*COS('Alternative 1-Tilt Up'!K10)))</f>
        <v>303838.13526145602</v>
      </c>
      <c r="P10" s="77">
        <f t="shared" si="1"/>
        <v>1692612.1193012234</v>
      </c>
      <c r="R10" s="78">
        <f>'Alternative 1'!$B$39*$B10*$C10*COS($K$5)-($N$5/3)*$E10*SIN($K$5)-($N$5/3)*$F10*SIN($K$5)-($N$5/3)*$G10*SIN($K$5)</f>
        <v>574082.42189534474</v>
      </c>
      <c r="S10" s="79">
        <f>IF(($A10&lt;'Alternative 1'!$B$27),(($H10*'Alternative 1'!$B$39)+(3*($N$5/3)*COS($K$5))),IF(($A10&lt;'Alternative 1'!$B$28),(($H10*'Alternative 1'!$B$39)+(2*(($N$5/3)*COS($K$5)))),IF(($A10&lt;'Alternative 1'!$B$29),(($H$3*'Alternative 1'!$B$39+(($N$5/3)*COS($K$5)))),($H10*'Alternative 1'!$B$39))))</f>
        <v>6239012.2226717025</v>
      </c>
      <c r="T10" s="78">
        <f>R10*'Alternative 1'!$K11/'Alternative 1'!$L11</f>
        <v>9543823.6154718492</v>
      </c>
      <c r="U10" s="78">
        <f>S10/'Alternative 1'!$M11</f>
        <v>2074405.1047934899</v>
      </c>
      <c r="V10" s="78">
        <f t="shared" si="2"/>
        <v>11.618228720265341</v>
      </c>
      <c r="X10" s="78">
        <f>'Alternative 1'!$B$39*$B10*$C10*COS($K$13)-($N$12/3)*$E10*SIN($K$13)-($N$12/3)*$F10*SIN($K$13)-($N$12/3)*$G10*SIN($K$13)</f>
        <v>230876.83945945278</v>
      </c>
      <c r="Y10" s="79">
        <f>IF(($A10&lt;'Alternative 1'!$B$27),(($H10*'Alternative 1'!$B$39)+(3*($N$12/3)*COS($K$13))),IF(($A10&lt;'Alternative 1'!$B$28),(($H10*'Alternative 1'!$B$39)+(2*(($N$12/3)*COS($K$13)))),IF(($A10&lt;'Alternative 1'!$B$29),(($H$3*'Alternative 1'!$B$39+(($N$12/3)*COS($K$13)))),($H10*'Alternative 1'!$B$39))))</f>
        <v>1548532.2774746255</v>
      </c>
      <c r="Z10" s="78">
        <f>X10*'Alternative 1'!$K11/'Alternative 1'!$L11</f>
        <v>3838208.1538464478</v>
      </c>
      <c r="AA10" s="78">
        <f>Y10/'Alternative 1'!$M11</f>
        <v>514870.48697514355</v>
      </c>
      <c r="AB10" s="78">
        <f t="shared" si="3"/>
        <v>4.3530786408215913</v>
      </c>
      <c r="AD10" s="78">
        <f>'Alternative 1'!$B$39*$B10*$C10*COS($K$23)-($N$22/3)*$E10*SIN($K$23)-($N$22/3)*$F10*SIN($K$23)-($N$22/3)*$G10*SIN($K$23)</f>
        <v>378899.53177278093</v>
      </c>
      <c r="AE10" s="79">
        <f>IF(($A10&lt;'Alternative 1'!$B$27),(($H10*'Alternative 1'!$B$39)+(3*($N$22/3)*COS($K$23))),IF(($A10&lt;'Alternative 1'!$B$28),(($H10*'Alternative 1'!$B$39)+(2*(($N$22/3)*COS($K$23)))),IF(($A10&lt;'Alternative 1'!$B$29),(($H$3*'Alternative 1'!$B$39+(($N$22/3)*COS($K$23)))),($H10*'Alternative 1'!$B$39))))</f>
        <v>818029.64660613798</v>
      </c>
      <c r="AF10" s="78">
        <f>AD10*'Alternative 1'!$K11/'Alternative 1'!$L11</f>
        <v>6299008.9250346664</v>
      </c>
      <c r="AG10" s="78">
        <f>AE10/'Alternative 1'!$M11</f>
        <v>271986.14367604512</v>
      </c>
      <c r="AH10" s="78">
        <f t="shared" si="4"/>
        <v>6.5709950687107117</v>
      </c>
      <c r="AJ10" s="78">
        <f>'Alternative 1'!$B$39*$B10*$C10*COS($K$33)-($N$32/3)*$E10*SIN($K$33)-($N$32/3)*$F10*SIN($K$33)-($N$32/3)*$G10*SIN($K$33)</f>
        <v>389417.80403088033</v>
      </c>
      <c r="AK10" s="79">
        <f>IF(($A10&lt;'Alternative 1'!$B$27),(($H10*'Alternative 1'!$B$39)+(3*($N$32/3)*COS($K$33))),IF(($A10&lt;'Alternative 1'!$B$28),(($H10*'Alternative 1'!$B$39)+(2*(($N$32/3)*COS($K$33)))),IF(($A10&lt;'Alternative 1'!$B$29),(($H$3*'Alternative 1'!$B$39+(($N$32/3)*COS($K$33)))),($H10*'Alternative 1'!$B$39))))</f>
        <v>573735.04089250788</v>
      </c>
      <c r="AL10" s="78">
        <f>AJ10*'Alternative 1'!$K11/'Alternative 1'!$L11</f>
        <v>6473869.7661650907</v>
      </c>
      <c r="AM10" s="78">
        <f>AK10/'Alternative 1'!$M11</f>
        <v>190760.78955278339</v>
      </c>
      <c r="AN10" s="78">
        <f t="shared" si="5"/>
        <v>6.6646305557178742</v>
      </c>
      <c r="AP10" s="78">
        <f>'Alternative 1'!$B$39*$B10*$C10*COS($K$43)-($N$42/3)*$E10*SIN($K$43)-($N$42/3)*$F10*SIN($K$43)-($N$42/3)*$G10*SIN($K$43)</f>
        <v>356782.3821588424</v>
      </c>
      <c r="AQ10" s="79">
        <f>IF(($A10&lt;'Alternative 1'!$B$27),(($H10*'Alternative 1'!$B$39)+(3*($N$42/3)*COS($K$43))),IF(($A10&lt;'Alternative 1'!$B$28),(($H10*'Alternative 1'!$B$39)+(2*(($N$42/3)*COS($K$43)))),IF(($A10&lt;'Alternative 1'!$B$29),(($H$3*'Alternative 1'!$B$39+(($N$42/3)*COS($K$43)))),($H10*'Alternative 1'!$B$39))))</f>
        <v>444676.42110413074</v>
      </c>
      <c r="AR10" s="78">
        <f>AP10*'Alternative 1'!$K11/'Alternative 1'!$L11</f>
        <v>5931322.741410478</v>
      </c>
      <c r="AS10" s="78">
        <f>AQ10/'Alternative 1'!$M11</f>
        <v>147850.17323218141</v>
      </c>
      <c r="AT10" s="78">
        <f t="shared" si="6"/>
        <v>6.0791729146426592</v>
      </c>
      <c r="AV10" s="78">
        <f>'Alternative 1'!$B$39*$B10*$C10*COS($K$53)-($N$52/3)*$E10*SIN($K$53)-($N$52/3)*$F10*SIN($K$53)-($N$52/3)*$G10*SIN($K$53)</f>
        <v>299792.69357839413</v>
      </c>
      <c r="AW10" s="79">
        <f>IF(($A10&lt;'Alternative 1'!$B$27),(($H10*'Alternative 1'!$B$39)+(3*($N$52/3)*COS($K$53))),IF(($A10&lt;'Alternative 1'!$B$28),(($H10*'Alternative 1'!$B$39)+(2*(($N$52/3)*COS($K$53)))),IF(($A10&lt;'Alternative 1'!$B$29),(($H$3*'Alternative 1'!$B$39+(($N$52/3)*COS($K$53)))),($H10*'Alternative 1'!$B$39))))</f>
        <v>363597.78678198956</v>
      </c>
      <c r="AX10" s="78">
        <f>AV10*'Alternative 1'!$K11/'Alternative 1'!$L11</f>
        <v>4983898.6173330089</v>
      </c>
      <c r="AY10" s="78">
        <f>AW10/'Alternative 1'!$M11</f>
        <v>120892.3909864029</v>
      </c>
      <c r="AZ10" s="78">
        <f t="shared" si="7"/>
        <v>5.1047910083194115</v>
      </c>
      <c r="BB10" s="78">
        <f>'Alternative 1'!$B$39*$B10*$C10*COS($K$63)-($N$62/3)*$E10*SIN($K$63)-($N$62/3)*$F10*SIN($K$63)-($N$62/3)*$G10*SIN($K$63)</f>
        <v>226049.1165268867</v>
      </c>
      <c r="BC10" s="79">
        <f>IF(($A10&lt;'Alternative 1'!$B$27),(($H10*'Alternative 1'!$B$39)+(3*($N$62/3)*COS($K$63))),IF(($A10&lt;'Alternative 1'!$B$28),(($H10*'Alternative 1'!$B$39)+(2*(($N$62/3)*COS($K$63)))),IF(($A10&lt;'Alternative 1'!$B$29),(($H$3*'Alternative 1'!$B$39+(($N$62/3)*COS($K$63)))),($H10*'Alternative 1'!$B$39))))</f>
        <v>309505.328169727</v>
      </c>
      <c r="BD10" s="78">
        <f>BB10*'Alternative 1'!$K11/'Alternative 1'!$L11</f>
        <v>3757949.7547464338</v>
      </c>
      <c r="BE10" s="78">
        <f>BC10/'Alternative 1'!$M11</f>
        <v>102907.22470185008</v>
      </c>
      <c r="BF10" s="78">
        <f t="shared" si="8"/>
        <v>3.8608569794482839</v>
      </c>
      <c r="BH10" s="78">
        <f>'Alternative 1'!$B$39*$B10*$C10*COS($K$73)-($N$72/3)*$E10*SIN($K$73)-($N$72/3)*$F10*SIN($K$73)-($N$72/3)*$G10*SIN($K$73)</f>
        <v>140282.6205209106</v>
      </c>
      <c r="BI10" s="79">
        <f>IF(($A10&lt;'Alternative 1'!$B$27),(($H10*'Alternative 1'!$B$39)+(3*($N$72/3)*COS($K$73))),IF(($A10&lt;'Alternative 1'!$B$28),(($H10*'Alternative 1'!$B$39)+(2*(($N$72/3)*COS($K$73)))),IF(($A10&lt;'Alternative 1'!$B$29),(($H$3*'Alternative 1'!$B$39+(($N$72/3)*COS($K$73)))),($H10*'Alternative 1'!$B$39))))</f>
        <v>274088.91977969615</v>
      </c>
      <c r="BJ10" s="78">
        <f>BH10*'Alternative 1'!$K11/'Alternative 1'!$L11</f>
        <v>2332126.0772060566</v>
      </c>
      <c r="BK10" s="78">
        <f>BI10/'Alternative 1'!$M11</f>
        <v>91131.646175050832</v>
      </c>
      <c r="BL10" s="78">
        <f t="shared" si="9"/>
        <v>2.423257723381107</v>
      </c>
      <c r="BN10" s="78">
        <f>'Alternative 1'!$B$39*$B10*$C10*COS($K$83)-($N$82/3)*$E10*SIN($K$83)-($N$82/3)*$F10*SIN($K$83)-($N$82/3)*$G10*SIN($K$83)</f>
        <v>46289.885322228016</v>
      </c>
      <c r="BO10" s="79">
        <f>IF(($A10&lt;'Alternative 1'!$B$27),(($H10*'Alternative 1'!$B$39)+(3*($N$82/3)*COS($K$83))),IF(($A10&lt;'Alternative 1'!$B$28),(($H10*'Alternative 1'!$B$39)+(2*(($N$82/3)*COS($K$83)))),IF(($A10&lt;'Alternative 1'!$B$29),(($H$3*'Alternative 1'!$B$39+(($N$82/3)*COS($K$83)))),($H10*'Alternative 1'!$B$39))))</f>
        <v>253665.44153987436</v>
      </c>
      <c r="BP10" s="78">
        <f>BN10*'Alternative 1'!$K11/'Alternative 1'!$L11</f>
        <v>769545.42387347389</v>
      </c>
      <c r="BQ10" s="78">
        <f>BO10/'Alternative 1'!$M11</f>
        <v>84341.057215412176</v>
      </c>
      <c r="BR10" s="78">
        <f t="shared" si="10"/>
        <v>0.85388648108888598</v>
      </c>
      <c r="BT10" s="78">
        <f>'Alternative 1'!$B$39*$B10*$C10*COS($K$93)-($K$92/3)*$E10*SIN($K$93)-($K$92/3)*$F10*SIN($K$93)-($K$92/3)*$G10*SIN($K$93)</f>
        <v>-22.264583491055298</v>
      </c>
      <c r="BU10" s="79">
        <f>IF(($A10&lt;'Alternative 1'!$B$27),(($H10*'Alternative 1'!$B$39)+(3*($N$92/3)*COS($K$93))),IF(($A10&lt;'Alternative 1'!$B$28),(($H10*'Alternative 1'!$B$39)+(2*(($N$92/3)*COS($K$93)))),IF(($A10&lt;'Alternative 1'!$B$29),(($H$3*'Alternative 1'!$B$39+(($N$92/3)*COS($K$93)))),($H10*'Alternative 1'!$B$39))))</f>
        <v>246596.59144792598</v>
      </c>
      <c r="BV10" s="78">
        <f>BT10*'Alternative 1'!$K11/'Alternative 1'!$L11</f>
        <v>-370.13719564699551</v>
      </c>
      <c r="BW10" s="78">
        <f>BU10/'Alternative 1'!$M11</f>
        <v>81990.739858688306</v>
      </c>
      <c r="BX10" s="78">
        <f t="shared" si="11"/>
        <v>8.1620602663041317E-2</v>
      </c>
      <c r="BZ10" s="77">
        <v>150</v>
      </c>
      <c r="CA10" s="77">
        <v>-150</v>
      </c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</row>
    <row r="11" spans="1:115" ht="15" customHeight="1" x14ac:dyDescent="0.25">
      <c r="A11" s="89">
        <f>IF('Alternative 1'!F12&gt;0,'Alternative 1'!F12,"x")</f>
        <v>9</v>
      </c>
      <c r="B11" s="89">
        <f t="shared" si="17"/>
        <v>28</v>
      </c>
      <c r="C11" s="89">
        <f t="shared" si="12"/>
        <v>14</v>
      </c>
      <c r="D11" s="89">
        <f t="shared" si="13"/>
        <v>9</v>
      </c>
      <c r="E11" s="74">
        <f>IF($A11&lt;='Alternative 1'!$B$27, IF($A11='Alternative 1'!$B$27,0,E12+1),0)</f>
        <v>7</v>
      </c>
      <c r="F11" s="74">
        <f>IF($A11&lt;=('Alternative 1'!$B$28), IF($A11=ROUNDDOWN('Alternative 1'!$B$28,0),0,F12+1),0)</f>
        <v>13</v>
      </c>
      <c r="G11" s="74">
        <f>IF($A11&lt;=('Alternative 1'!$B$29), IF($A11=ROUNDDOWN('Alternative 1'!$B$29,0),0,G12+1),0)</f>
        <v>20</v>
      </c>
      <c r="H11" s="89">
        <f t="shared" si="14"/>
        <v>28</v>
      </c>
      <c r="J11" s="77">
        <f t="shared" si="15"/>
        <v>8</v>
      </c>
      <c r="K11" s="77">
        <f t="shared" si="16"/>
        <v>0.13962634015954636</v>
      </c>
      <c r="L11" s="78">
        <f>'Alternative 1'!$B$27*SIN(K11)+'Alternative 1'!$B$28*SIN(K11)+'Alternative 1'!$B$29*SIN(K11)</f>
        <v>9.4637708652844506</v>
      </c>
      <c r="M11" s="77">
        <f>(('Alternative 1'!$B$27)*(((('Alternative 1'!$B$28-'Alternative 1'!$B$27)/2)+'Alternative 1'!$B$27)*'Alternative 1'!$B$39)*COS('Alternative 1-Tilt Up'!K11))+(('Alternative 1'!$B$28)*((('Alternative 1'!$B$28-'Alternative 1'!$B$27)/2)+(('Alternative 1'!$B$29-'Alternative 1'!$B$28)/2))*('Alternative 1'!$B$39)*COS('Alternative 1-Tilt Up'!K11))+(('Alternative 1'!$B$29)*((('Alternative 1'!$B$12-'Alternative 1'!$B$29+(('Alternative 1'!$B$29-'Alternative 1'!$B$28)/2)*('Alternative 1'!$B$39)*COS('Alternative 1-Tilt Up'!K11)))))</f>
        <v>4699925.4873183202</v>
      </c>
      <c r="N11" s="77">
        <f t="shared" si="0"/>
        <v>1489868.7492188313</v>
      </c>
      <c r="O11" s="77">
        <f>(((('Alternative 1'!$B$28-'Alternative 1'!$B$27)/2)+'Alternative 1'!$B$27)*('Alternative 1'!$B$39)*COS('Alternative 1-Tilt Up'!K11))+(((('Alternative 1'!$B$28-'Alternative 1'!$B$27)/2)+(('Alternative 1'!$B$29-'Alternative 1'!$B$28)/2))*('Alternative 1'!$B$39)*COS('Alternative 1-Tilt Up'!K11))+(((('Alternative 1'!$B$12-'Alternative 1'!$B$29)+(('Alternative 1'!$B$29-'Alternative 1'!$B$28)/2))*('Alternative 1'!$B$39)*COS('Alternative 1-Tilt Up'!K11)))</f>
        <v>303140.76873690006</v>
      </c>
      <c r="P11" s="77">
        <f t="shared" si="1"/>
        <v>1475369.4489673511</v>
      </c>
      <c r="R11" s="78">
        <f>'Alternative 1'!$B$39*$B11*$C11*COS($K$5)-($N$5/3)*$E11*SIN($K$5)-($N$5/3)*$F11*SIN($K$5)-($N$5/3)*$G11*SIN($K$5)</f>
        <v>541144.89075494837</v>
      </c>
      <c r="S11" s="79">
        <f>IF(($A11&lt;'Alternative 1'!$B$27),(($H11*'Alternative 1'!$B$39)+(3*($N$5/3)*COS($K$5))),IF(($A11&lt;'Alternative 1'!$B$28),(($H11*'Alternative 1'!$B$39)+(2*(($N$5/3)*COS($K$5)))),IF(($A11&lt;'Alternative 1'!$B$29),(($H$3*'Alternative 1'!$B$39+(($N$5/3)*COS($K$5)))),($H11*'Alternative 1'!$B$39))))</f>
        <v>6230508.8919321187</v>
      </c>
      <c r="T11" s="78">
        <f>R11*'Alternative 1'!$K12/'Alternative 1'!$L12</f>
        <v>9181947.6163110603</v>
      </c>
      <c r="U11" s="78">
        <f>S11/'Alternative 1'!$M12</f>
        <v>2114337.6798425773</v>
      </c>
      <c r="V11" s="78">
        <f t="shared" si="2"/>
        <v>11.296285296153638</v>
      </c>
      <c r="X11" s="78">
        <f>'Alternative 1'!$B$39*$B11*$C11*COS($K$13)-($N$12/3)*$E11*SIN($K$13)-($N$12/3)*$F11*SIN($K$13)-($N$12/3)*$G11*SIN($K$13)</f>
        <v>221780.06594822835</v>
      </c>
      <c r="Y11" s="79">
        <f>IF(($A11&lt;'Alternative 1'!$B$27),(($H11*'Alternative 1'!$B$39)+(3*($N$12/3)*COS($K$13))),IF(($A11&lt;'Alternative 1'!$B$28),(($H11*'Alternative 1'!$B$39)+(2*(($N$12/3)*COS($K$13)))),IF(($A11&lt;'Alternative 1'!$B$29),(($H$3*'Alternative 1'!$B$39+(($N$12/3)*COS($K$13)))),($H11*'Alternative 1'!$B$39))))</f>
        <v>1540028.9467350419</v>
      </c>
      <c r="Z11" s="78">
        <f>X11*'Alternative 1'!$K12/'Alternative 1'!$L12</f>
        <v>3763082.6469371477</v>
      </c>
      <c r="AA11" s="78">
        <f>Y11/'Alternative 1'!$M12</f>
        <v>522612.40399585199</v>
      </c>
      <c r="AB11" s="78">
        <f t="shared" si="3"/>
        <v>4.2856950509329996</v>
      </c>
      <c r="AD11" s="78">
        <f>'Alternative 1'!$B$39*$B11*$C11*COS($K$23)-($N$22/3)*$E11*SIN($K$23)-($N$22/3)*$F11*SIN($K$23)-($N$22/3)*$G11*SIN($K$23)</f>
        <v>359154.41600563843</v>
      </c>
      <c r="AE11" s="79">
        <f>IF(($A11&lt;'Alternative 1'!$B$27),(($H11*'Alternative 1'!$B$39)+(3*($N$22/3)*COS($K$23))),IF(($A11&lt;'Alternative 1'!$B$28),(($H11*'Alternative 1'!$B$39)+(2*(($N$22/3)*COS($K$23)))),IF(($A11&lt;'Alternative 1'!$B$29),(($H$3*'Alternative 1'!$B$39+(($N$22/3)*COS($K$23)))),($H11*'Alternative 1'!$B$39))))</f>
        <v>809526.31586655427</v>
      </c>
      <c r="AF11" s="78">
        <f>AD11*'Alternative 1'!$K12/'Alternative 1'!$L12</f>
        <v>6094000.1287453836</v>
      </c>
      <c r="AG11" s="78">
        <f>AE11/'Alternative 1'!$M12</f>
        <v>274714.63762408955</v>
      </c>
      <c r="AH11" s="78">
        <f t="shared" si="4"/>
        <v>6.3687147663694734</v>
      </c>
      <c r="AJ11" s="78">
        <f>'Alternative 1'!$B$39*$B11*$C11*COS($K$33)-($N$32/3)*$E11*SIN($K$33)-($N$32/3)*$F11*SIN($K$33)-($N$32/3)*$G11*SIN($K$33)</f>
        <v>368414.4134180604</v>
      </c>
      <c r="AK11" s="79">
        <f>IF(($A11&lt;'Alternative 1'!$B$27),(($H11*'Alternative 1'!$B$39)+(3*($N$32/3)*COS($K$33))),IF(($A11&lt;'Alternative 1'!$B$28),(($H11*'Alternative 1'!$B$39)+(2*(($N$32/3)*COS($K$33)))),IF(($A11&lt;'Alternative 1'!$B$29),(($H$3*'Alternative 1'!$B$39+(($N$32/3)*COS($K$33)))),($H11*'Alternative 1'!$B$39))))</f>
        <v>565231.71015292418</v>
      </c>
      <c r="AL11" s="78">
        <f>AJ11*'Alternative 1'!$K12/'Alternative 1'!$L12</f>
        <v>6251120.3614605386</v>
      </c>
      <c r="AM11" s="78">
        <f>AK11/'Alternative 1'!$M12</f>
        <v>191812.69513405362</v>
      </c>
      <c r="AN11" s="78">
        <f t="shared" si="5"/>
        <v>6.4429330565945921</v>
      </c>
      <c r="AP11" s="78">
        <f>'Alternative 1'!$B$39*$B11*$C11*COS($K$43)-($N$42/3)*$E11*SIN($K$43)-($N$42/3)*$F11*SIN($K$43)-($N$42/3)*$G11*SIN($K$43)</f>
        <v>337344.11022678809</v>
      </c>
      <c r="AQ11" s="79">
        <f>IF(($A11&lt;'Alternative 1'!$B$27),(($H11*'Alternative 1'!$B$39)+(3*($N$42/3)*COS($K$43))),IF(($A11&lt;'Alternative 1'!$B$28),(($H11*'Alternative 1'!$B$39)+(2*(($N$42/3)*COS($K$43)))),IF(($A11&lt;'Alternative 1'!$B$29),(($H$3*'Alternative 1'!$B$39+(($N$42/3)*COS($K$43)))),($H11*'Alternative 1'!$B$39))))</f>
        <v>436173.0903645471</v>
      </c>
      <c r="AR11" s="78">
        <f>AP11*'Alternative 1'!$K12/'Alternative 1'!$L12</f>
        <v>5723930.8763539465</v>
      </c>
      <c r="AS11" s="78">
        <f>AQ11/'Alternative 1'!$M12</f>
        <v>148016.35241790948</v>
      </c>
      <c r="AT11" s="78">
        <f t="shared" si="6"/>
        <v>5.8719472287718562</v>
      </c>
      <c r="AV11" s="78">
        <f>'Alternative 1'!$B$39*$B11*$C11*COS($K$53)-($N$52/3)*$E11*SIN($K$53)-($N$52/3)*$F11*SIN($K$53)-($N$52/3)*$G11*SIN($K$53)</f>
        <v>283452.97270215664</v>
      </c>
      <c r="AW11" s="79">
        <f>IF(($A11&lt;'Alternative 1'!$B$27),(($H11*'Alternative 1'!$B$39)+(3*($N$52/3)*COS($K$53))),IF(($A11&lt;'Alternative 1'!$B$28),(($H11*'Alternative 1'!$B$39)+(2*(($N$52/3)*COS($K$53)))),IF(($A11&lt;'Alternative 1'!$B$29),(($H$3*'Alternative 1'!$B$39+(($N$52/3)*COS($K$53)))),($H11*'Alternative 1'!$B$39))))</f>
        <v>355094.45604240592</v>
      </c>
      <c r="AX11" s="78">
        <f>AV11*'Alternative 1'!$K12/'Alternative 1'!$L12</f>
        <v>4809525.8617482409</v>
      </c>
      <c r="AY11" s="78">
        <f>AW11/'Alternative 1'!$M12</f>
        <v>120502.12933422813</v>
      </c>
      <c r="AZ11" s="78">
        <f t="shared" si="7"/>
        <v>4.9300279910824694</v>
      </c>
      <c r="BB11" s="78">
        <f>'Alternative 1'!$B$39*$B11*$C11*COS($K$63)-($N$62/3)*$E11*SIN($K$63)-($N$62/3)*$F11*SIN($K$63)-($N$62/3)*$G11*SIN($K$63)</f>
        <v>213837.78172995278</v>
      </c>
      <c r="BC11" s="79">
        <f>IF(($A11&lt;'Alternative 1'!$B$27),(($H11*'Alternative 1'!$B$39)+(3*($N$62/3)*COS($K$63))),IF(($A11&lt;'Alternative 1'!$B$28),(($H11*'Alternative 1'!$B$39)+(2*(($N$62/3)*COS($K$63)))),IF(($A11&lt;'Alternative 1'!$B$29),(($H$3*'Alternative 1'!$B$39+(($N$62/3)*COS($K$63)))),($H11*'Alternative 1'!$B$39))))</f>
        <v>301001.99743014335</v>
      </c>
      <c r="BD11" s="78">
        <f>BB11*'Alternative 1'!$K12/'Alternative 1'!$L12</f>
        <v>3628320.8873937433</v>
      </c>
      <c r="BE11" s="78">
        <f>BC11/'Alternative 1'!$M12</f>
        <v>102145.72772675604</v>
      </c>
      <c r="BF11" s="78">
        <f t="shared" si="8"/>
        <v>3.7304666151204993</v>
      </c>
      <c r="BH11" s="78">
        <f>'Alternative 1'!$B$39*$B11*$C11*COS($K$73)-($N$72/3)*$E11*SIN($K$73)-($N$72/3)*$F11*SIN($K$73)-($N$72/3)*$G11*SIN($K$73)</f>
        <v>132930.32546918961</v>
      </c>
      <c r="BI11" s="79">
        <f>IF(($A11&lt;'Alternative 1'!$B$27),(($H11*'Alternative 1'!$B$39)+(3*($N$72/3)*COS($K$73))),IF(($A11&lt;'Alternative 1'!$B$28),(($H11*'Alternative 1'!$B$39)+(2*(($N$72/3)*COS($K$73)))),IF(($A11&lt;'Alternative 1'!$B$29),(($H$3*'Alternative 1'!$B$39+(($N$72/3)*COS($K$73)))),($H11*'Alternative 1'!$B$39))))</f>
        <v>265585.58904011251</v>
      </c>
      <c r="BJ11" s="78">
        <f>BH11*'Alternative 1'!$K12/'Alternative 1'!$L12</f>
        <v>2255512.9059326109</v>
      </c>
      <c r="BK11" s="78">
        <f>BI11/'Alternative 1'!$M12</f>
        <v>90127.087188308215</v>
      </c>
      <c r="BL11" s="78">
        <f t="shared" si="9"/>
        <v>2.3456399931209191</v>
      </c>
      <c r="BN11" s="78">
        <f>'Alternative 1'!$B$39*$B11*$C11*COS($K$83)-($N$82/3)*$E11*SIN($K$83)-($N$82/3)*$F11*SIN($K$83)-($N$82/3)*$G11*SIN($K$83)</f>
        <v>44296.571554003109</v>
      </c>
      <c r="BO11" s="79">
        <f>IF(($A11&lt;'Alternative 1'!$B$27),(($H11*'Alternative 1'!$B$39)+(3*($N$82/3)*COS($K$83))),IF(($A11&lt;'Alternative 1'!$B$28),(($H11*'Alternative 1'!$B$39)+(2*(($N$82/3)*COS($K$83)))),IF(($A11&lt;'Alternative 1'!$B$29),(($H$3*'Alternative 1'!$B$39+(($N$82/3)*COS($K$83)))),($H11*'Alternative 1'!$B$39))))</f>
        <v>245162.11080029071</v>
      </c>
      <c r="BP11" s="78">
        <f>BN11*'Alternative 1'!$K12/'Alternative 1'!$L12</f>
        <v>751607.94556076452</v>
      </c>
      <c r="BQ11" s="78">
        <f>BO11/'Alternative 1'!$M12</f>
        <v>83196.33235834293</v>
      </c>
      <c r="BR11" s="78">
        <f t="shared" si="10"/>
        <v>0.8348042779191075</v>
      </c>
      <c r="BT11" s="78">
        <f>'Alternative 1'!$B$39*$B11*$C11*COS($K$93)-($K$92/3)*$E11*SIN($K$93)-($K$92/3)*$F11*SIN($K$93)-($K$92/3)*$G11*SIN($K$93)</f>
        <v>-20.711240456795188</v>
      </c>
      <c r="BU11" s="79">
        <f>IF(($A11&lt;'Alternative 1'!$B$27),(($H11*'Alternative 1'!$B$39)+(3*($N$92/3)*COS($K$93))),IF(($A11&lt;'Alternative 1'!$B$28),(($H11*'Alternative 1'!$B$39)+(2*(($N$92/3)*COS($K$93)))),IF(($A11&lt;'Alternative 1'!$B$29),(($H$3*'Alternative 1'!$B$39+(($N$92/3)*COS($K$93)))),($H11*'Alternative 1'!$B$39))))</f>
        <v>238093.26070834234</v>
      </c>
      <c r="BV11" s="78">
        <f>BT11*'Alternative 1'!$K12/'Alternative 1'!$L12</f>
        <v>-351.42071595245272</v>
      </c>
      <c r="BW11" s="78">
        <f>BU11/'Alternative 1'!$M12</f>
        <v>80797.501642938834</v>
      </c>
      <c r="BX11" s="78">
        <f t="shared" si="11"/>
        <v>8.044608092698638E-2</v>
      </c>
      <c r="BZ11" s="77">
        <v>150</v>
      </c>
      <c r="CA11" s="77">
        <v>-150</v>
      </c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</row>
    <row r="12" spans="1:115" ht="15" customHeight="1" x14ac:dyDescent="0.25">
      <c r="A12" s="89">
        <f>IF('Alternative 1'!F13&gt;0,'Alternative 1'!F13,"x")</f>
        <v>10</v>
      </c>
      <c r="B12" s="89">
        <f t="shared" si="17"/>
        <v>27</v>
      </c>
      <c r="C12" s="89">
        <f t="shared" si="12"/>
        <v>13.5</v>
      </c>
      <c r="D12" s="89">
        <f t="shared" si="13"/>
        <v>10</v>
      </c>
      <c r="E12" s="74">
        <f>IF($A12&lt;='Alternative 1'!$B$27, IF($A12='Alternative 1'!$B$27,0,E13+1),0)</f>
        <v>6</v>
      </c>
      <c r="F12" s="74">
        <f>IF($A12&lt;=('Alternative 1'!$B$28), IF($A12=ROUNDDOWN('Alternative 1'!$B$28,0),0,F13+1),0)</f>
        <v>12</v>
      </c>
      <c r="G12" s="74">
        <f>IF($A12&lt;=('Alternative 1'!$B$29), IF($A12=ROUNDDOWN('Alternative 1'!$B$29,0),0,G13+1),0)</f>
        <v>19</v>
      </c>
      <c r="H12" s="89">
        <f t="shared" si="14"/>
        <v>27</v>
      </c>
      <c r="J12" s="77">
        <f t="shared" si="15"/>
        <v>9</v>
      </c>
      <c r="K12" s="77">
        <f t="shared" si="16"/>
        <v>0.15707963267948966</v>
      </c>
      <c r="L12" s="78">
        <f>'Alternative 1'!$B$27*SIN(K12)+'Alternative 1'!$B$28*SIN(K12)+'Alternative 1'!$B$29*SIN(K12)</f>
        <v>10.637543622735699</v>
      </c>
      <c r="M12" s="77">
        <f>(('Alternative 1'!$B$27)*(((('Alternative 1'!$B$28-'Alternative 1'!$B$27)/2)+'Alternative 1'!$B$27)*'Alternative 1'!$B$39)*COS('Alternative 1-Tilt Up'!K12))+(('Alternative 1'!$B$28)*((('Alternative 1'!$B$28-'Alternative 1'!$B$27)/2)+(('Alternative 1'!$B$29-'Alternative 1'!$B$28)/2))*('Alternative 1'!$B$39)*COS('Alternative 1-Tilt Up'!K12))+(('Alternative 1'!$B$29)*((('Alternative 1'!$B$12-'Alternative 1'!$B$29+(('Alternative 1'!$B$29-'Alternative 1'!$B$28)/2)*('Alternative 1'!$B$39)*COS('Alternative 1-Tilt Up'!K12)))))</f>
        <v>4687682.3121888591</v>
      </c>
      <c r="N12" s="82">
        <f t="shared" si="0"/>
        <v>1322020.1425552347</v>
      </c>
      <c r="O12" s="77">
        <f>(((('Alternative 1'!$B$28-'Alternative 1'!$B$27)/2)+'Alternative 1'!$B$27)*('Alternative 1'!$B$39)*COS('Alternative 1-Tilt Up'!K12))+(((('Alternative 1'!$B$28-'Alternative 1'!$B$27)/2)+(('Alternative 1'!$B$29-'Alternative 1'!$B$28)/2))*('Alternative 1'!$B$39)*COS('Alternative 1-Tilt Up'!K12))+(((('Alternative 1'!$B$12-'Alternative 1'!$B$29)+(('Alternative 1'!$B$29-'Alternative 1'!$B$28)/2))*('Alternative 1'!$B$39)*COS('Alternative 1-Tilt Up'!K12)))</f>
        <v>302351.0625975962</v>
      </c>
      <c r="P12" s="77">
        <f t="shared" si="1"/>
        <v>1305743.8808337273</v>
      </c>
      <c r="R12" s="78">
        <f>'Alternative 1'!$B$39*$B12*$C12*COS($K$5)-($N$5/3)*$E12*SIN($K$5)-($N$5/3)*$F12*SIN($K$5)-($N$5/3)*$G12*SIN($K$5)</f>
        <v>516705.51035480108</v>
      </c>
      <c r="S12" s="79">
        <f>IF(($A12&lt;'Alternative 1'!$B$27),(($H12*'Alternative 1'!$B$39)+(3*($N$5/3)*COS($K$5))),IF(($A12&lt;'Alternative 1'!$B$28),(($H12*'Alternative 1'!$B$39)+(2*(($N$5/3)*COS($K$5)))),IF(($A12&lt;'Alternative 1'!$B$29),(($H$3*'Alternative 1'!$B$39+(($N$5/3)*COS($K$5)))),($H12*'Alternative 1'!$B$39))))</f>
        <v>6222005.5611925349</v>
      </c>
      <c r="T12" s="78">
        <f>R12*'Alternative 1'!$K13/'Alternative 1'!$L13</f>
        <v>8950123.2173660677</v>
      </c>
      <c r="U12" s="78">
        <f>S12/'Alternative 1'!$M13</f>
        <v>2155489.4282325506</v>
      </c>
      <c r="V12" s="78">
        <f t="shared" si="2"/>
        <v>11.105612645598619</v>
      </c>
      <c r="X12" s="78">
        <f>'Alternative 1'!$B$39*$B12*$C12*COS($K$13)-($N$12/3)*$E12*SIN($K$13)-($N$12/3)*$F12*SIN($K$13)-($N$12/3)*$G12*SIN($K$13)</f>
        <v>221057.43847577181</v>
      </c>
      <c r="Y12" s="79">
        <f>IF(($A12&lt;'Alternative 1'!$B$27),(($H12*'Alternative 1'!$B$39)+(3*($N$12/3)*COS($K$13))),IF(($A12&lt;'Alternative 1'!$B$28),(($H12*'Alternative 1'!$B$39)+(2*(($N$12/3)*COS($K$13)))),IF(($A12&lt;'Alternative 1'!$B$29),(($H$3*'Alternative 1'!$B$39+(($N$12/3)*COS($K$13)))),($H12*'Alternative 1'!$B$39))))</f>
        <v>1531525.6159954583</v>
      </c>
      <c r="Z12" s="78">
        <f>X12*'Alternative 1'!$K13/'Alternative 1'!$L13</f>
        <v>3829050.1510520475</v>
      </c>
      <c r="AA12" s="78">
        <f>Y12/'Alternative 1'!$M13</f>
        <v>530566.42940589669</v>
      </c>
      <c r="AB12" s="78">
        <f t="shared" si="3"/>
        <v>4.3596165804579448</v>
      </c>
      <c r="AD12" s="78">
        <f>'Alternative 1'!$B$39*$B12*$C12*COS($K$23)-($N$22/3)*$E12*SIN($K$23)-($N$22/3)*$F12*SIN($K$23)-($N$22/3)*$G12*SIN($K$23)</f>
        <v>347399.81738658366</v>
      </c>
      <c r="AE12" s="79">
        <f>IF(($A12&lt;'Alternative 1'!$B$27),(($H12*'Alternative 1'!$B$39)+(3*($N$22/3)*COS($K$23))),IF(($A12&lt;'Alternative 1'!$B$28),(($H12*'Alternative 1'!$B$39)+(2*(($N$22/3)*COS($K$23)))),IF(($A12&lt;'Alternative 1'!$B$29),(($H$3*'Alternative 1'!$B$39+(($N$22/3)*COS($K$23)))),($H12*'Alternative 1'!$B$39))))</f>
        <v>801022.98512697057</v>
      </c>
      <c r="AF12" s="78">
        <f>AD12*'Alternative 1'!$K13/'Alternative 1'!$L13</f>
        <v>6017491.7994688731</v>
      </c>
      <c r="AG12" s="78">
        <f>AE12/'Alternative 1'!$M13</f>
        <v>277498.39810196799</v>
      </c>
      <c r="AH12" s="78">
        <f t="shared" si="4"/>
        <v>6.2949901975708409</v>
      </c>
      <c r="AJ12" s="78">
        <f>'Alternative 1'!$B$39*$B12*$C12*COS($K$33)-($N$32/3)*$E12*SIN($K$33)-($N$32/3)*$F12*SIN($K$33)-($N$32/3)*$G12*SIN($K$33)</f>
        <v>354775.1232425007</v>
      </c>
      <c r="AK12" s="79">
        <f>IF(($A12&lt;'Alternative 1'!$B$27),(($H12*'Alternative 1'!$B$39)+(3*($N$32/3)*COS($K$33))),IF(($A12&lt;'Alternative 1'!$B$28),(($H12*'Alternative 1'!$B$39)+(2*(($N$32/3)*COS($K$33)))),IF(($A12&lt;'Alternative 1'!$B$29),(($H$3*'Alternative 1'!$B$39+(($N$32/3)*COS($K$33)))),($H12*'Alternative 1'!$B$39))))</f>
        <v>556728.37941334047</v>
      </c>
      <c r="AL12" s="78">
        <f>AJ12*'Alternative 1'!$K13/'Alternative 1'!$L13</f>
        <v>6145243.2843154212</v>
      </c>
      <c r="AM12" s="78">
        <f>AK12/'Alternative 1'!$M13</f>
        <v>192867.41620856005</v>
      </c>
      <c r="AN12" s="78">
        <f t="shared" si="5"/>
        <v>6.3381107005239805</v>
      </c>
      <c r="AP12" s="78">
        <f>'Alternative 1'!$B$39*$B12*$C12*COS($K$43)-($N$42/3)*$E12*SIN($K$43)-($N$42/3)*$F12*SIN($K$43)-($N$42/3)*$G12*SIN($K$43)</f>
        <v>324419.76755579421</v>
      </c>
      <c r="AQ12" s="79">
        <f>IF(($A12&lt;'Alternative 1'!$B$27),(($H12*'Alternative 1'!$B$39)+(3*($N$42/3)*COS($K$43))),IF(($A12&lt;'Alternative 1'!$B$28),(($H12*'Alternative 1'!$B$39)+(2*(($N$42/3)*COS($K$43)))),IF(($A12&lt;'Alternative 1'!$B$29),(($H$3*'Alternative 1'!$B$39+(($N$42/3)*COS($K$43)))),($H12*'Alternative 1'!$B$39))))</f>
        <v>427669.75962496339</v>
      </c>
      <c r="AR12" s="78">
        <f>AP12*'Alternative 1'!$K13/'Alternative 1'!$L13</f>
        <v>5619442.4785209522</v>
      </c>
      <c r="AS12" s="78">
        <f>AQ12/'Alternative 1'!$M13</f>
        <v>148157.63769097012</v>
      </c>
      <c r="AT12" s="78">
        <f t="shared" si="6"/>
        <v>5.7676001162119217</v>
      </c>
      <c r="AV12" s="78">
        <f>'Alternative 1'!$B$39*$B12*$C12*COS($K$53)-($N$52/3)*$E12*SIN($K$53)-($N$52/3)*$F12*SIN($K$53)-($N$52/3)*$G12*SIN($K$53)</f>
        <v>272579.08746638929</v>
      </c>
      <c r="AW12" s="79">
        <f>IF(($A12&lt;'Alternative 1'!$B$27),(($H12*'Alternative 1'!$B$39)+(3*($N$52/3)*COS($K$53))),IF(($A12&lt;'Alternative 1'!$B$28),(($H12*'Alternative 1'!$B$39)+(2*(($N$52/3)*COS($K$53)))),IF(($A12&lt;'Alternative 1'!$B$29),(($H$3*'Alternative 1'!$B$39+(($N$52/3)*COS($K$53)))),($H12*'Alternative 1'!$B$39))))</f>
        <v>346591.12530282221</v>
      </c>
      <c r="AX12" s="78">
        <f>AV12*'Alternative 1'!$K13/'Alternative 1'!$L13</f>
        <v>4721483.2635057438</v>
      </c>
      <c r="AY12" s="78">
        <f>AW12/'Alternative 1'!$M13</f>
        <v>120069.56585976909</v>
      </c>
      <c r="AZ12" s="78">
        <f t="shared" si="7"/>
        <v>4.8415528293655132</v>
      </c>
      <c r="BB12" s="78">
        <f>'Alternative 1'!$B$39*$B12*$C12*COS($K$63)-($N$62/3)*$E12*SIN($K$63)-($N$62/3)*$F12*SIN($K$63)-($N$62/3)*$G12*SIN($K$63)</f>
        <v>205878.11230281054</v>
      </c>
      <c r="BC12" s="79">
        <f>IF(($A12&lt;'Alternative 1'!$B$27),(($H12*'Alternative 1'!$B$39)+(3*($N$62/3)*COS($K$63))),IF(($A12&lt;'Alternative 1'!$B$28),(($H12*'Alternative 1'!$B$39)+(2*(($N$62/3)*COS($K$63)))),IF(($A12&lt;'Alternative 1'!$B$29),(($H$3*'Alternative 1'!$B$39+(($N$62/3)*COS($K$63)))),($H12*'Alternative 1'!$B$39))))</f>
        <v>292498.66669055965</v>
      </c>
      <c r="BD12" s="78">
        <f>BB12*'Alternative 1'!$K13/'Alternative 1'!$L13</f>
        <v>3566121.1965856906</v>
      </c>
      <c r="BE12" s="78">
        <f>BC12/'Alternative 1'!$M13</f>
        <v>101330.31506046708</v>
      </c>
      <c r="BF12" s="78">
        <f t="shared" si="8"/>
        <v>3.6674515116461577</v>
      </c>
      <c r="BH12" s="78">
        <f>'Alternative 1'!$B$39*$B12*$C12*COS($K$73)-($N$72/3)*$E12*SIN($K$73)-($N$72/3)*$F12*SIN($K$73)-($N$72/3)*$G12*SIN($K$73)</f>
        <v>128486.34081576642</v>
      </c>
      <c r="BI12" s="79">
        <f>IF(($A12&lt;'Alternative 1'!$B$27),(($H12*'Alternative 1'!$B$39)+(3*($N$72/3)*COS($K$73))),IF(($A12&lt;'Alternative 1'!$B$28),(($H12*'Alternative 1'!$B$39)+(2*(($N$72/3)*COS($K$73)))),IF(($A12&lt;'Alternative 1'!$B$29),(($H$3*'Alternative 1'!$B$39+(($N$72/3)*COS($K$73)))),($H12*'Alternative 1'!$B$39))))</f>
        <v>257082.2583005288</v>
      </c>
      <c r="BJ12" s="78">
        <f>BH12*'Alternative 1'!$K13/'Alternative 1'!$L13</f>
        <v>2225578.3207343058</v>
      </c>
      <c r="BK12" s="78">
        <f>BI12/'Alternative 1'!$M13</f>
        <v>89061.008464725863</v>
      </c>
      <c r="BL12" s="78">
        <f t="shared" si="9"/>
        <v>2.3146393291990313</v>
      </c>
      <c r="BN12" s="78">
        <f>'Alternative 1'!$B$39*$B12*$C12*COS($K$83)-($N$82/3)*$E12*SIN($K$83)-($N$82/3)*$F12*SIN($K$83)-($N$82/3)*$G12*SIN($K$83)</f>
        <v>43779.845672805706</v>
      </c>
      <c r="BO12" s="79">
        <f>IF(($A12&lt;'Alternative 1'!$B$27),(($H12*'Alternative 1'!$B$39)+(3*($N$82/3)*COS($K$83))),IF(($A12&lt;'Alternative 1'!$B$28),(($H12*'Alternative 1'!$B$39)+(2*(($N$82/3)*COS($K$83)))),IF(($A12&lt;'Alternative 1'!$B$29),(($H$3*'Alternative 1'!$B$39+(($N$82/3)*COS($K$83)))),($H12*'Alternative 1'!$B$39))))</f>
        <v>236658.78006070704</v>
      </c>
      <c r="BP12" s="78">
        <f>BN12*'Alternative 1'!$K13/'Alternative 1'!$L13</f>
        <v>758333.33563604578</v>
      </c>
      <c r="BQ12" s="78">
        <f>BO12/'Alternative 1'!$M13</f>
        <v>81985.702761328866</v>
      </c>
      <c r="BR12" s="78">
        <f t="shared" si="10"/>
        <v>0.84031903839737465</v>
      </c>
      <c r="BT12" s="78">
        <f>'Alternative 1'!$B$39*$B12*$C12*COS($K$93)-($K$92/3)*$E12*SIN($K$93)-($K$92/3)*$F12*SIN($K$93)-($K$92/3)*$G12*SIN($K$93)</f>
        <v>-19.15789742253456</v>
      </c>
      <c r="BU12" s="79">
        <f>IF(($A12&lt;'Alternative 1'!$B$27),(($H12*'Alternative 1'!$B$39)+(3*($N$92/3)*COS($K$93))),IF(($A12&lt;'Alternative 1'!$B$28),(($H12*'Alternative 1'!$B$39)+(2*(($N$92/3)*COS($K$93)))),IF(($A12&lt;'Alternative 1'!$B$29),(($H$3*'Alternative 1'!$B$39+(($N$92/3)*COS($K$93)))),($H12*'Alternative 1'!$B$39))))</f>
        <v>229589.92996875866</v>
      </c>
      <c r="BV12" s="78">
        <f>BT12*'Alternative 1'!$K13/'Alternative 1'!$L13</f>
        <v>-331.84384350692443</v>
      </c>
      <c r="BW12" s="78">
        <f>BU12/'Alternative 1'!$M13</f>
        <v>79536.840976635271</v>
      </c>
      <c r="BX12" s="78">
        <f t="shared" si="11"/>
        <v>7.9204997133128341E-2</v>
      </c>
      <c r="BZ12" s="77">
        <v>150</v>
      </c>
      <c r="CA12" s="77">
        <v>-150</v>
      </c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</row>
    <row r="13" spans="1:115" ht="15" customHeight="1" x14ac:dyDescent="0.25">
      <c r="A13" s="89">
        <f>IF('Alternative 1'!F14&gt;0,'Alternative 1'!F14,"x")</f>
        <v>11</v>
      </c>
      <c r="B13" s="89">
        <f t="shared" si="17"/>
        <v>26</v>
      </c>
      <c r="C13" s="89">
        <f t="shared" si="12"/>
        <v>13</v>
      </c>
      <c r="D13" s="89">
        <f t="shared" si="13"/>
        <v>11</v>
      </c>
      <c r="E13" s="74">
        <f>IF($A13&lt;='Alternative 1'!$B$27, IF($A13='Alternative 1'!$B$27,0,E14+1),0)</f>
        <v>5</v>
      </c>
      <c r="F13" s="74">
        <f>IF($A13&lt;=('Alternative 1'!$B$28), IF($A13=ROUNDDOWN('Alternative 1'!$B$28,0),0,F14+1),0)</f>
        <v>11</v>
      </c>
      <c r="G13" s="74">
        <f>IF($A13&lt;=('Alternative 1'!$B$29), IF($A13=ROUNDDOWN('Alternative 1'!$B$29,0),0,G14+1),0)</f>
        <v>18</v>
      </c>
      <c r="H13" s="89">
        <f t="shared" si="14"/>
        <v>26</v>
      </c>
      <c r="J13" s="77">
        <f t="shared" si="15"/>
        <v>10</v>
      </c>
      <c r="K13" s="82">
        <f t="shared" si="16"/>
        <v>0.17453292519943295</v>
      </c>
      <c r="L13" s="78">
        <f>'Alternative 1'!$B$27*SIN(K13)+'Alternative 1'!$B$28*SIN(K13)+'Alternative 1'!$B$29*SIN(K13)</f>
        <v>11.808076081351263</v>
      </c>
      <c r="M13" s="77">
        <f>(('Alternative 1'!$B$27)*(((('Alternative 1'!$B$28-'Alternative 1'!$B$27)/2)+'Alternative 1'!$B$27)*'Alternative 1'!$B$39)*COS('Alternative 1-Tilt Up'!K13))+(('Alternative 1'!$B$28)*((('Alternative 1'!$B$28-'Alternative 1'!$B$27)/2)+(('Alternative 1'!$B$29-'Alternative 1'!$B$28)/2))*('Alternative 1'!$B$39)*COS('Alternative 1-Tilt Up'!K13))+(('Alternative 1'!$B$29)*((('Alternative 1'!$B$12-'Alternative 1'!$B$29+(('Alternative 1'!$B$29-'Alternative 1'!$B$28)/2)*('Alternative 1'!$B$39)*COS('Alternative 1-Tilt Up'!K13)))))</f>
        <v>4674011.2832076354</v>
      </c>
      <c r="N13" s="77">
        <f t="shared" si="0"/>
        <v>1187495.2153948424</v>
      </c>
      <c r="O13" s="77">
        <f>(((('Alternative 1'!$B$28-'Alternative 1'!$B$27)/2)+'Alternative 1'!$B$27)*('Alternative 1'!$B$39)*COS('Alternative 1-Tilt Up'!K13))+(((('Alternative 1'!$B$28-'Alternative 1'!$B$27)/2)+(('Alternative 1'!$B$29-'Alternative 1'!$B$28)/2))*('Alternative 1'!$B$39)*COS('Alternative 1-Tilt Up'!K13))+(((('Alternative 1'!$B$12-'Alternative 1'!$B$29)+(('Alternative 1'!$B$29-'Alternative 1'!$B$28)/2))*('Alternative 1'!$B$39)*COS('Alternative 1-Tilt Up'!K13)))</f>
        <v>301469.25739568454</v>
      </c>
      <c r="P13" s="82">
        <f t="shared" si="1"/>
        <v>1169454.4947857428</v>
      </c>
      <c r="R13" s="78">
        <f>'Alternative 1'!$B$39*$B13*$C13*COS($K$5)-($N$5/3)*$E13*SIN($K$5)-($N$5/3)*$F13*SIN($K$5)-($N$5/3)*$G13*SIN($K$5)</f>
        <v>500764.28069490311</v>
      </c>
      <c r="S13" s="79">
        <f>IF(($A13&lt;'Alternative 1'!$B$27),(($H13*'Alternative 1'!$B$39)+(3*($N$5/3)*COS($K$5))),IF(($A13&lt;'Alternative 1'!$B$28),(($H13*'Alternative 1'!$B$39)+(2*(($N$5/3)*COS($K$5)))),IF(($A13&lt;'Alternative 1'!$B$29),(($H$3*'Alternative 1'!$B$39+(($N$5/3)*COS($K$5)))),($H13*'Alternative 1'!$B$39))))</f>
        <v>6213502.230452951</v>
      </c>
      <c r="T13" s="78">
        <f>R13*'Alternative 1'!$K14/'Alternative 1'!$L14</f>
        <v>8856812.0215863641</v>
      </c>
      <c r="U13" s="78">
        <f>S13/'Alternative 1'!$M14</f>
        <v>2197911.1059179436</v>
      </c>
      <c r="V13" s="78">
        <f t="shared" si="2"/>
        <v>11.054723127504309</v>
      </c>
      <c r="X13" s="78">
        <f>'Alternative 1'!$B$39*$B13*$C13*COS($K$13)-($N$12/3)*$E13*SIN($K$13)-($N$12/3)*$F13*SIN($K$13)-($N$12/3)*$G13*SIN($K$13)</f>
        <v>228708.95704208501</v>
      </c>
      <c r="Y13" s="79">
        <f>IF(($A13&lt;'Alternative 1'!$B$27),(($H13*'Alternative 1'!$B$39)+(3*($N$12/3)*COS($K$13))),IF(($A13&lt;'Alternative 1'!$B$28),(($H13*'Alternative 1'!$B$39)+(2*(($N$12/3)*COS($K$13)))),IF(($A13&lt;'Alternative 1'!$B$29),(($H$3*'Alternative 1'!$B$39+(($N$12/3)*COS($K$13)))),($H13*'Alternative 1'!$B$39))))</f>
        <v>1523022.2852558745</v>
      </c>
      <c r="Z13" s="78">
        <f>X13*'Alternative 1'!$K14/'Alternative 1'!$L14</f>
        <v>4045081.3252172824</v>
      </c>
      <c r="AA13" s="78">
        <f>Y13/'Alternative 1'!$M14</f>
        <v>538740.869668987</v>
      </c>
      <c r="AB13" s="78">
        <f t="shared" si="3"/>
        <v>4.5838221948862694</v>
      </c>
      <c r="AD13" s="78">
        <f>'Alternative 1'!$B$39*$B13*$C13*COS($K$23)-($N$22/3)*$E13*SIN($K$23)-($N$22/3)*$F13*SIN($K$23)-($N$22/3)*$G13*SIN($K$23)</f>
        <v>343635.73591561825</v>
      </c>
      <c r="AE13" s="79">
        <f>IF(($A13&lt;'Alternative 1'!$B$27),(($H13*'Alternative 1'!$B$39)+(3*($N$22/3)*COS($K$23))),IF(($A13&lt;'Alternative 1'!$B$28),(($H13*'Alternative 1'!$B$39)+(2*(($N$22/3)*COS($K$23)))),IF(($A13&lt;'Alternative 1'!$B$29),(($H$3*'Alternative 1'!$B$39+(($N$22/3)*COS($K$23)))),($H13*'Alternative 1'!$B$39))))</f>
        <v>792519.65438738698</v>
      </c>
      <c r="AF13" s="78">
        <f>AD13*'Alternative 1'!$K14/'Alternative 1'!$L14</f>
        <v>6077744.0289484747</v>
      </c>
      <c r="AG13" s="78">
        <f>AE13/'Alternative 1'!$M14</f>
        <v>280339.12042376597</v>
      </c>
      <c r="AH13" s="78">
        <f t="shared" si="4"/>
        <v>6.3580831493722405</v>
      </c>
      <c r="AJ13" s="78">
        <f>'Alternative 1'!$B$39*$B13*$C13*COS($K$33)-($N$32/3)*$E13*SIN($K$33)-($N$32/3)*$F13*SIN($K$33)-($N$32/3)*$G13*SIN($K$33)</f>
        <v>348499.9335042024</v>
      </c>
      <c r="AK13" s="79">
        <f>IF(($A13&lt;'Alternative 1'!$B$27),(($H13*'Alternative 1'!$B$39)+(3*($N$32/3)*COS($K$33))),IF(($A13&lt;'Alternative 1'!$B$28),(($H13*'Alternative 1'!$B$39)+(2*(($N$32/3)*COS($K$33)))),IF(($A13&lt;'Alternative 1'!$B$29),(($H$3*'Alternative 1'!$B$39+(($N$32/3)*COS($K$33)))),($H13*'Alternative 1'!$B$39))))</f>
        <v>548225.04867375689</v>
      </c>
      <c r="AL13" s="78">
        <f>AJ13*'Alternative 1'!$K14/'Alternative 1'!$L14</f>
        <v>6163775.0925422283</v>
      </c>
      <c r="AM13" s="78">
        <f>AK13/'Alternative 1'!$M14</f>
        <v>193924.43719049206</v>
      </c>
      <c r="AN13" s="78">
        <f t="shared" si="5"/>
        <v>6.3576995297327201</v>
      </c>
      <c r="AP13" s="78">
        <f>'Alternative 1'!$B$39*$B13*$C13*COS($K$43)-($N$42/3)*$E13*SIN($K$43)-($N$42/3)*$F13*SIN($K$43)-($N$42/3)*$G13*SIN($K$43)</f>
        <v>318009.35414586158</v>
      </c>
      <c r="AQ13" s="79">
        <f>IF(($A13&lt;'Alternative 1'!$B$27),(($H13*'Alternative 1'!$B$39)+(3*($N$42/3)*COS($K$43))),IF(($A13&lt;'Alternative 1'!$B$28),(($H13*'Alternative 1'!$B$39)+(2*(($N$42/3)*COS($K$43)))),IF(($A13&lt;'Alternative 1'!$B$29),(($H$3*'Alternative 1'!$B$39+(($N$42/3)*COS($K$43)))),($H13*'Alternative 1'!$B$39))))</f>
        <v>419166.42888537981</v>
      </c>
      <c r="AR13" s="78">
        <f>AP13*'Alternative 1'!$K14/'Alternative 1'!$L14</f>
        <v>5624500.7468733583</v>
      </c>
      <c r="AS13" s="78">
        <f>AQ13/'Alternative 1'!$M14</f>
        <v>148272.3454672326</v>
      </c>
      <c r="AT13" s="78">
        <f t="shared" si="6"/>
        <v>5.7727730923405902</v>
      </c>
      <c r="AV13" s="78">
        <f>'Alternative 1'!$B$39*$B13*$C13*COS($K$53)-($N$52/3)*$E13*SIN($K$53)-($N$52/3)*$F13*SIN($K$53)-($N$52/3)*$G13*SIN($K$53)</f>
        <v>267171.03787109395</v>
      </c>
      <c r="AW13" s="79">
        <f>IF(($A13&lt;'Alternative 1'!$B$27),(($H13*'Alternative 1'!$B$39)+(3*($N$52/3)*COS($K$53))),IF(($A13&lt;'Alternative 1'!$B$28),(($H13*'Alternative 1'!$B$39)+(2*(($N$52/3)*COS($K$53)))),IF(($A13&lt;'Alternative 1'!$B$29),(($H$3*'Alternative 1'!$B$39+(($N$52/3)*COS($K$53)))),($H13*'Alternative 1'!$B$39))))</f>
        <v>338087.79456323857</v>
      </c>
      <c r="AX13" s="78">
        <f>AV13*'Alternative 1'!$K14/'Alternative 1'!$L14</f>
        <v>4725344.3411593856</v>
      </c>
      <c r="AY13" s="78">
        <f>AW13/'Alternative 1'!$M14</f>
        <v>119592.28320606507</v>
      </c>
      <c r="AZ13" s="78">
        <f t="shared" si="7"/>
        <v>4.8449366243654506</v>
      </c>
      <c r="BB13" s="78">
        <f>'Alternative 1'!$B$39*$B13*$C13*COS($K$63)-($N$62/3)*$E13*SIN($K$63)-($N$62/3)*$F13*SIN($K$63)-($N$62/3)*$G13*SIN($K$63)</f>
        <v>202170.10824546067</v>
      </c>
      <c r="BC13" s="79">
        <f>IF(($A13&lt;'Alternative 1'!$B$27),(($H13*'Alternative 1'!$B$39)+(3*($N$62/3)*COS($K$63))),IF(($A13&lt;'Alternative 1'!$B$28),(($H13*'Alternative 1'!$B$39)+(2*(($N$62/3)*COS($K$63)))),IF(($A13&lt;'Alternative 1'!$B$29),(($H$3*'Alternative 1'!$B$39+(($N$62/3)*COS($K$63)))),($H13*'Alternative 1'!$B$39))))</f>
        <v>283995.335950976</v>
      </c>
      <c r="BD13" s="78">
        <f>BB13*'Alternative 1'!$K14/'Alternative 1'!$L14</f>
        <v>3575699.6138563394</v>
      </c>
      <c r="BE13" s="78">
        <f>BC13/'Alternative 1'!$M14</f>
        <v>100458.07980180689</v>
      </c>
      <c r="BF13" s="78">
        <f t="shared" si="8"/>
        <v>3.6761576936581459</v>
      </c>
      <c r="BH13" s="78">
        <f>'Alternative 1'!$B$39*$B13*$C13*COS($K$73)-($N$72/3)*$E13*SIN($K$73)-($N$72/3)*$F13*SIN($K$73)-($N$72/3)*$G13*SIN($K$73)</f>
        <v>126950.66656064143</v>
      </c>
      <c r="BI13" s="79">
        <f>IF(($A13&lt;'Alternative 1'!$B$27),(($H13*'Alternative 1'!$B$39)+(3*($N$72/3)*COS($K$73))),IF(($A13&lt;'Alternative 1'!$B$28),(($H13*'Alternative 1'!$B$39)+(2*(($N$72/3)*COS($K$73)))),IF(($A13&lt;'Alternative 1'!$B$29),(($H$3*'Alternative 1'!$B$39+(($N$72/3)*COS($K$73)))),($H13*'Alternative 1'!$B$39))))</f>
        <v>248578.92756094516</v>
      </c>
      <c r="BJ13" s="78">
        <f>BH13*'Alternative 1'!$K14/'Alternative 1'!$L14</f>
        <v>2245324.2635085881</v>
      </c>
      <c r="BK13" s="78">
        <f>BI13/'Alternative 1'!$M14</f>
        <v>87930.182579743821</v>
      </c>
      <c r="BL13" s="78">
        <f t="shared" si="9"/>
        <v>2.3332544460883318</v>
      </c>
      <c r="BN13" s="78">
        <f>'Alternative 1'!$B$39*$B13*$C13*COS($K$83)-($N$82/3)*$E13*SIN($K$83)-($N$82/3)*$F13*SIN($K$83)-($N$82/3)*$G13*SIN($K$83)</f>
        <v>44739.707678636478</v>
      </c>
      <c r="BO13" s="79">
        <f>IF(($A13&lt;'Alternative 1'!$B$27),(($H13*'Alternative 1'!$B$39)+(3*($N$82/3)*COS($K$83))),IF(($A13&lt;'Alternative 1'!$B$28),(($H13*'Alternative 1'!$B$39)+(2*(($N$82/3)*COS($K$83)))),IF(($A13&lt;'Alternative 1'!$B$29),(($H$3*'Alternative 1'!$B$39+(($N$82/3)*COS($K$83)))),($H13*'Alternative 1'!$B$39))))</f>
        <v>228155.44932112339</v>
      </c>
      <c r="BP13" s="78">
        <f>BN13*'Alternative 1'!$K14/'Alternative 1'!$L14</f>
        <v>791292.82196512795</v>
      </c>
      <c r="BQ13" s="78">
        <f>BO13/'Alternative 1'!$M14</f>
        <v>80705.756164513354</v>
      </c>
      <c r="BR13" s="78">
        <f t="shared" si="10"/>
        <v>0.87199857812964121</v>
      </c>
      <c r="BT13" s="78">
        <f>'Alternative 1'!$B$39*$B13*$C13*COS($K$93)-($K$92/3)*$E13*SIN($K$93)-($K$92/3)*$F13*SIN($K$93)-($K$92/3)*$G13*SIN($K$93)</f>
        <v>-17.60455438827341</v>
      </c>
      <c r="BU13" s="79">
        <f>IF(($A13&lt;'Alternative 1'!$B$27),(($H13*'Alternative 1'!$B$39)+(3*($N$92/3)*COS($K$93))),IF(($A13&lt;'Alternative 1'!$B$28),(($H13*'Alternative 1'!$B$39)+(2*(($N$92/3)*COS($K$93)))),IF(($A13&lt;'Alternative 1'!$B$29),(($H$3*'Alternative 1'!$B$39+(($N$92/3)*COS($K$93)))),($H13*'Alternative 1'!$B$39))))</f>
        <v>221086.59922917502</v>
      </c>
      <c r="BV13" s="78">
        <f>BT13*'Alternative 1'!$K14/'Alternative 1'!$L14</f>
        <v>-311.36451810093712</v>
      </c>
      <c r="BW13" s="78">
        <f>BU13/'Alternative 1'!$M14</f>
        <v>78205.28162585212</v>
      </c>
      <c r="BX13" s="78">
        <f t="shared" si="11"/>
        <v>7.789391710775119E-2</v>
      </c>
      <c r="BZ13" s="77">
        <v>150</v>
      </c>
      <c r="CA13" s="77">
        <v>-150</v>
      </c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</row>
    <row r="14" spans="1:115" ht="15" customHeight="1" x14ac:dyDescent="0.25">
      <c r="A14" s="89">
        <f>IF('Alternative 1'!F15&gt;0,'Alternative 1'!F15,"x")</f>
        <v>12</v>
      </c>
      <c r="B14" s="89">
        <f t="shared" si="17"/>
        <v>25</v>
      </c>
      <c r="C14" s="89">
        <f t="shared" si="12"/>
        <v>12.5</v>
      </c>
      <c r="D14" s="89">
        <f t="shared" si="13"/>
        <v>12</v>
      </c>
      <c r="E14" s="74">
        <f>IF($A14&lt;='Alternative 1'!$B$27, IF($A14='Alternative 1'!$B$27,0,E15+1),0)</f>
        <v>4</v>
      </c>
      <c r="F14" s="74">
        <f>IF($A14&lt;=('Alternative 1'!$B$28), IF($A14=ROUNDDOWN('Alternative 1'!$B$28,0),0,F15+1),0)</f>
        <v>10</v>
      </c>
      <c r="G14" s="74">
        <f>IF($A14&lt;=('Alternative 1'!$B$29), IF($A14=ROUNDDOWN('Alternative 1'!$B$29,0),0,G15+1),0)</f>
        <v>17</v>
      </c>
      <c r="H14" s="89">
        <f t="shared" si="14"/>
        <v>25</v>
      </c>
      <c r="J14" s="77">
        <f t="shared" si="15"/>
        <v>11</v>
      </c>
      <c r="K14" s="77">
        <f t="shared" si="16"/>
        <v>0.19198621771937624</v>
      </c>
      <c r="L14" s="78">
        <f>'Alternative 1'!$B$27*SIN(K14)+'Alternative 1'!$B$28*SIN(K14)+'Alternative 1'!$B$29*SIN(K14)</f>
        <v>12.975011685605047</v>
      </c>
      <c r="M14" s="77">
        <f>(('Alternative 1'!$B$27)*(((('Alternative 1'!$B$28-'Alternative 1'!$B$27)/2)+'Alternative 1'!$B$27)*'Alternative 1'!$B$39)*COS('Alternative 1-Tilt Up'!K14))+(('Alternative 1'!$B$28)*((('Alternative 1'!$B$28-'Alternative 1'!$B$27)/2)+(('Alternative 1'!$B$29-'Alternative 1'!$B$28)/2))*('Alternative 1'!$B$39)*COS('Alternative 1-Tilt Up'!K14))+(('Alternative 1'!$B$29)*((('Alternative 1'!$B$12-'Alternative 1'!$B$29+(('Alternative 1'!$B$29-'Alternative 1'!$B$28)/2)*('Alternative 1'!$B$39)*COS('Alternative 1-Tilt Up'!K14)))))</f>
        <v>4658916.5647025108</v>
      </c>
      <c r="N14" s="77">
        <f t="shared" si="0"/>
        <v>1077205.1719701996</v>
      </c>
      <c r="O14" s="77">
        <f>(((('Alternative 1'!$B$28-'Alternative 1'!$B$27)/2)+'Alternative 1'!$B$27)*('Alternative 1'!$B$39)*COS('Alternative 1-Tilt Up'!K14))+(((('Alternative 1'!$B$28-'Alternative 1'!$B$27)/2)+(('Alternative 1'!$B$29-'Alternative 1'!$B$28)/2))*('Alternative 1'!$B$39)*COS('Alternative 1-Tilt Up'!K14))+(((('Alternative 1'!$B$12-'Alternative 1'!$B$29)+(('Alternative 1'!$B$29-'Alternative 1'!$B$28)/2))*('Alternative 1'!$B$39)*COS('Alternative 1-Tilt Up'!K14)))</f>
        <v>300495.62173757196</v>
      </c>
      <c r="P14" s="77">
        <f t="shared" si="1"/>
        <v>1057413.8789563635</v>
      </c>
      <c r="R14" s="78">
        <f>'Alternative 1'!$B$39*$B14*$C14*COS($K$5)-($N$5/3)*$E14*SIN($K$5)-($N$5/3)*$F14*SIN($K$5)-($N$5/3)*$G14*SIN($K$5)</f>
        <v>493321.20177525491</v>
      </c>
      <c r="S14" s="79">
        <f>IF(($A14&lt;'Alternative 1'!$B$27),(($H14*'Alternative 1'!$B$39)+(3*($N$5/3)*COS($K$5))),IF(($A14&lt;'Alternative 1'!$B$28),(($H14*'Alternative 1'!$B$39)+(2*(($N$5/3)*COS($K$5)))),IF(($A14&lt;'Alternative 1'!$B$29),(($H$3*'Alternative 1'!$B$39+(($N$5/3)*COS($K$5)))),($H14*'Alternative 1'!$B$39))))</f>
        <v>6204998.8997133682</v>
      </c>
      <c r="T14" s="78">
        <f>R14*'Alternative 1'!$K15/'Alternative 1'!$L15</f>
        <v>8911021.4235530607</v>
      </c>
      <c r="U14" s="78">
        <f>S14/'Alternative 1'!$M15</f>
        <v>2241656.1513549397</v>
      </c>
      <c r="V14" s="78">
        <f t="shared" si="2"/>
        <v>11.152677574907999</v>
      </c>
      <c r="X14" s="78">
        <f>'Alternative 1'!$B$39*$B14*$C14*COS($K$13)-($N$12/3)*$E14*SIN($K$13)-($N$12/3)*$F14*SIN($K$13)-($N$12/3)*$G14*SIN($K$13)</f>
        <v>244734.62164716725</v>
      </c>
      <c r="Y14" s="79">
        <f>IF(($A14&lt;'Alternative 1'!$B$27),(($H14*'Alternative 1'!$B$39)+(3*($N$12/3)*COS($K$13))),IF(($A14&lt;'Alternative 1'!$B$28),(($H14*'Alternative 1'!$B$39)+(2*(($N$12/3)*COS($K$13)))),IF(($A14&lt;'Alternative 1'!$B$29),(($H$3*'Alternative 1'!$B$39+(($N$12/3)*COS($K$13)))),($H14*'Alternative 1'!$B$39))))</f>
        <v>1514518.9545162909</v>
      </c>
      <c r="Z14" s="78">
        <f>X14*'Alternative 1'!$K15/'Alternative 1'!$L15</f>
        <v>4420721.1219285792</v>
      </c>
      <c r="AA14" s="78">
        <f>Y14/'Alternative 1'!$M15</f>
        <v>547144.45330391999</v>
      </c>
      <c r="AB14" s="78">
        <f t="shared" si="3"/>
        <v>4.9678655752324996</v>
      </c>
      <c r="AD14" s="78">
        <f>'Alternative 1'!$B$39*$B14*$C14*COS($K$23)-($N$22/3)*$E14*SIN($K$23)-($N$22/3)*$F14*SIN($K$23)-($N$22/3)*$G14*SIN($K$23)</f>
        <v>347862.17159274127</v>
      </c>
      <c r="AE14" s="79">
        <f>IF(($A14&lt;'Alternative 1'!$B$27),(($H14*'Alternative 1'!$B$39)+(3*($N$22/3)*COS($K$23))),IF(($A14&lt;'Alternative 1'!$B$28),(($H14*'Alternative 1'!$B$39)+(2*(($N$22/3)*COS($K$23)))),IF(($A14&lt;'Alternative 1'!$B$29),(($H$3*'Alternative 1'!$B$39+(($N$22/3)*COS($K$23)))),($H14*'Alternative 1'!$B$39))))</f>
        <v>784016.32364780339</v>
      </c>
      <c r="AF14" s="78">
        <f>AD14*'Alternative 1'!$K15/'Alternative 1'!$L15</f>
        <v>6283547.6203976432</v>
      </c>
      <c r="AG14" s="78">
        <f>AE14/'Alternative 1'!$M15</f>
        <v>283238.56991319836</v>
      </c>
      <c r="AH14" s="78">
        <f t="shared" si="4"/>
        <v>6.5667861903108413</v>
      </c>
      <c r="AJ14" s="78">
        <f>'Alternative 1'!$B$39*$B14*$C14*COS($K$33)-($N$32/3)*$E14*SIN($K$33)-($N$32/3)*$F14*SIN($K$33)-($N$32/3)*$G14*SIN($K$33)</f>
        <v>349588.84420316364</v>
      </c>
      <c r="AK14" s="79">
        <f>IF(($A14&lt;'Alternative 1'!$B$27),(($H14*'Alternative 1'!$B$39)+(3*($N$32/3)*COS($K$33))),IF(($A14&lt;'Alternative 1'!$B$28),(($H14*'Alternative 1'!$B$39)+(2*(($N$32/3)*COS($K$33)))),IF(($A14&lt;'Alternative 1'!$B$29),(($H$3*'Alternative 1'!$B$39+(($N$32/3)*COS($K$33)))),($H14*'Alternative 1'!$B$39))))</f>
        <v>539721.7179341733</v>
      </c>
      <c r="AL14" s="78">
        <f>AJ14*'Alternative 1'!$K15/'Alternative 1'!$L15</f>
        <v>6314737.0697210589</v>
      </c>
      <c r="AM14" s="78">
        <f>AK14/'Alternative 1'!$M15</f>
        <v>194983.19477266687</v>
      </c>
      <c r="AN14" s="78">
        <f t="shared" si="5"/>
        <v>6.5097202644937262</v>
      </c>
      <c r="AP14" s="78">
        <f>'Alternative 1'!$B$39*$B14*$C14*COS($K$43)-($N$42/3)*$E14*SIN($K$43)-($N$42/3)*$F14*SIN($K$43)-($N$42/3)*$G14*SIN($K$43)</f>
        <v>318112.86999699008</v>
      </c>
      <c r="AQ14" s="79">
        <f>IF(($A14&lt;'Alternative 1'!$B$27),(($H14*'Alternative 1'!$B$39)+(3*($N$42/3)*COS($K$43))),IF(($A14&lt;'Alternative 1'!$B$28),(($H14*'Alternative 1'!$B$39)+(2*(($N$42/3)*COS($K$43)))),IF(($A14&lt;'Alternative 1'!$B$29),(($H$3*'Alternative 1'!$B$39+(($N$42/3)*COS($K$43)))),($H14*'Alternative 1'!$B$39))))</f>
        <v>410663.0981457961</v>
      </c>
      <c r="AR14" s="78">
        <f>AP14*'Alternative 1'!$K15/'Alternative 1'!$L15</f>
        <v>5746176.3034919249</v>
      </c>
      <c r="AS14" s="78">
        <f>AQ14/'Alternative 1'!$M15</f>
        <v>148358.68224497599</v>
      </c>
      <c r="AT14" s="78">
        <f t="shared" si="6"/>
        <v>5.8945349857369012</v>
      </c>
      <c r="AV14" s="78">
        <f>'Alternative 1'!$B$39*$B14*$C14*COS($K$53)-($N$52/3)*$E14*SIN($K$53)-($N$52/3)*$F14*SIN($K$53)-($N$52/3)*$G14*SIN($K$53)</f>
        <v>267228.82391626935</v>
      </c>
      <c r="AW14" s="79">
        <f>IF(($A14&lt;'Alternative 1'!$B$27),(($H14*'Alternative 1'!$B$39)+(3*($N$52/3)*COS($K$53))),IF(($A14&lt;'Alternative 1'!$B$28),(($H14*'Alternative 1'!$B$39)+(2*(($N$52/3)*COS($K$53)))),IF(($A14&lt;'Alternative 1'!$B$29),(($H$3*'Alternative 1'!$B$39+(($N$52/3)*COS($K$53)))),($H14*'Alternative 1'!$B$39))))</f>
        <v>329584.46382365492</v>
      </c>
      <c r="AX14" s="78">
        <f>AV14*'Alternative 1'!$K15/'Alternative 1'!$L15</f>
        <v>4827041.2184587568</v>
      </c>
      <c r="AY14" s="78">
        <f>AW14/'Alternative 1'!$M15</f>
        <v>119067.7150249687</v>
      </c>
      <c r="AZ14" s="78">
        <f t="shared" si="7"/>
        <v>4.9461089334837256</v>
      </c>
      <c r="BB14" s="78">
        <f>'Alternative 1'!$B$39*$B14*$C14*COS($K$63)-($N$62/3)*$E14*SIN($K$63)-($N$62/3)*$F14*SIN($K$63)-($N$62/3)*$G14*SIN($K$63)</f>
        <v>202713.76955790236</v>
      </c>
      <c r="BC14" s="79">
        <f>IF(($A14&lt;'Alternative 1'!$B$27),(($H14*'Alternative 1'!$B$39)+(3*($N$62/3)*COS($K$63))),IF(($A14&lt;'Alternative 1'!$B$28),(($H14*'Alternative 1'!$B$39)+(2*(($N$62/3)*COS($K$63)))),IF(($A14&lt;'Alternative 1'!$B$29),(($H$3*'Alternative 1'!$B$39+(($N$62/3)*COS($K$63)))),($H14*'Alternative 1'!$B$39))))</f>
        <v>275492.00521139236</v>
      </c>
      <c r="BD14" s="78">
        <f>BB14*'Alternative 1'!$K15/'Alternative 1'!$L15</f>
        <v>3661684.7945704386</v>
      </c>
      <c r="BE14" s="78">
        <f>BC14/'Alternative 1'!$M15</f>
        <v>99525.939990054161</v>
      </c>
      <c r="BF14" s="78">
        <f t="shared" si="8"/>
        <v>3.761210734560493</v>
      </c>
      <c r="BH14" s="78">
        <f>'Alternative 1'!$B$39*$B14*$C14*COS($K$73)-($N$72/3)*$E14*SIN($K$73)-($N$72/3)*$F14*SIN($K$73)-($N$72/3)*$G14*SIN($K$73)</f>
        <v>128323.30270381423</v>
      </c>
      <c r="BI14" s="79">
        <f>IF(($A14&lt;'Alternative 1'!$B$27),(($H14*'Alternative 1'!$B$39)+(3*($N$72/3)*COS($K$73))),IF(($A14&lt;'Alternative 1'!$B$28),(($H14*'Alternative 1'!$B$39)+(2*(($N$72/3)*COS($K$73)))),IF(($A14&lt;'Alternative 1'!$B$29),(($H$3*'Alternative 1'!$B$39+(($N$72/3)*COS($K$73)))),($H14*'Alternative 1'!$B$39))))</f>
        <v>240075.59682136151</v>
      </c>
      <c r="BJ14" s="78">
        <f>BH14*'Alternative 1'!$K15/'Alternative 1'!$L15</f>
        <v>2317945.5807288005</v>
      </c>
      <c r="BK14" s="78">
        <f>BI14/'Alternative 1'!$M15</f>
        <v>86731.189981302552</v>
      </c>
      <c r="BL14" s="78">
        <f t="shared" si="9"/>
        <v>2.4046767707101031</v>
      </c>
      <c r="BN14" s="78">
        <f>'Alternative 1'!$B$39*$B14*$C14*COS($K$83)-($N$82/3)*$E14*SIN($K$83)-($N$82/3)*$F14*SIN($K$83)-($N$82/3)*$G14*SIN($K$83)</f>
        <v>47176.157571494987</v>
      </c>
      <c r="BO14" s="79">
        <f>IF(($A14&lt;'Alternative 1'!$B$27),(($H14*'Alternative 1'!$B$39)+(3*($N$82/3)*COS($K$83))),IF(($A14&lt;'Alternative 1'!$B$28),(($H14*'Alternative 1'!$B$39)+(2*(($N$82/3)*COS($K$83)))),IF(($A14&lt;'Alternative 1'!$B$29),(($H$3*'Alternative 1'!$B$39+(($N$82/3)*COS($K$83)))),($H14*'Alternative 1'!$B$39))))</f>
        <v>219652.11858153975</v>
      </c>
      <c r="BP14" s="78">
        <f>BN14*'Alternative 1'!$K15/'Alternative 1'!$L15</f>
        <v>852158.28812487388</v>
      </c>
      <c r="BQ14" s="78">
        <f>BO14/'Alternative 1'!$M15</f>
        <v>79352.878338012</v>
      </c>
      <c r="BR14" s="78">
        <f t="shared" si="10"/>
        <v>0.9315111664628859</v>
      </c>
      <c r="BT14" s="78">
        <f>'Alternative 1'!$B$39*$B14*$C14*COS($K$93)-($K$92/3)*$E14*SIN($K$93)-($K$92/3)*$F14*SIN($K$93)-($K$92/3)*$G14*SIN($K$93)</f>
        <v>-16.051211354011741</v>
      </c>
      <c r="BU14" s="79">
        <f>IF(($A14&lt;'Alternative 1'!$B$27),(($H14*'Alternative 1'!$B$39)+(3*($N$92/3)*COS($K$93))),IF(($A14&lt;'Alternative 1'!$B$28),(($H14*'Alternative 1'!$B$39)+(2*(($N$92/3)*COS($K$93)))),IF(($A14&lt;'Alternative 1'!$B$29),(($H$3*'Alternative 1'!$B$39+(($N$92/3)*COS($K$93)))),($H14*'Alternative 1'!$B$39))))</f>
        <v>212583.26848959137</v>
      </c>
      <c r="BV14" s="78">
        <f>BT14*'Alternative 1'!$K15/'Alternative 1'!$L15</f>
        <v>-289.93825470071516</v>
      </c>
      <c r="BW14" s="78">
        <f>BU14/'Alternative 1'!$M15</f>
        <v>76799.141980000073</v>
      </c>
      <c r="BX14" s="78">
        <f t="shared" si="11"/>
        <v>7.650920372529936E-2</v>
      </c>
      <c r="BZ14" s="77">
        <v>150</v>
      </c>
      <c r="CA14" s="77">
        <v>-150</v>
      </c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</row>
    <row r="15" spans="1:115" ht="15" customHeight="1" x14ac:dyDescent="0.25">
      <c r="A15" s="89">
        <f>IF('Alternative 1'!F16&gt;0,'Alternative 1'!F16,"x")</f>
        <v>13</v>
      </c>
      <c r="B15" s="89">
        <f t="shared" si="17"/>
        <v>24</v>
      </c>
      <c r="C15" s="89">
        <f t="shared" si="12"/>
        <v>12</v>
      </c>
      <c r="D15" s="89">
        <f t="shared" si="13"/>
        <v>13</v>
      </c>
      <c r="E15" s="74">
        <f>IF($A15&lt;='Alternative 1'!$B$27, IF($A15='Alternative 1'!$B$27,0,E16+1),0)</f>
        <v>3</v>
      </c>
      <c r="F15" s="74">
        <f>IF($A15&lt;=('Alternative 1'!$B$28), IF($A15=ROUNDDOWN('Alternative 1'!$B$28,0),0,F16+1),0)</f>
        <v>9</v>
      </c>
      <c r="G15" s="74">
        <f>IF($A15&lt;=('Alternative 1'!$B$29), IF($A15=ROUNDDOWN('Alternative 1'!$B$29,0),0,G16+1),0)</f>
        <v>16</v>
      </c>
      <c r="H15" s="89">
        <f t="shared" si="14"/>
        <v>24</v>
      </c>
      <c r="J15" s="77">
        <f t="shared" si="15"/>
        <v>12</v>
      </c>
      <c r="K15" s="77">
        <f t="shared" si="16"/>
        <v>0.20943951023931953</v>
      </c>
      <c r="L15" s="78">
        <f>'Alternative 1'!$B$27*SIN(K15)+'Alternative 1'!$B$28*SIN(K15)+'Alternative 1'!$B$29*SIN(K15)</f>
        <v>14.137994975607633</v>
      </c>
      <c r="M15" s="77">
        <f>(('Alternative 1'!$B$27)*(((('Alternative 1'!$B$28-'Alternative 1'!$B$27)/2)+'Alternative 1'!$B$27)*'Alternative 1'!$B$39)*COS('Alternative 1-Tilt Up'!K15))+(('Alternative 1'!$B$28)*((('Alternative 1'!$B$28-'Alternative 1'!$B$27)/2)+(('Alternative 1'!$B$29-'Alternative 1'!$B$28)/2))*('Alternative 1'!$B$39)*COS('Alternative 1-Tilt Up'!K15))+(('Alternative 1'!$B$29)*((('Alternative 1'!$B$12-'Alternative 1'!$B$29+(('Alternative 1'!$B$29-'Alternative 1'!$B$28)/2)*('Alternative 1'!$B$39)*COS('Alternative 1-Tilt Up'!K15)))))</f>
        <v>4642402.7546709683</v>
      </c>
      <c r="N15" s="77">
        <f t="shared" si="0"/>
        <v>985090.76343863469</v>
      </c>
      <c r="O15" s="77">
        <f>(((('Alternative 1'!$B$28-'Alternative 1'!$B$27)/2)+'Alternative 1'!$B$27)*('Alternative 1'!$B$39)*COS('Alternative 1-Tilt Up'!K15))+(((('Alternative 1'!$B$28-'Alternative 1'!$B$27)/2)+(('Alternative 1'!$B$29-'Alternative 1'!$B$28)/2))*('Alternative 1'!$B$39)*COS('Alternative 1-Tilt Up'!K15))+(((('Alternative 1'!$B$12-'Alternative 1'!$B$29)+(('Alternative 1'!$B$29-'Alternative 1'!$B$28)/2))*('Alternative 1'!$B$39)*COS('Alternative 1-Tilt Up'!K15)))</f>
        <v>299430.45220211166</v>
      </c>
      <c r="P15" s="77">
        <f t="shared" si="1"/>
        <v>963564.16676253348</v>
      </c>
      <c r="R15" s="78">
        <f>'Alternative 1'!$B$39*$B15*$C15*COS($K$5)-($N$5/3)*$E15*SIN($K$5)-($N$5/3)*$F15*SIN($K$5)-($N$5/3)*$G15*SIN($K$5)</f>
        <v>494376.27359585627</v>
      </c>
      <c r="S15" s="79">
        <f>IF(($A15&lt;'Alternative 1'!$B$27),(($H15*'Alternative 1'!$B$39)+(3*($N$5/3)*COS($K$5))),IF(($A15&lt;'Alternative 1'!$B$28),(($H15*'Alternative 1'!$B$39)+(2*(($N$5/3)*COS($K$5)))),IF(($A15&lt;'Alternative 1'!$B$29),(($H$3*'Alternative 1'!$B$39+(($N$5/3)*COS($K$5)))),($H15*'Alternative 1'!$B$39))))</f>
        <v>6196495.5689737843</v>
      </c>
      <c r="T15" s="78">
        <f>R15*'Alternative 1'!$K16/'Alternative 1'!$L16</f>
        <v>9122343.9607528448</v>
      </c>
      <c r="U15" s="78">
        <f>S15/'Alternative 1'!$M16</f>
        <v>2286780.857884889</v>
      </c>
      <c r="V15" s="78">
        <f t="shared" si="2"/>
        <v>11.409124818637734</v>
      </c>
      <c r="X15" s="78">
        <f>'Alternative 1'!$B$39*$B15*$C15*COS($K$13)-($N$12/3)*$E15*SIN($K$13)-($N$12/3)*$F15*SIN($K$13)-($N$12/3)*$G15*SIN($K$13)</f>
        <v>269134.43229101854</v>
      </c>
      <c r="Y15" s="79">
        <f>IF(($A15&lt;'Alternative 1'!$B$27),(($H15*'Alternative 1'!$B$39)+(3*($N$12/3)*COS($K$13))),IF(($A15&lt;'Alternative 1'!$B$28),(($H15*'Alternative 1'!$B$39)+(2*(($N$12/3)*COS($K$13)))),IF(($A15&lt;'Alternative 1'!$B$29),(($H$3*'Alternative 1'!$B$39+(($N$12/3)*COS($K$13)))),($H15*'Alternative 1'!$B$39))))</f>
        <v>1506015.6237767073</v>
      </c>
      <c r="Z15" s="78">
        <f>X15*'Alternative 1'!$K16/'Alternative 1'!$L16</f>
        <v>4966130.0393385161</v>
      </c>
      <c r="AA15" s="78">
        <f>Y15/'Alternative 1'!$M16</f>
        <v>555786.35727137327</v>
      </c>
      <c r="AB15" s="78">
        <f t="shared" si="3"/>
        <v>5.521916396609889</v>
      </c>
      <c r="AD15" s="78">
        <f>'Alternative 1'!$B$39*$B15*$C15*COS($K$23)-($N$22/3)*$E15*SIN($K$23)-($N$22/3)*$F15*SIN($K$23)-($N$22/3)*$G15*SIN($K$23)</f>
        <v>360079.12441795366</v>
      </c>
      <c r="AE15" s="79">
        <f>IF(($A15&lt;'Alternative 1'!$B$27),(($H15*'Alternative 1'!$B$39)+(3*($N$22/3)*COS($K$23))),IF(($A15&lt;'Alternative 1'!$B$28),(($H15*'Alternative 1'!$B$39)+(2*(($N$22/3)*COS($K$23)))),IF(($A15&lt;'Alternative 1'!$B$29),(($H$3*'Alternative 1'!$B$39+(($N$22/3)*COS($K$23)))),($H15*'Alternative 1'!$B$39))))</f>
        <v>775512.99290821969</v>
      </c>
      <c r="AF15" s="78">
        <f>AD15*'Alternative 1'!$K16/'Alternative 1'!$L16</f>
        <v>6644262.2784776464</v>
      </c>
      <c r="AG15" s="78">
        <f>AE15/'Alternative 1'!$M16</f>
        <v>286198.58555264614</v>
      </c>
      <c r="AH15" s="78">
        <f t="shared" si="4"/>
        <v>6.9304608640302918</v>
      </c>
      <c r="AJ15" s="78">
        <f>'Alternative 1'!$B$39*$B15*$C15*COS($K$33)-($N$32/3)*$E15*SIN($K$33)-($N$32/3)*$F15*SIN($K$33)-($N$32/3)*$G15*SIN($K$33)</f>
        <v>358041.85533938603</v>
      </c>
      <c r="AK15" s="79">
        <f>IF(($A15&lt;'Alternative 1'!$B$27),(($H15*'Alternative 1'!$B$39)+(3*($N$32/3)*COS($K$33))),IF(($A15&lt;'Alternative 1'!$B$28),(($H15*'Alternative 1'!$B$39)+(2*(($N$32/3)*COS($K$33)))),IF(($A15&lt;'Alternative 1'!$B$29),(($H$3*'Alternative 1'!$B$39+(($N$32/3)*COS($K$33)))),($H15*'Alternative 1'!$B$39))))</f>
        <v>531218.3871945896</v>
      </c>
      <c r="AL15" s="78">
        <f>AJ15*'Alternative 1'!$K16/'Alternative 1'!$L16</f>
        <v>6606670.1239429563</v>
      </c>
      <c r="AM15" s="78">
        <f>AK15/'Alternative 1'!$M16</f>
        <v>196043.0739716083</v>
      </c>
      <c r="AN15" s="78">
        <f t="shared" si="5"/>
        <v>6.8027131979145654</v>
      </c>
      <c r="AP15" s="78">
        <f>'Alternative 1'!$B$39*$B15*$C15*COS($K$43)-($N$42/3)*$E15*SIN($K$43)-($N$42/3)*$F15*SIN($K$43)-($N$42/3)*$G15*SIN($K$43)</f>
        <v>324730.31510917912</v>
      </c>
      <c r="AQ15" s="79">
        <f>IF(($A15&lt;'Alternative 1'!$B$27),(($H15*'Alternative 1'!$B$39)+(3*($N$42/3)*COS($K$43))),IF(($A15&lt;'Alternative 1'!$B$28),(($H15*'Alternative 1'!$B$39)+(2*(($N$42/3)*COS($K$43)))),IF(($A15&lt;'Alternative 1'!$B$29),(($H$3*'Alternative 1'!$B$39+(($N$42/3)*COS($K$43)))),($H15*'Alternative 1'!$B$39))))</f>
        <v>402159.76740621252</v>
      </c>
      <c r="AR15" s="78">
        <f>AP15*'Alternative 1'!$K16/'Alternative 1'!$L16</f>
        <v>5991997.9722392932</v>
      </c>
      <c r="AS15" s="78">
        <f>AQ15/'Alternative 1'!$M16</f>
        <v>148414.73663286612</v>
      </c>
      <c r="AT15" s="78">
        <f t="shared" si="6"/>
        <v>6.1404127088721587</v>
      </c>
      <c r="AV15" s="78">
        <f>'Alternative 1'!$B$39*$B15*$C15*COS($K$53)-($N$52/3)*$E15*SIN($K$53)-($N$52/3)*$F15*SIN($K$53)-($N$52/3)*$G15*SIN($K$53)</f>
        <v>272752.44560191571</v>
      </c>
      <c r="AW15" s="79">
        <f>IF(($A15&lt;'Alternative 1'!$B$27),(($H15*'Alternative 1'!$B$39)+(3*($N$52/3)*COS($K$53))),IF(($A15&lt;'Alternative 1'!$B$28),(($H15*'Alternative 1'!$B$39)+(2*(($N$52/3)*COS($K$53)))),IF(($A15&lt;'Alternative 1'!$B$29),(($H$3*'Alternative 1'!$B$39+(($N$52/3)*COS($K$53)))),($H15*'Alternative 1'!$B$39))))</f>
        <v>321081.13308407128</v>
      </c>
      <c r="AX15" s="78">
        <f>AV15*'Alternative 1'!$K16/'Alternative 1'!$L16</f>
        <v>5032890.4476334471</v>
      </c>
      <c r="AY15" s="78">
        <f>AW15/'Alternative 1'!$M16</f>
        <v>118493.13548145475</v>
      </c>
      <c r="AZ15" s="78">
        <f t="shared" si="7"/>
        <v>5.1513835831149013</v>
      </c>
      <c r="BB15" s="78">
        <f>'Alternative 1'!$B$39*$B15*$C15*COS($K$63)-($N$62/3)*$E15*SIN($K$63)-($N$62/3)*$F15*SIN($K$63)-($N$62/3)*$G15*SIN($K$63)</f>
        <v>207509.09624013607</v>
      </c>
      <c r="BC15" s="79">
        <f>IF(($A15&lt;'Alternative 1'!$B$27),(($H15*'Alternative 1'!$B$39)+(3*($N$62/3)*COS($K$63))),IF(($A15&lt;'Alternative 1'!$B$28),(($H15*'Alternative 1'!$B$39)+(2*(($N$62/3)*COS($K$63)))),IF(($A15&lt;'Alternative 1'!$B$29),(($H$3*'Alternative 1'!$B$39+(($N$62/3)*COS($K$63)))),($H15*'Alternative 1'!$B$39))))</f>
        <v>266988.67447180871</v>
      </c>
      <c r="BD15" s="78">
        <f>BB15*'Alternative 1'!$K16/'Alternative 1'!$L16</f>
        <v>3829005.2577137928</v>
      </c>
      <c r="BE15" s="78">
        <f>BC15/'Alternative 1'!$M16</f>
        <v>98530.62642555972</v>
      </c>
      <c r="BF15" s="78">
        <f t="shared" si="8"/>
        <v>3.9275358841393526</v>
      </c>
      <c r="BH15" s="78">
        <f>'Alternative 1'!$B$39*$B15*$C15*COS($K$73)-($N$72/3)*$E15*SIN($K$73)-($N$72/3)*$F15*SIN($K$73)-($N$72/3)*$G15*SIN($K$73)</f>
        <v>132604.24924528506</v>
      </c>
      <c r="BI15" s="79">
        <f>IF(($A15&lt;'Alternative 1'!$B$27),(($H15*'Alternative 1'!$B$39)+(3*($N$72/3)*COS($K$73))),IF(($A15&lt;'Alternative 1'!$B$28),(($H15*'Alternative 1'!$B$39)+(2*(($N$72/3)*COS($K$73)))),IF(($A15&lt;'Alternative 1'!$B$29),(($H$3*'Alternative 1'!$B$39+(($N$72/3)*COS($K$73)))),($H15*'Alternative 1'!$B$39))))</f>
        <v>231572.26608177787</v>
      </c>
      <c r="BJ15" s="78">
        <f>BH15*'Alternative 1'!$K16/'Alternative 1'!$L16</f>
        <v>2446843.905906714</v>
      </c>
      <c r="BK15" s="78">
        <f>BI15/'Alternative 1'!$M16</f>
        <v>85460.405708082602</v>
      </c>
      <c r="BL15" s="78">
        <f t="shared" si="9"/>
        <v>2.5323043116147965</v>
      </c>
      <c r="BN15" s="78">
        <f>'Alternative 1'!$B$39*$B15*$C15*COS($K$83)-($N$82/3)*$E15*SIN($K$83)-($N$82/3)*$F15*SIN($K$83)-($N$82/3)*$G15*SIN($K$83)</f>
        <v>51089.195351381495</v>
      </c>
      <c r="BO15" s="79">
        <f>IF(($A15&lt;'Alternative 1'!$B$27),(($H15*'Alternative 1'!$B$39)+(3*($N$82/3)*COS($K$83))),IF(($A15&lt;'Alternative 1'!$B$28),(($H15*'Alternative 1'!$B$39)+(2*(($N$82/3)*COS($K$83)))),IF(($A15&lt;'Alternative 1'!$B$29),(($H$3*'Alternative 1'!$B$39+(($N$82/3)*COS($K$83)))),($H15*'Alternative 1'!$B$39))))</f>
        <v>211148.7878419561</v>
      </c>
      <c r="BP15" s="78">
        <f>BN15*'Alternative 1'!$K16/'Alternative 1'!$L16</f>
        <v>942709.50602776592</v>
      </c>
      <c r="BQ15" s="78">
        <f>BO15/'Alternative 1'!$M16</f>
        <v>77923.239164447397</v>
      </c>
      <c r="BR15" s="78">
        <f t="shared" si="10"/>
        <v>1.0206327451922133</v>
      </c>
      <c r="BT15" s="78">
        <f>'Alternative 1'!$B$39*$B15*$C15*COS($K$93)-($K$92/3)*$E15*SIN($K$93)-($K$92/3)*$F15*SIN($K$93)-($K$92/3)*$G15*SIN($K$93)</f>
        <v>-14.497868319749548</v>
      </c>
      <c r="BU15" s="79">
        <f>IF(($A15&lt;'Alternative 1'!$B$27),(($H15*'Alternative 1'!$B$39)+(3*($N$92/3)*COS($K$93))),IF(($A15&lt;'Alternative 1'!$B$28),(($H15*'Alternative 1'!$B$39)+(2*(($N$92/3)*COS($K$93)))),IF(($A15&lt;'Alternative 1'!$B$29),(($H$3*'Alternative 1'!$B$39+(($N$92/3)*COS($K$93)))),($H15*'Alternative 1'!$B$39))))</f>
        <v>204079.93775000772</v>
      </c>
      <c r="BV15" s="78">
        <f>BT15*'Alternative 1'!$K16/'Alternative 1'!$L16</f>
        <v>-267.51797886355081</v>
      </c>
      <c r="BW15" s="78">
        <f>BU15/'Alternative 1'!$M16</f>
        <v>75314.520914334542</v>
      </c>
      <c r="BX15" s="78">
        <f t="shared" si="11"/>
        <v>7.504700293547098E-2</v>
      </c>
      <c r="BZ15" s="77">
        <v>150</v>
      </c>
      <c r="CA15" s="77">
        <v>-150</v>
      </c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</row>
    <row r="16" spans="1:115" ht="15" customHeight="1" x14ac:dyDescent="0.25">
      <c r="A16" s="89">
        <f>IF('Alternative 1'!F17&gt;0,'Alternative 1'!F17,"x")</f>
        <v>14</v>
      </c>
      <c r="B16" s="89">
        <f t="shared" si="17"/>
        <v>23</v>
      </c>
      <c r="C16" s="89">
        <f t="shared" si="12"/>
        <v>11.5</v>
      </c>
      <c r="D16" s="89">
        <f t="shared" si="13"/>
        <v>14</v>
      </c>
      <c r="E16" s="74">
        <f>IF($A16&lt;='Alternative 1'!$B$27, IF($A16='Alternative 1'!$B$27,0,E17+1),0)</f>
        <v>2</v>
      </c>
      <c r="F16" s="74">
        <f>IF($A16&lt;=('Alternative 1'!$B$28), IF($A16=ROUNDDOWN('Alternative 1'!$B$28,0),0,F17+1),0)</f>
        <v>8</v>
      </c>
      <c r="G16" s="74">
        <f>IF($A16&lt;=('Alternative 1'!$B$29), IF($A16=ROUNDDOWN('Alternative 1'!$B$29,0),0,G17+1),0)</f>
        <v>15</v>
      </c>
      <c r="H16" s="89">
        <f t="shared" si="14"/>
        <v>23</v>
      </c>
      <c r="J16" s="77">
        <f t="shared" si="15"/>
        <v>13</v>
      </c>
      <c r="K16" s="77">
        <f t="shared" si="16"/>
        <v>0.22689280275926285</v>
      </c>
      <c r="L16" s="78">
        <f>'Alternative 1'!$B$27*SIN(K16)+'Alternative 1'!$B$28*SIN(K16)+'Alternative 1'!$B$29*SIN(K16)</f>
        <v>15.29667169538282</v>
      </c>
      <c r="M16" s="77">
        <f>(('Alternative 1'!$B$27)*(((('Alternative 1'!$B$28-'Alternative 1'!$B$27)/2)+'Alternative 1'!$B$27)*'Alternative 1'!$B$39)*COS('Alternative 1-Tilt Up'!K16))+(('Alternative 1'!$B$28)*((('Alternative 1'!$B$28-'Alternative 1'!$B$27)/2)+(('Alternative 1'!$B$29-'Alternative 1'!$B$28)/2))*('Alternative 1'!$B$39)*COS('Alternative 1-Tilt Up'!K16))+(('Alternative 1'!$B$29)*((('Alternative 1'!$B$12-'Alternative 1'!$B$29+(('Alternative 1'!$B$29-'Alternative 1'!$B$28)/2)*('Alternative 1'!$B$39)*COS('Alternative 1-Tilt Up'!K16)))))</f>
        <v>4624474.8833795153</v>
      </c>
      <c r="N16" s="77">
        <f t="shared" si="0"/>
        <v>906957.07709580578</v>
      </c>
      <c r="O16" s="77">
        <f>(((('Alternative 1'!$B$28-'Alternative 1'!$B$27)/2)+'Alternative 1'!$B$27)*('Alternative 1'!$B$39)*COS('Alternative 1-Tilt Up'!K16))+(((('Alternative 1'!$B$28-'Alternative 1'!$B$27)/2)+(('Alternative 1'!$B$29-'Alternative 1'!$B$28)/2))*('Alternative 1'!$B$39)*COS('Alternative 1-Tilt Up'!K16))+(((('Alternative 1'!$B$12-'Alternative 1'!$B$29)+(('Alternative 1'!$B$29-'Alternative 1'!$B$28)/2))*('Alternative 1'!$B$39)*COS('Alternative 1-Tilt Up'!K16)))</f>
        <v>298274.07325026265</v>
      </c>
      <c r="P16" s="77">
        <f t="shared" si="1"/>
        <v>883711.82596726785</v>
      </c>
      <c r="R16" s="78">
        <f>'Alternative 1'!$B$39*$B16*$C16*COS($K$5)-($N$5/3)*$E16*SIN($K$5)-($N$5/3)*$F16*SIN($K$5)-($N$5/3)*$G16*SIN($K$5)</f>
        <v>503929.49615670624</v>
      </c>
      <c r="S16" s="79">
        <f>IF(($A16&lt;'Alternative 1'!$B$27),(($H16*'Alternative 1'!$B$39)+(3*($N$5/3)*COS($K$5))),IF(($A16&lt;'Alternative 1'!$B$28),(($H16*'Alternative 1'!$B$39)+(2*(($N$5/3)*COS($K$5)))),IF(($A16&lt;'Alternative 1'!$B$29),(($H$3*'Alternative 1'!$B$39+(($N$5/3)*COS($K$5)))),($H16*'Alternative 1'!$B$39))))</f>
        <v>6187992.2382342005</v>
      </c>
      <c r="T16" s="78">
        <f>R16*'Alternative 1'!$K17/'Alternative 1'!$L17</f>
        <v>9500999.8853864241</v>
      </c>
      <c r="U16" s="78">
        <f>S16/'Alternative 1'!$M17</f>
        <v>2333344.5592010361</v>
      </c>
      <c r="V16" s="78">
        <f t="shared" si="2"/>
        <v>11.83434444458746</v>
      </c>
      <c r="X16" s="78">
        <f>'Alternative 1'!$B$39*$B16*$C16*COS($K$13)-($N$12/3)*$E16*SIN($K$13)-($N$12/3)*$F16*SIN($K$13)-($N$12/3)*$G16*SIN($K$13)</f>
        <v>301908.38897363818</v>
      </c>
      <c r="Y16" s="79">
        <f>IF(($A16&lt;'Alternative 1'!$B$27),(($H16*'Alternative 1'!$B$39)+(3*($N$12/3)*COS($K$13))),IF(($A16&lt;'Alternative 1'!$B$28),(($H16*'Alternative 1'!$B$39)+(2*(($N$12/3)*COS($K$13)))),IF(($A16&lt;'Alternative 1'!$B$29),(($H$3*'Alternative 1'!$B$39+(($N$12/3)*COS($K$13)))),($H16*'Alternative 1'!$B$39))))</f>
        <v>1497512.2930371237</v>
      </c>
      <c r="Z16" s="78">
        <f>X16*'Alternative 1'!$K17/'Alternative 1'!$L17</f>
        <v>5692128.7420408195</v>
      </c>
      <c r="AA16" s="78">
        <f>Y16/'Alternative 1'!$M17</f>
        <v>564676.2353231305</v>
      </c>
      <c r="AB16" s="78">
        <f t="shared" si="3"/>
        <v>6.2568049773639496</v>
      </c>
      <c r="AD16" s="78">
        <f>'Alternative 1'!$B$39*$B16*$C16*COS($K$23)-($N$22/3)*$E16*SIN($K$23)-($N$22/3)*$F16*SIN($K$23)-($N$22/3)*$G16*SIN($K$23)</f>
        <v>380286.59439125424</v>
      </c>
      <c r="AE16" s="79">
        <f>IF(($A16&lt;'Alternative 1'!$B$27),(($H16*'Alternative 1'!$B$39)+(3*($N$22/3)*COS($K$23))),IF(($A16&lt;'Alternative 1'!$B$28),(($H16*'Alternative 1'!$B$39)+(2*(($N$22/3)*COS($K$23)))),IF(($A16&lt;'Alternative 1'!$B$29),(($H$3*'Alternative 1'!$B$39+(($N$22/3)*COS($K$23)))),($H16*'Alternative 1'!$B$39))))</f>
        <v>767009.66216863599</v>
      </c>
      <c r="AF16" s="78">
        <f>AD16*'Alternative 1'!$K17/'Alternative 1'!$L17</f>
        <v>7169857.9211599445</v>
      </c>
      <c r="AG16" s="78">
        <f>AE16/'Alternative 1'!$M17</f>
        <v>289221.08386265818</v>
      </c>
      <c r="AH16" s="78">
        <f t="shared" si="4"/>
        <v>7.4590790050226028</v>
      </c>
      <c r="AJ16" s="78">
        <f>'Alternative 1'!$B$39*$B16*$C16*COS($K$33)-($N$32/3)*$E16*SIN($K$33)-($N$32/3)*$F16*SIN($K$33)-($N$32/3)*$G16*SIN($K$33)</f>
        <v>373858.9669128689</v>
      </c>
      <c r="AK16" s="79">
        <f>IF(($A16&lt;'Alternative 1'!$B$27),(($H16*'Alternative 1'!$B$39)+(3*($N$32/3)*COS($K$33))),IF(($A16&lt;'Alternative 1'!$B$28),(($H16*'Alternative 1'!$B$39)+(2*(($N$32/3)*COS($K$33)))),IF(($A16&lt;'Alternative 1'!$B$29),(($H$3*'Alternative 1'!$B$39+(($N$32/3)*COS($K$33)))),($H16*'Alternative 1'!$B$39))))</f>
        <v>522715.05645500589</v>
      </c>
      <c r="AL16" s="78">
        <f>AJ16*'Alternative 1'!$K17/'Alternative 1'!$L17</f>
        <v>7048672.540265996</v>
      </c>
      <c r="AM16" s="78">
        <f>AK16/'Alternative 1'!$M17</f>
        <v>197103.40382388642</v>
      </c>
      <c r="AN16" s="78">
        <f t="shared" si="5"/>
        <v>7.2457759440898819</v>
      </c>
      <c r="AP16" s="78">
        <f>'Alternative 1'!$B$39*$B16*$C16*COS($K$43)-($N$42/3)*$E16*SIN($K$43)-($N$42/3)*$F16*SIN($K$43)-($N$42/3)*$G16*SIN($K$43)</f>
        <v>337861.68948242895</v>
      </c>
      <c r="AQ16" s="79">
        <f>IF(($A16&lt;'Alternative 1'!$B$27),(($H16*'Alternative 1'!$B$39)+(3*($N$42/3)*COS($K$43))),IF(($A16&lt;'Alternative 1'!$B$28),(($H16*'Alternative 1'!$B$39)+(2*(($N$42/3)*COS($K$43)))),IF(($A16&lt;'Alternative 1'!$B$29),(($H$3*'Alternative 1'!$B$39+(($N$42/3)*COS($K$43)))),($H16*'Alternative 1'!$B$39))))</f>
        <v>393656.43666662881</v>
      </c>
      <c r="AR16" s="78">
        <f>AP16*'Alternative 1'!$K17/'Alternative 1'!$L17</f>
        <v>6369986.0745019866</v>
      </c>
      <c r="AS16" s="78">
        <f>AQ16/'Alternative 1'!$M17</f>
        <v>148438.47072320475</v>
      </c>
      <c r="AT16" s="78">
        <f t="shared" si="6"/>
        <v>6.5184245452251908</v>
      </c>
      <c r="AV16" s="78">
        <f>'Alternative 1'!$B$39*$B16*$C16*COS($K$53)-($N$52/3)*$E16*SIN($K$53)-($N$52/3)*$F16*SIN($K$53)-($N$52/3)*$G16*SIN($K$53)</f>
        <v>283741.90292803303</v>
      </c>
      <c r="AW16" s="79">
        <f>IF(($A16&lt;'Alternative 1'!$B$27),(($H16*'Alternative 1'!$B$39)+(3*($N$52/3)*COS($K$53))),IF(($A16&lt;'Alternative 1'!$B$28),(($H16*'Alternative 1'!$B$39)+(2*(($N$52/3)*COS($K$53)))),IF(($A16&lt;'Alternative 1'!$B$29),(($H$3*'Alternative 1'!$B$39+(($N$52/3)*COS($K$53)))),($H16*'Alternative 1'!$B$39))))</f>
        <v>312577.80234448763</v>
      </c>
      <c r="AX16" s="78">
        <f>AV16*'Alternative 1'!$K17/'Alternative 1'!$L17</f>
        <v>5349620.9445145251</v>
      </c>
      <c r="AY16" s="78">
        <f>AW16/'Alternative 1'!$M17</f>
        <v>117865.64791096993</v>
      </c>
      <c r="AZ16" s="78">
        <f t="shared" si="7"/>
        <v>5.4674865924254954</v>
      </c>
      <c r="BB16" s="78">
        <f>'Alternative 1'!$B$39*$B16*$C16*COS($K$63)-($N$62/3)*$E16*SIN($K$63)-($N$62/3)*$F16*SIN($K$63)-($N$62/3)*$G16*SIN($K$63)</f>
        <v>216556.08829216112</v>
      </c>
      <c r="BC16" s="79">
        <f>IF(($A16&lt;'Alternative 1'!$B$27),(($H16*'Alternative 1'!$B$39)+(3*($N$62/3)*COS($K$63))),IF(($A16&lt;'Alternative 1'!$B$28),(($H16*'Alternative 1'!$B$39)+(2*(($N$62/3)*COS($K$63)))),IF(($A16&lt;'Alternative 1'!$B$29),(($H$3*'Alternative 1'!$B$39+(($N$62/3)*COS($K$63)))),($H16*'Alternative 1'!$B$39))))</f>
        <v>258485.34373222507</v>
      </c>
      <c r="BD16" s="78">
        <f>BB16*'Alternative 1'!$K17/'Alternative 1'!$L17</f>
        <v>4082911.172565572</v>
      </c>
      <c r="BE16" s="78">
        <f>BC16/'Alternative 1'!$M17</f>
        <v>97468.669515155547</v>
      </c>
      <c r="BF16" s="78">
        <f t="shared" si="8"/>
        <v>4.1803798420807281</v>
      </c>
      <c r="BH16" s="78">
        <f>'Alternative 1'!$B$39*$B16*$C16*COS($K$73)-($N$72/3)*$E16*SIN($K$73)-($N$72/3)*$F16*SIN($K$73)-($N$72/3)*$G16*SIN($K$73)</f>
        <v>139793.50618505391</v>
      </c>
      <c r="BI16" s="79">
        <f>IF(($A16&lt;'Alternative 1'!$B$27),(($H16*'Alternative 1'!$B$39)+(3*($N$72/3)*COS($K$73))),IF(($A16&lt;'Alternative 1'!$B$28),(($H16*'Alternative 1'!$B$39)+(2*(($N$72/3)*COS($K$73)))),IF(($A16&lt;'Alternative 1'!$B$29),(($H$3*'Alternative 1'!$B$39+(($N$72/3)*COS($K$73)))),($H16*'Alternative 1'!$B$39))))</f>
        <v>223068.93534219419</v>
      </c>
      <c r="BJ16" s="78">
        <f>BH16*'Alternative 1'!$K17/'Alternative 1'!$L17</f>
        <v>2635642.6769449152</v>
      </c>
      <c r="BK16" s="78">
        <f>BI16/'Alternative 1'!$M17</f>
        <v>84113.985048566406</v>
      </c>
      <c r="BL16" s="78">
        <f t="shared" si="9"/>
        <v>2.7197566619934817</v>
      </c>
      <c r="BN16" s="78">
        <f>'Alternative 1'!$B$39*$B16*$C16*COS($K$83)-($N$82/3)*$E16*SIN($K$83)-($N$82/3)*$F16*SIN($K$83)-($N$82/3)*$G16*SIN($K$83)</f>
        <v>56478.821018295828</v>
      </c>
      <c r="BO16" s="79">
        <f>IF(($A16&lt;'Alternative 1'!$B$27),(($H16*'Alternative 1'!$B$39)+(3*($N$82/3)*COS($K$83))),IF(($A16&lt;'Alternative 1'!$B$28),(($H16*'Alternative 1'!$B$39)+(2*(($N$82/3)*COS($K$83)))),IF(($A16&lt;'Alternative 1'!$B$29),(($H$3*'Alternative 1'!$B$39+(($N$82/3)*COS($K$83)))),($H16*'Alternative 1'!$B$39))))</f>
        <v>202645.45710237243</v>
      </c>
      <c r="BP16" s="78">
        <f>BN16*'Alternative 1'!$K17/'Alternative 1'!$L17</f>
        <v>1064841.9592702738</v>
      </c>
      <c r="BQ16" s="78">
        <f>BO16/'Alternative 1'!$M17</f>
        <v>76412.777613883576</v>
      </c>
      <c r="BR16" s="78">
        <f t="shared" si="10"/>
        <v>1.1412547368841575</v>
      </c>
      <c r="BT16" s="78">
        <f>'Alternative 1'!$B$39*$B16*$C16*COS($K$93)-($K$92/3)*$E16*SIN($K$93)-($K$92/3)*$F16*SIN($K$93)-($K$92/3)*$G16*SIN($K$93)</f>
        <v>-12.944525285486835</v>
      </c>
      <c r="BU16" s="79">
        <f>IF(($A16&lt;'Alternative 1'!$B$27),(($H16*'Alternative 1'!$B$39)+(3*($N$92/3)*COS($K$93))),IF(($A16&lt;'Alternative 1'!$B$28),(($H16*'Alternative 1'!$B$39)+(2*(($N$92/3)*COS($K$93)))),IF(($A16&lt;'Alternative 1'!$B$29),(($H$3*'Alternative 1'!$B$39+(($N$92/3)*COS($K$93)))),($H16*'Alternative 1'!$B$39))))</f>
        <v>195576.60701042405</v>
      </c>
      <c r="BV16" s="78">
        <f>BT16*'Alternative 1'!$K17/'Alternative 1'!$L17</f>
        <v>-244.05384918279785</v>
      </c>
      <c r="BW16" s="78">
        <f>BU16/'Alternative 1'!$M17</f>
        <v>73747.282528103984</v>
      </c>
      <c r="BX16" s="78">
        <f t="shared" si="11"/>
        <v>7.3503228678921173E-2</v>
      </c>
      <c r="BZ16" s="77">
        <v>150</v>
      </c>
      <c r="CA16" s="77">
        <v>-150</v>
      </c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</row>
    <row r="17" spans="1:115" ht="15" customHeight="1" x14ac:dyDescent="0.25">
      <c r="A17" s="89">
        <f>IF('Alternative 1'!F18&gt;0,'Alternative 1'!F18,"x")</f>
        <v>15</v>
      </c>
      <c r="B17" s="89">
        <f t="shared" si="17"/>
        <v>22</v>
      </c>
      <c r="C17" s="89">
        <f t="shared" si="12"/>
        <v>11</v>
      </c>
      <c r="D17" s="89">
        <f t="shared" si="13"/>
        <v>15</v>
      </c>
      <c r="E17" s="74">
        <f>IF($A17&lt;='Alternative 1'!$B$27, IF($A17='Alternative 1'!$B$27,0,E18+1),0)</f>
        <v>1</v>
      </c>
      <c r="F17" s="74">
        <f>IF($A17&lt;=('Alternative 1'!$B$28), IF($A17=ROUNDDOWN('Alternative 1'!$B$28,0),0,F18+1),0)</f>
        <v>7</v>
      </c>
      <c r="G17" s="74">
        <f>IF($A17&lt;=('Alternative 1'!$B$29), IF($A17=ROUNDDOWN('Alternative 1'!$B$29,0),0,G18+1),0)</f>
        <v>14</v>
      </c>
      <c r="H17" s="89">
        <f t="shared" si="14"/>
        <v>22</v>
      </c>
      <c r="J17" s="77">
        <f t="shared" si="15"/>
        <v>14</v>
      </c>
      <c r="K17" s="77">
        <f t="shared" si="16"/>
        <v>0.24434609527920614</v>
      </c>
      <c r="L17" s="78">
        <f>'Alternative 1'!$B$27*SIN(K17)+'Alternative 1'!$B$28*SIN(K17)+'Alternative 1'!$B$29*SIN(K17)</f>
        <v>16.450688900777408</v>
      </c>
      <c r="M17" s="77">
        <f>(('Alternative 1'!$B$27)*(((('Alternative 1'!$B$28-'Alternative 1'!$B$27)/2)+'Alternative 1'!$B$27)*'Alternative 1'!$B$39)*COS('Alternative 1-Tilt Up'!K17))+(('Alternative 1'!$B$28)*((('Alternative 1'!$B$28-'Alternative 1'!$B$27)/2)+(('Alternative 1'!$B$29-'Alternative 1'!$B$28)/2))*('Alternative 1'!$B$39)*COS('Alternative 1-Tilt Up'!K17))+(('Alternative 1'!$B$29)*((('Alternative 1'!$B$12-'Alternative 1'!$B$29+(('Alternative 1'!$B$29-'Alternative 1'!$B$28)/2)*('Alternative 1'!$B$39)*COS('Alternative 1-Tilt Up'!K17)))))</f>
        <v>4605138.4118314199</v>
      </c>
      <c r="N17" s="77">
        <f t="shared" si="0"/>
        <v>839807.70159974194</v>
      </c>
      <c r="O17" s="77">
        <f>(((('Alternative 1'!$B$28-'Alternative 1'!$B$27)/2)+'Alternative 1'!$B$27)*('Alternative 1'!$B$39)*COS('Alternative 1-Tilt Up'!K17))+(((('Alternative 1'!$B$28-'Alternative 1'!$B$27)/2)+(('Alternative 1'!$B$29-'Alternative 1'!$B$28)/2))*('Alternative 1'!$B$39)*COS('Alternative 1-Tilt Up'!K17))+(((('Alternative 1'!$B$12-'Alternative 1'!$B$29)+(('Alternative 1'!$B$29-'Alternative 1'!$B$28)/2))*('Alternative 1'!$B$39)*COS('Alternative 1-Tilt Up'!K17)))</f>
        <v>297026.83712625579</v>
      </c>
      <c r="P17" s="77">
        <f t="shared" si="1"/>
        <v>814861.82375589688</v>
      </c>
      <c r="R17" s="78">
        <f>'Alternative 1'!$B$39*$B17*$C17*COS($K$5)-($N$5/3)*$E17*SIN($K$5)-($N$5/3)*$F17*SIN($K$5)-($N$5/3)*$G17*SIN($K$5)</f>
        <v>521980.86945780611</v>
      </c>
      <c r="S17" s="79">
        <f>IF(($A17&lt;'Alternative 1'!$B$27),(($H17*'Alternative 1'!$B$39)+(3*($N$5/3)*COS($K$5))),IF(($A17&lt;'Alternative 1'!$B$28),(($H17*'Alternative 1'!$B$39)+(2*(($N$5/3)*COS($K$5)))),IF(($A17&lt;'Alternative 1'!$B$29),(($H$3*'Alternative 1'!$B$39+(($N$5/3)*COS($K$5)))),($H17*'Alternative 1'!$B$39))))</f>
        <v>6179488.9074946167</v>
      </c>
      <c r="T17" s="78">
        <f>R17*'Alternative 1'!$K18/'Alternative 1'!$L18</f>
        <v>10057883.254877776</v>
      </c>
      <c r="U17" s="78">
        <f>S17/'Alternative 1'!$M18</f>
        <v>2381409.8290467546</v>
      </c>
      <c r="V17" s="78">
        <f t="shared" si="2"/>
        <v>12.439293083924531</v>
      </c>
      <c r="X17" s="78">
        <f>'Alternative 1'!$B$39*$B17*$C17*COS($K$13)-($N$12/3)*$E17*SIN($K$13)-($N$12/3)*$F17*SIN($K$13)-($N$12/3)*$G17*SIN($K$13)</f>
        <v>343056.49169502757</v>
      </c>
      <c r="Y17" s="79">
        <f>IF(($A17&lt;'Alternative 1'!$B$27),(($H17*'Alternative 1'!$B$39)+(3*($N$12/3)*COS($K$13))),IF(($A17&lt;'Alternative 1'!$B$28),(($H17*'Alternative 1'!$B$39)+(2*(($N$12/3)*COS($K$13)))),IF(($A17&lt;'Alternative 1'!$B$29),(($H$3*'Alternative 1'!$B$39+(($N$12/3)*COS($K$13)))),($H17*'Alternative 1'!$B$39))))</f>
        <v>1489008.9622975399</v>
      </c>
      <c r="Z17" s="78">
        <f>X17*'Alternative 1'!$K18/'Alternative 1'!$L18</f>
        <v>6610246.361864889</v>
      </c>
      <c r="AA17" s="78">
        <f>Y17/'Alternative 1'!$M18</f>
        <v>573824.24848331336</v>
      </c>
      <c r="AB17" s="78">
        <f t="shared" si="3"/>
        <v>7.1840706103482024</v>
      </c>
      <c r="AD17" s="78">
        <f>'Alternative 1'!$B$39*$B17*$C17*COS($K$23)-($N$22/3)*$E17*SIN($K$23)-($N$22/3)*$F17*SIN($K$23)-($N$22/3)*$G17*SIN($K$23)</f>
        <v>408484.58151264361</v>
      </c>
      <c r="AE17" s="79">
        <f>IF(($A17&lt;'Alternative 1'!$B$27),(($H17*'Alternative 1'!$B$39)+(3*($N$22/3)*COS($K$23))),IF(($A17&lt;'Alternative 1'!$B$28),(($H17*'Alternative 1'!$B$39)+(2*(($N$22/3)*COS($K$23)))),IF(($A17&lt;'Alternative 1'!$B$29),(($H$3*'Alternative 1'!$B$39+(($N$22/3)*COS($K$23)))),($H17*'Alternative 1'!$B$39))))</f>
        <v>758506.3314290524</v>
      </c>
      <c r="AF17" s="78">
        <f>AD17*'Alternative 1'!$K18/'Alternative 1'!$L18</f>
        <v>7870959.4022849156</v>
      </c>
      <c r="AG17" s="78">
        <f>AE17/'Alternative 1'!$M18</f>
        <v>292308.06302906439</v>
      </c>
      <c r="AH17" s="78">
        <f t="shared" si="4"/>
        <v>8.1632674653139805</v>
      </c>
      <c r="AJ17" s="78">
        <f>'Alternative 1'!$B$39*$B17*$C17*COS($K$33)-($N$32/3)*$E17*SIN($K$33)-($N$32/3)*$F17*SIN($K$33)-($N$32/3)*$G17*SIN($K$33)</f>
        <v>397040.17892361211</v>
      </c>
      <c r="AK17" s="79">
        <f>IF(($A17&lt;'Alternative 1'!$B$27),(($H17*'Alternative 1'!$B$39)+(3*($N$32/3)*COS($K$33))),IF(($A17&lt;'Alternative 1'!$B$28),(($H17*'Alternative 1'!$B$39)+(2*(($N$32/3)*COS($K$33)))),IF(($A17&lt;'Alternative 1'!$B$29),(($H$3*'Alternative 1'!$B$39+(($N$32/3)*COS($K$33)))),($H17*'Alternative 1'!$B$39))))</f>
        <v>514211.7257154223</v>
      </c>
      <c r="AL17" s="78">
        <f>AJ17*'Alternative 1'!$K18/'Alternative 1'!$L18</f>
        <v>7650440.8509405656</v>
      </c>
      <c r="AM17" s="78">
        <f>AK17/'Alternative 1'!$M18</f>
        <v>198163.45269988937</v>
      </c>
      <c r="AN17" s="78">
        <f t="shared" si="5"/>
        <v>7.8486043036404549</v>
      </c>
      <c r="AP17" s="78">
        <f>'Alternative 1'!$B$39*$B17*$C17*COS($K$43)-($N$42/3)*$E17*SIN($K$43)-($N$42/3)*$F17*SIN($K$43)-($N$42/3)*$G17*SIN($K$43)</f>
        <v>357506.99311673979</v>
      </c>
      <c r="AQ17" s="79">
        <f>IF(($A17&lt;'Alternative 1'!$B$27),(($H17*'Alternative 1'!$B$39)+(3*($N$42/3)*COS($K$43))),IF(($A17&lt;'Alternative 1'!$B$28),(($H17*'Alternative 1'!$B$39)+(2*(($N$42/3)*COS($K$43)))),IF(($A17&lt;'Alternative 1'!$B$29),(($H$3*'Alternative 1'!$B$39+(($N$42/3)*COS($K$43)))),($H17*'Alternative 1'!$B$39))))</f>
        <v>385153.10592704517</v>
      </c>
      <c r="AR17" s="78">
        <f>AP17*'Alternative 1'!$K18/'Alternative 1'!$L18</f>
        <v>6888688.4749350417</v>
      </c>
      <c r="AS17" s="78">
        <f>AQ17/'Alternative 1'!$M18</f>
        <v>148427.71074969362</v>
      </c>
      <c r="AT17" s="78">
        <f t="shared" si="6"/>
        <v>7.0371161856847353</v>
      </c>
      <c r="AV17" s="78">
        <f>'Alternative 1'!$B$39*$B17*$C17*COS($K$53)-($N$52/3)*$E17*SIN($K$53)-($N$52/3)*$F17*SIN($K$53)-($N$52/3)*$G17*SIN($K$53)</f>
        <v>300197.19589462189</v>
      </c>
      <c r="AW17" s="79">
        <f>IF(($A17&lt;'Alternative 1'!$B$27),(($H17*'Alternative 1'!$B$39)+(3*($N$52/3)*COS($K$53))),IF(($A17&lt;'Alternative 1'!$B$28),(($H17*'Alternative 1'!$B$39)+(2*(($N$52/3)*COS($K$53)))),IF(($A17&lt;'Alternative 1'!$B$29),(($H$3*'Alternative 1'!$B$39+(($N$52/3)*COS($K$53)))),($H17*'Alternative 1'!$B$39))))</f>
        <v>304074.47160490399</v>
      </c>
      <c r="AX17" s="78">
        <f>AV17*'Alternative 1'!$K18/'Alternative 1'!$L18</f>
        <v>5784404.2309176</v>
      </c>
      <c r="AY17" s="78">
        <f>AW17/'Alternative 1'!$M18</f>
        <v>117182.17255214766</v>
      </c>
      <c r="AZ17" s="78">
        <f t="shared" si="7"/>
        <v>5.9015864034697483</v>
      </c>
      <c r="BB17" s="78">
        <f>'Alternative 1'!$B$39*$B17*$C17*COS($K$63)-($N$62/3)*$E17*SIN($K$63)-($N$62/3)*$F17*SIN($K$63)-($N$62/3)*$G17*SIN($K$63)</f>
        <v>229854.74571397819</v>
      </c>
      <c r="BC17" s="79">
        <f>IF(($A17&lt;'Alternative 1'!$B$27),(($H17*'Alternative 1'!$B$39)+(3*($N$62/3)*COS($K$63))),IF(($A17&lt;'Alternative 1'!$B$28),(($H17*'Alternative 1'!$B$39)+(2*(($N$62/3)*COS($K$63)))),IF(($A17&lt;'Alternative 1'!$B$29),(($H$3*'Alternative 1'!$B$39+(($N$62/3)*COS($K$63)))),($H17*'Alternative 1'!$B$39))))</f>
        <v>249982.01299264142</v>
      </c>
      <c r="BD17" s="78">
        <f>BB17*'Alternative 1'!$K18/'Alternative 1'!$L18</f>
        <v>4428997.9446415082</v>
      </c>
      <c r="BE17" s="78">
        <f>BC17/'Alternative 1'!$M18</f>
        <v>96336.385053392602</v>
      </c>
      <c r="BF17" s="78">
        <f t="shared" si="8"/>
        <v>4.5253343296949007</v>
      </c>
      <c r="BH17" s="78">
        <f>'Alternative 1'!$B$39*$B17*$C17*COS($K$73)-($N$72/3)*$E17*SIN($K$73)-($N$72/3)*$F17*SIN($K$73)-($N$72/3)*$G17*SIN($K$73)</f>
        <v>149891.07352312066</v>
      </c>
      <c r="BI17" s="79">
        <f>IF(($A17&lt;'Alternative 1'!$B$27),(($H17*'Alternative 1'!$B$39)+(3*($N$72/3)*COS($K$73))),IF(($A17&lt;'Alternative 1'!$B$28),(($H17*'Alternative 1'!$B$39)+(2*(($N$72/3)*COS($K$73)))),IF(($A17&lt;'Alternative 1'!$B$29),(($H$3*'Alternative 1'!$B$39+(($N$72/3)*COS($K$73)))),($H17*'Alternative 1'!$B$39))))</f>
        <v>214565.60460261055</v>
      </c>
      <c r="BJ17" s="78">
        <f>BH17*'Alternative 1'!$K18/'Alternative 1'!$L18</f>
        <v>2888203.393373047</v>
      </c>
      <c r="BK17" s="78">
        <f>BI17/'Alternative 1'!$M18</f>
        <v>82687.848044569284</v>
      </c>
      <c r="BL17" s="78">
        <f t="shared" si="9"/>
        <v>2.9708912414176161</v>
      </c>
      <c r="BN17" s="78">
        <f>'Alternative 1'!$B$39*$B17*$C17*COS($K$83)-($N$82/3)*$E17*SIN($K$83)-($N$82/3)*$F17*SIN($K$83)-($N$82/3)*$G17*SIN($K$83)</f>
        <v>63345.034572238073</v>
      </c>
      <c r="BO17" s="79">
        <f>IF(($A17&lt;'Alternative 1'!$B$27),(($H17*'Alternative 1'!$B$39)+(3*($N$82/3)*COS($K$83))),IF(($A17&lt;'Alternative 1'!$B$28),(($H17*'Alternative 1'!$B$39)+(2*(($N$82/3)*COS($K$83)))),IF(($A17&lt;'Alternative 1'!$B$29),(($H$3*'Alternative 1'!$B$39+(($N$82/3)*COS($K$83)))),($H17*'Alternative 1'!$B$39))))</f>
        <v>194142.12636278878</v>
      </c>
      <c r="BP17" s="78">
        <f>BN17*'Alternative 1'!$K18/'Alternative 1'!$L18</f>
        <v>1220575.3118223578</v>
      </c>
      <c r="BQ17" s="78">
        <f>BO17/'Alternative 1'!$M18</f>
        <v>74817.185510545401</v>
      </c>
      <c r="BR17" s="78">
        <f t="shared" si="10"/>
        <v>1.2953924973329034</v>
      </c>
      <c r="BT17" s="78">
        <f>'Alternative 1'!$B$39*$B17*$C17*COS($K$93)-($K$92/3)*$E17*SIN($K$93)-($K$92/3)*$F17*SIN($K$93)-($K$92/3)*$G17*SIN($K$93)</f>
        <v>-11.391182251223603</v>
      </c>
      <c r="BU17" s="79">
        <f>IF(($A17&lt;'Alternative 1'!$B$27),(($H17*'Alternative 1'!$B$39)+(3*($N$92/3)*COS($K$93))),IF(($A17&lt;'Alternative 1'!$B$28),(($H17*'Alternative 1'!$B$39)+(2*(($N$92/3)*COS($K$93)))),IF(($A17&lt;'Alternative 1'!$B$29),(($H$3*'Alternative 1'!$B$39+(($N$92/3)*COS($K$93)))),($H17*'Alternative 1'!$B$39))))</f>
        <v>187073.2762708404</v>
      </c>
      <c r="BV17" s="78">
        <f>BT17*'Alternative 1'!$K18/'Alternative 1'!$L18</f>
        <v>-219.49306559232832</v>
      </c>
      <c r="BW17" s="78">
        <f>BU17/'Alternative 1'!$M18</f>
        <v>72093.0396562487</v>
      </c>
      <c r="BX17" s="78">
        <f t="shared" si="11"/>
        <v>7.1873546590656381E-2</v>
      </c>
      <c r="BZ17" s="77">
        <v>150</v>
      </c>
      <c r="CA17" s="77">
        <v>-150</v>
      </c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</row>
    <row r="18" spans="1:115" ht="15" customHeight="1" x14ac:dyDescent="0.25">
      <c r="A18" s="89">
        <f>IF('Alternative 1'!F19&gt;0,'Alternative 1'!F19,"x")</f>
        <v>16</v>
      </c>
      <c r="B18" s="89">
        <f t="shared" si="17"/>
        <v>21</v>
      </c>
      <c r="C18" s="89">
        <f t="shared" si="12"/>
        <v>10.5</v>
      </c>
      <c r="D18" s="89">
        <f t="shared" si="13"/>
        <v>16</v>
      </c>
      <c r="E18" s="74">
        <f>IF($A18&lt;='Alternative 1'!$B$27, IF($A18='Alternative 1'!$B$27,0,E19+1),0)</f>
        <v>0</v>
      </c>
      <c r="F18" s="74">
        <f>IF($A18&lt;=('Alternative 1'!$B$28), IF($A18=ROUNDDOWN('Alternative 1'!$B$28,0),0,F19+1),0)</f>
        <v>6</v>
      </c>
      <c r="G18" s="74">
        <f>IF($A18&lt;=('Alternative 1'!$B$29), IF($A18=ROUNDDOWN('Alternative 1'!$B$29,0),0,G19+1),0)</f>
        <v>13</v>
      </c>
      <c r="H18" s="89">
        <f t="shared" si="14"/>
        <v>21</v>
      </c>
      <c r="J18" s="77">
        <f t="shared" si="15"/>
        <v>15</v>
      </c>
      <c r="K18" s="77">
        <f t="shared" si="16"/>
        <v>0.26179938779914941</v>
      </c>
      <c r="L18" s="78">
        <f>'Alternative 1'!$B$27*SIN(K18)+'Alternative 1'!$B$28*SIN(K18)+'Alternative 1'!$B$29*SIN(K18)</f>
        <v>17.59969506697141</v>
      </c>
      <c r="M18" s="77">
        <f>(('Alternative 1'!$B$27)*(((('Alternative 1'!$B$28-'Alternative 1'!$B$27)/2)+'Alternative 1'!$B$27)*'Alternative 1'!$B$39)*COS('Alternative 1-Tilt Up'!K18))+(('Alternative 1'!$B$28)*((('Alternative 1'!$B$28-'Alternative 1'!$B$27)/2)+(('Alternative 1'!$B$29-'Alternative 1'!$B$28)/2))*('Alternative 1'!$B$39)*COS('Alternative 1-Tilt Up'!K18))+(('Alternative 1'!$B$29)*((('Alternative 1'!$B$12-'Alternative 1'!$B$29+(('Alternative 1'!$B$29-'Alternative 1'!$B$28)/2)*('Alternative 1'!$B$39)*COS('Alternative 1-Tilt Up'!K18)))))</f>
        <v>4584399.2301032301</v>
      </c>
      <c r="N18" s="77">
        <f t="shared" si="0"/>
        <v>781445.22606642905</v>
      </c>
      <c r="O18" s="77">
        <f>(((('Alternative 1'!$B$28-'Alternative 1'!$B$27)/2)+'Alternative 1'!$B$27)*('Alternative 1'!$B$39)*COS('Alternative 1-Tilt Up'!K18))+(((('Alternative 1'!$B$28-'Alternative 1'!$B$27)/2)+(('Alternative 1'!$B$29-'Alternative 1'!$B$28)/2))*('Alternative 1'!$B$39)*COS('Alternative 1-Tilt Up'!K18))+(((('Alternative 1'!$B$12-'Alternative 1'!$B$29)+(('Alternative 1'!$B$29-'Alternative 1'!$B$28)/2))*('Alternative 1'!$B$39)*COS('Alternative 1-Tilt Up'!K18)))</f>
        <v>295689.12375029671</v>
      </c>
      <c r="P18" s="77">
        <f t="shared" si="1"/>
        <v>754818.12568786321</v>
      </c>
      <c r="R18" s="78">
        <f>'Alternative 1'!$B$39*$B18*$C18*COS($K$5)-($N$5/3)*$E18*SIN($K$5)-($N$5/3)*$F18*SIN($K$5)-($N$5/3)*$G18*SIN($K$5)</f>
        <v>548530.39349915553</v>
      </c>
      <c r="S18" s="79">
        <f>IF(($A18&lt;'Alternative 1'!$B$27),(($H18*'Alternative 1'!$B$39)+(3*($N$5/3)*COS($K$5))),IF(($A18&lt;'Alternative 1'!$B$28),(($H18*'Alternative 1'!$B$39)+(2*(($N$5/3)*COS($K$5)))),IF(($A18&lt;'Alternative 1'!$B$29),(($H$3*'Alternative 1'!$B$39+(($N$5/3)*COS($K$5)))),($H18*'Alternative 1'!$B$39))))</f>
        <v>4173513.6996804415</v>
      </c>
      <c r="T18" s="78">
        <f>R18*'Alternative 1'!$K19/'Alternative 1'!$L19</f>
        <v>10804611.870247368</v>
      </c>
      <c r="U18" s="78">
        <f>S18/'Alternative 1'!$M19</f>
        <v>1644144.1762862515</v>
      </c>
      <c r="V18" s="78">
        <f t="shared" si="2"/>
        <v>12.448756046533619</v>
      </c>
      <c r="X18" s="78">
        <f>'Alternative 1'!$B$39*$B18*$C18*COS($K$13)-($N$12/3)*$E18*SIN($K$13)-($N$12/3)*$F18*SIN($K$13)-($N$12/3)*$G18*SIN($K$13)</f>
        <v>392578.74045518576</v>
      </c>
      <c r="Y18" s="79">
        <f>IF(($A18&lt;'Alternative 1'!$B$27),(($H18*'Alternative 1'!$B$39)+(3*($N$12/3)*COS($K$13))),IF(($A18&lt;'Alternative 1'!$B$28),(($H18*'Alternative 1'!$B$39)+(2*(($N$12/3)*COS($K$13)))),IF(($A18&lt;'Alternative 1'!$B$29),(($H$3*'Alternative 1'!$B$39+(($N$12/3)*COS($K$13)))),($H18*'Alternative 1'!$B$39))))</f>
        <v>1046527.0695490565</v>
      </c>
      <c r="Z18" s="78">
        <f>X18*'Alternative 1'!$K19/'Alternative 1'!$L19</f>
        <v>7732772.8224332044</v>
      </c>
      <c r="AA18" s="78">
        <f>Y18/'Alternative 1'!$M19</f>
        <v>412276.4439126543</v>
      </c>
      <c r="AB18" s="78">
        <f t="shared" si="3"/>
        <v>8.1450492663458594</v>
      </c>
      <c r="AD18" s="78">
        <f>'Alternative 1'!$B$39*$B18*$C18*COS($K$23)-($N$22/3)*$E18*SIN($K$23)-($N$22/3)*$F18*SIN($K$23)-($N$22/3)*$G18*SIN($K$23)</f>
        <v>444673.08578212198</v>
      </c>
      <c r="AE18" s="79">
        <f>IF(($A18&lt;'Alternative 1'!$B$27),(($H18*'Alternative 1'!$B$39)+(3*($N$22/3)*COS($K$23))),IF(($A18&lt;'Alternative 1'!$B$28),(($H18*'Alternative 1'!$B$39)+(2*(($N$22/3)*COS($K$23)))),IF(($A18&lt;'Alternative 1'!$B$29),(($H$3*'Alternative 1'!$B$39+(($N$22/3)*COS($K$23)))),($H18*'Alternative 1'!$B$39))))</f>
        <v>559525.31563673145</v>
      </c>
      <c r="AF18" s="78">
        <f>AD18*'Alternative 1'!$K19/'Alternative 1'!$L19</f>
        <v>8758894.9636360276</v>
      </c>
      <c r="AG18" s="78">
        <f>AE18/'Alternative 1'!$M19</f>
        <v>220423.45021157994</v>
      </c>
      <c r="AH18" s="78">
        <f t="shared" si="4"/>
        <v>8.9793184138476079</v>
      </c>
      <c r="AJ18" s="78">
        <f>'Alternative 1'!$B$39*$B18*$C18*COS($K$33)-($N$32/3)*$E18*SIN($K$33)-($N$32/3)*$F18*SIN($K$33)-($N$32/3)*$G18*SIN($K$33)</f>
        <v>427585.49137161614</v>
      </c>
      <c r="AK18" s="79">
        <f>IF(($A18&lt;'Alternative 1'!$B$27),(($H18*'Alternative 1'!$B$39)+(3*($N$32/3)*COS($K$33))),IF(($A18&lt;'Alternative 1'!$B$28),(($H18*'Alternative 1'!$B$39)+(2*(($N$32/3)*COS($K$33)))),IF(($A18&lt;'Alternative 1'!$B$29),(($H$3*'Alternative 1'!$B$39+(($N$32/3)*COS($K$33)))),($H18*'Alternative 1'!$B$39))))</f>
        <v>396662.245160978</v>
      </c>
      <c r="AL18" s="78">
        <f>AJ18*'Alternative 1'!$K19/'Alternative 1'!$L19</f>
        <v>8422314.1148995068</v>
      </c>
      <c r="AM18" s="78">
        <f>AK18/'Alternative 1'!$M19</f>
        <v>156263.99414574506</v>
      </c>
      <c r="AN18" s="78">
        <f t="shared" si="5"/>
        <v>8.5785781090452531</v>
      </c>
      <c r="AP18" s="78">
        <f>'Alternative 1'!$B$39*$B18*$C18*COS($K$43)-($N$42/3)*$E18*SIN($K$43)-($N$42/3)*$F18*SIN($K$43)-($N$42/3)*$G18*SIN($K$43)</f>
        <v>383666.22601211141</v>
      </c>
      <c r="AQ18" s="79">
        <f>IF(($A18&lt;'Alternative 1'!$B$27),(($H18*'Alternative 1'!$B$39)+(3*($N$42/3)*COS($K$43))),IF(($A18&lt;'Alternative 1'!$B$28),(($H18*'Alternative 1'!$B$39)+(2*(($N$42/3)*COS($K$43)))),IF(($A18&lt;'Alternative 1'!$B$29),(($H$3*'Alternative 1'!$B$39+(($N$42/3)*COS($K$43)))),($H18*'Alternative 1'!$B$39))))</f>
        <v>310623.16530205996</v>
      </c>
      <c r="AR18" s="78">
        <f>AP18*'Alternative 1'!$K19/'Alternative 1'!$L19</f>
        <v>7557219.6343389135</v>
      </c>
      <c r="AS18" s="78">
        <f>AQ18/'Alternative 1'!$M19</f>
        <v>122369.13665578421</v>
      </c>
      <c r="AT18" s="78">
        <f t="shared" si="6"/>
        <v>7.6795887709946973</v>
      </c>
      <c r="AV18" s="78">
        <f>'Alternative 1'!$B$39*$B18*$C18*COS($K$53)-($N$52/3)*$E18*SIN($K$53)-($N$52/3)*$F18*SIN($K$53)-($N$52/3)*$G18*SIN($K$53)</f>
        <v>322118.32450168137</v>
      </c>
      <c r="AW18" s="79">
        <f>IF(($A18&lt;'Alternative 1'!$B$27),(($H18*'Alternative 1'!$B$39)+(3*($N$52/3)*COS($K$53))),IF(($A18&lt;'Alternative 1'!$B$28),(($H18*'Alternative 1'!$B$39)+(2*(($N$52/3)*COS($K$53)))),IF(($A18&lt;'Alternative 1'!$B$29),(($H$3*'Alternative 1'!$B$39+(($N$52/3)*COS($K$53)))),($H18*'Alternative 1'!$B$39))))</f>
        <v>256570.74242063245</v>
      </c>
      <c r="AX18" s="78">
        <f>AV18*'Alternative 1'!$K19/'Alternative 1'!$L19</f>
        <v>6344887.2000206104</v>
      </c>
      <c r="AY18" s="78">
        <f>AW18/'Alternative 1'!$M19</f>
        <v>101075.33419349317</v>
      </c>
      <c r="AZ18" s="78">
        <f t="shared" si="7"/>
        <v>6.4459625342141038</v>
      </c>
      <c r="BB18" s="78">
        <f>'Alternative 1'!$B$39*$B18*$C18*COS($K$63)-($N$62/3)*$E18*SIN($K$63)-($N$62/3)*$F18*SIN($K$63)-($N$62/3)*$G18*SIN($K$63)</f>
        <v>247405.06850558735</v>
      </c>
      <c r="BC18" s="79">
        <f>IF(($A18&lt;'Alternative 1'!$B$27),(($H18*'Alternative 1'!$B$39)+(3*($N$62/3)*COS($K$63))),IF(($A18&lt;'Alternative 1'!$B$28),(($H18*'Alternative 1'!$B$39)+(2*(($N$62/3)*COS($K$63)))),IF(($A18&lt;'Alternative 1'!$B$29),(($H$3*'Alternative 1'!$B$39+(($N$62/3)*COS($K$63)))),($H18*'Alternative 1'!$B$39))))</f>
        <v>220509.10334579076</v>
      </c>
      <c r="BD18" s="78">
        <f>BB18*'Alternative 1'!$K19/'Alternative 1'!$L19</f>
        <v>4873231.769132494</v>
      </c>
      <c r="BE18" s="78">
        <f>BC18/'Alternative 1'!$M19</f>
        <v>86868.951241694682</v>
      </c>
      <c r="BF18" s="78">
        <f t="shared" si="8"/>
        <v>4.9601007203741885</v>
      </c>
      <c r="BH18" s="78">
        <f>'Alternative 1'!$B$39*$B18*$C18*COS($K$73)-($N$72/3)*$E18*SIN($K$73)-($N$72/3)*$F18*SIN($K$73)-($N$72/3)*$G18*SIN($K$73)</f>
        <v>162896.95125948539</v>
      </c>
      <c r="BI18" s="79">
        <f>IF(($A18&lt;'Alternative 1'!$B$27),(($H18*'Alternative 1'!$B$39)+(3*($N$72/3)*COS($K$73))),IF(($A18&lt;'Alternative 1'!$B$28),(($H18*'Alternative 1'!$B$39)+(2*(($N$72/3)*COS($K$73)))),IF(($A18&lt;'Alternative 1'!$B$29),(($H$3*'Alternative 1'!$B$39+(($N$72/3)*COS($K$73)))),($H18*'Alternative 1'!$B$39))))</f>
        <v>196898.16441910353</v>
      </c>
      <c r="BJ18" s="78">
        <f>BH18*'Alternative 1'!$K19/'Alternative 1'!$L19</f>
        <v>3208643.2293711226</v>
      </c>
      <c r="BK18" s="78">
        <f>BI18/'Alternative 1'!$M19</f>
        <v>77567.487169362648</v>
      </c>
      <c r="BL18" s="78">
        <f t="shared" si="9"/>
        <v>3.2862107165404852</v>
      </c>
      <c r="BN18" s="78">
        <f>'Alternative 1'!$B$39*$B18*$C18*COS($K$83)-($N$82/3)*$E18*SIN($K$83)-($N$82/3)*$F18*SIN($K$83)-($N$82/3)*$G18*SIN($K$83)</f>
        <v>71687.836013208173</v>
      </c>
      <c r="BO18" s="79">
        <f>IF(($A18&lt;'Alternative 1'!$B$27),(($H18*'Alternative 1'!$B$39)+(3*($N$82/3)*COS($K$83))),IF(($A18&lt;'Alternative 1'!$B$28),(($H18*'Alternative 1'!$B$39)+(2*(($N$82/3)*COS($K$83)))),IF(($A18&lt;'Alternative 1'!$B$29),(($H$3*'Alternative 1'!$B$39+(($N$82/3)*COS($K$83)))),($H18*'Alternative 1'!$B$39))))</f>
        <v>183282.51225922233</v>
      </c>
      <c r="BP18" s="78">
        <f>BN18*'Alternative 1'!$K19/'Alternative 1'!$L19</f>
        <v>1412062.5823477698</v>
      </c>
      <c r="BQ18" s="78">
        <f>BO18/'Alternative 1'!$M19</f>
        <v>72203.638667626074</v>
      </c>
      <c r="BR18" s="78">
        <f t="shared" si="10"/>
        <v>1.4842662210153958</v>
      </c>
      <c r="BT18" s="78">
        <f>'Alternative 1'!$B$39*$B18*$C18*COS($K$93)-($K$92/3)*$E18*SIN($K$93)-($K$92/3)*$F18*SIN($K$93)-($K$92/3)*$G18*SIN($K$93)</f>
        <v>-9.8378392169598481</v>
      </c>
      <c r="BU18" s="79">
        <f>IF(($A18&lt;'Alternative 1'!$B$27),(($H18*'Alternative 1'!$B$39)+(3*($N$92/3)*COS($K$93))),IF(($A18&lt;'Alternative 1'!$B$28),(($H18*'Alternative 1'!$B$39)+(2*(($N$92/3)*COS($K$93)))),IF(($A18&lt;'Alternative 1'!$B$29),(($H$3*'Alternative 1'!$B$39+(($N$92/3)*COS($K$93)))),($H18*'Alternative 1'!$B$39))))</f>
        <v>178569.94553125676</v>
      </c>
      <c r="BV18" s="78">
        <f>BT18*'Alternative 1'!$K19/'Alternative 1'!$L19</f>
        <v>-193.77966224092759</v>
      </c>
      <c r="BW18" s="78">
        <f>BU18/'Alternative 1'!$M19</f>
        <v>70347.136042095401</v>
      </c>
      <c r="BX18" s="78">
        <f t="shared" si="11"/>
        <v>7.0153356379854481E-2</v>
      </c>
      <c r="BZ18" s="77">
        <v>150</v>
      </c>
      <c r="CA18" s="77">
        <v>-150</v>
      </c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</row>
    <row r="19" spans="1:115" ht="15" customHeight="1" x14ac:dyDescent="0.25">
      <c r="A19" s="89">
        <f>IF('Alternative 1'!F20&gt;0,'Alternative 1'!F20,"x")</f>
        <v>17</v>
      </c>
      <c r="B19" s="89">
        <f t="shared" si="17"/>
        <v>20</v>
      </c>
      <c r="C19" s="89">
        <f t="shared" si="12"/>
        <v>10</v>
      </c>
      <c r="D19" s="89">
        <f t="shared" si="13"/>
        <v>17</v>
      </c>
      <c r="E19" s="74">
        <f>IF($A19&lt;='Alternative 1'!$B$27, IF($A19='Alternative 1'!$B$27,0,E20+1),0)</f>
        <v>0</v>
      </c>
      <c r="F19" s="74">
        <f>IF($A19&lt;=('Alternative 1'!$B$28), IF($A19=ROUNDDOWN('Alternative 1'!$B$28,0),0,F20+1),0)</f>
        <v>5</v>
      </c>
      <c r="G19" s="74">
        <f>IF($A19&lt;=('Alternative 1'!$B$29), IF($A19=ROUNDDOWN('Alternative 1'!$B$29,0),0,G20+1),0)</f>
        <v>12</v>
      </c>
      <c r="H19" s="89">
        <f t="shared" si="14"/>
        <v>20</v>
      </c>
      <c r="J19" s="77">
        <f t="shared" si="15"/>
        <v>16</v>
      </c>
      <c r="K19" s="77">
        <f t="shared" si="16"/>
        <v>0.27925268031909273</v>
      </c>
      <c r="L19" s="78">
        <f>'Alternative 1'!$B$27*SIN(K19)+'Alternative 1'!$B$28*SIN(K19)+'Alternative 1'!$B$29*SIN(K19)</f>
        <v>18.743340195555945</v>
      </c>
      <c r="M19" s="77">
        <f>(('Alternative 1'!$B$27)*(((('Alternative 1'!$B$28-'Alternative 1'!$B$27)/2)+'Alternative 1'!$B$27)*'Alternative 1'!$B$39)*COS('Alternative 1-Tilt Up'!K19))+(('Alternative 1'!$B$28)*((('Alternative 1'!$B$28-'Alternative 1'!$B$27)/2)+(('Alternative 1'!$B$29-'Alternative 1'!$B$28)/2))*('Alternative 1'!$B$39)*COS('Alternative 1-Tilt Up'!K19))+(('Alternative 1'!$B$29)*((('Alternative 1'!$B$12-'Alternative 1'!$B$29+(('Alternative 1'!$B$29-'Alternative 1'!$B$28)/2)*('Alternative 1'!$B$39)*COS('Alternative 1-Tilt Up'!K19)))))</f>
        <v>4562263.6555506075</v>
      </c>
      <c r="N19" s="77">
        <f t="shared" si="0"/>
        <v>730221.55196740059</v>
      </c>
      <c r="O19" s="77">
        <f>(((('Alternative 1'!$B$28-'Alternative 1'!$B$27)/2)+'Alternative 1'!$B$27)*('Alternative 1'!$B$39)*COS('Alternative 1-Tilt Up'!K19))+(((('Alternative 1'!$B$28-'Alternative 1'!$B$27)/2)+(('Alternative 1'!$B$29-'Alternative 1'!$B$28)/2))*('Alternative 1'!$B$39)*COS('Alternative 1-Tilt Up'!K19))+(((('Alternative 1'!$B$12-'Alternative 1'!$B$29)+(('Alternative 1'!$B$29-'Alternative 1'!$B$28)/2))*('Alternative 1'!$B$39)*COS('Alternative 1-Tilt Up'!K19)))</f>
        <v>294261.34060283843</v>
      </c>
      <c r="P19" s="77">
        <f t="shared" si="1"/>
        <v>701934.00745489472</v>
      </c>
      <c r="R19" s="78">
        <f>'Alternative 1'!$B$39*$B19*$C19*COS($K$5)-($N$5/3)*$E19*SIN($K$5)-($N$5/3)*$F19*SIN($K$5)-($N$5/3)*$G19*SIN($K$5)</f>
        <v>513824.81329518347</v>
      </c>
      <c r="S19" s="79">
        <f>IF(($A19&lt;'Alternative 1'!$B$27),(($H19*'Alternative 1'!$B$39)+(3*($N$5/3)*COS($K$5))),IF(($A19&lt;'Alternative 1'!$B$28),(($H19*'Alternative 1'!$B$39)+(2*(($N$5/3)*COS($K$5)))),IF(($A19&lt;'Alternative 1'!$B$29),(($H$3*'Alternative 1'!$B$39+(($N$5/3)*COS($K$5)))),($H19*'Alternative 1'!$B$39))))</f>
        <v>4165010.3689408577</v>
      </c>
      <c r="T19" s="78">
        <f>R19*'Alternative 1'!$K20/'Alternative 1'!$L20</f>
        <v>10348712.725972049</v>
      </c>
      <c r="U19" s="78">
        <f>S19/'Alternative 1'!$M20</f>
        <v>1677710.1274108815</v>
      </c>
      <c r="V19" s="78">
        <f t="shared" si="2"/>
        <v>12.026422853382931</v>
      </c>
      <c r="X19" s="78">
        <f>'Alternative 1'!$B$39*$B19*$C19*COS($K$13)-($N$12/3)*$E19*SIN($K$13)-($N$12/3)*$F19*SIN($K$13)-($N$12/3)*$G19*SIN($K$13)</f>
        <v>373953.00572288211</v>
      </c>
      <c r="Y19" s="79">
        <f>IF(($A19&lt;'Alternative 1'!$B$27),(($H19*'Alternative 1'!$B$39)+(3*($N$12/3)*COS($K$13))),IF(($A19&lt;'Alternative 1'!$B$28),(($H19*'Alternative 1'!$B$39)+(2*(($N$12/3)*COS($K$13)))),IF(($A19&lt;'Alternative 1'!$B$29),(($H$3*'Alternative 1'!$B$39+(($N$12/3)*COS($K$13)))),($H19*'Alternative 1'!$B$39))))</f>
        <v>1038023.7388094729</v>
      </c>
      <c r="Z19" s="78">
        <f>X19*'Alternative 1'!$K20/'Alternative 1'!$L20</f>
        <v>7531618.0322663393</v>
      </c>
      <c r="AA19" s="78">
        <f>Y19/'Alternative 1'!$M20</f>
        <v>418126.91562072054</v>
      </c>
      <c r="AB19" s="78">
        <f t="shared" si="3"/>
        <v>7.9497449478870603</v>
      </c>
      <c r="AD19" s="78">
        <f>'Alternative 1'!$B$39*$B19*$C19*COS($K$23)-($N$22/3)*$E19*SIN($K$23)-($N$22/3)*$F19*SIN($K$23)-($N$22/3)*$G19*SIN($K$23)</f>
        <v>419523.89954856026</v>
      </c>
      <c r="AE19" s="79">
        <f>IF(($A19&lt;'Alternative 1'!$B$27),(($H19*'Alternative 1'!$B$39)+(3*($N$22/3)*COS($K$23))),IF(($A19&lt;'Alternative 1'!$B$28),(($H19*'Alternative 1'!$B$39)+(2*(($N$22/3)*COS($K$23)))),IF(($A19&lt;'Alternative 1'!$B$29),(($H$3*'Alternative 1'!$B$39+(($N$22/3)*COS($K$23)))),($H19*'Alternative 1'!$B$39))))</f>
        <v>551021.98489714775</v>
      </c>
      <c r="AF19" s="78">
        <f>AD19*'Alternative 1'!$K20/'Alternative 1'!$L20</f>
        <v>8449440.7544570453</v>
      </c>
      <c r="AG19" s="78">
        <f>AE19/'Alternative 1'!$M20</f>
        <v>221957.47011383192</v>
      </c>
      <c r="AH19" s="78">
        <f t="shared" si="4"/>
        <v>8.6713982245708774</v>
      </c>
      <c r="AJ19" s="78">
        <f>'Alternative 1'!$B$39*$B19*$C19*COS($K$33)-($N$32/3)*$E19*SIN($K$33)-($N$32/3)*$F19*SIN($K$33)-($N$32/3)*$G19*SIN($K$33)</f>
        <v>402537.08030717843</v>
      </c>
      <c r="AK19" s="79">
        <f>IF(($A19&lt;'Alternative 1'!$B$27),(($H19*'Alternative 1'!$B$39)+(3*($N$32/3)*COS($K$33))),IF(($A19&lt;'Alternative 1'!$B$28),(($H19*'Alternative 1'!$B$39)+(2*(($N$32/3)*COS($K$33)))),IF(($A19&lt;'Alternative 1'!$B$29),(($H$3*'Alternative 1'!$B$39+(($N$32/3)*COS($K$33)))),($H19*'Alternative 1'!$B$39))))</f>
        <v>388158.91442139435</v>
      </c>
      <c r="AL19" s="78">
        <f>AJ19*'Alternative 1'!$K20/'Alternative 1'!$L20</f>
        <v>8107316.9256568868</v>
      </c>
      <c r="AM19" s="78">
        <f>AK19/'Alternative 1'!$M20</f>
        <v>156354.50673204171</v>
      </c>
      <c r="AN19" s="78">
        <f t="shared" si="5"/>
        <v>8.2636714323889287</v>
      </c>
      <c r="AP19" s="78">
        <f>'Alternative 1'!$B$39*$B19*$C19*COS($K$43)-($N$42/3)*$E19*SIN($K$43)-($N$42/3)*$F19*SIN($K$43)-($N$42/3)*$G19*SIN($K$43)</f>
        <v>360936.48416581715</v>
      </c>
      <c r="AQ19" s="79">
        <f>IF(($A19&lt;'Alternative 1'!$B$27),(($H19*'Alternative 1'!$B$39)+(3*($N$42/3)*COS($K$43))),IF(($A19&lt;'Alternative 1'!$B$28),(($H19*'Alternative 1'!$B$39)+(2*(($N$42/3)*COS($K$43)))),IF(($A19&lt;'Alternative 1'!$B$29),(($H$3*'Alternative 1'!$B$39+(($N$42/3)*COS($K$43)))),($H19*'Alternative 1'!$B$39))))</f>
        <v>302119.83456247626</v>
      </c>
      <c r="AR19" s="78">
        <f>AP19*'Alternative 1'!$K20/'Alternative 1'!$L20</f>
        <v>7269458.1699941717</v>
      </c>
      <c r="AS19" s="78">
        <f>AQ19/'Alternative 1'!$M20</f>
        <v>121697.05744719693</v>
      </c>
      <c r="AT19" s="78">
        <f t="shared" si="6"/>
        <v>7.3911552274413683</v>
      </c>
      <c r="AV19" s="78">
        <f>'Alternative 1'!$B$39*$B19*$C19*COS($K$53)-($N$52/3)*$E19*SIN($K$53)-($N$52/3)*$F19*SIN($K$53)-($N$52/3)*$G19*SIN($K$53)</f>
        <v>303026.42379014951</v>
      </c>
      <c r="AW19" s="79">
        <f>IF(($A19&lt;'Alternative 1'!$B$27),(($H19*'Alternative 1'!$B$39)+(3*($N$52/3)*COS($K$53))),IF(($A19&lt;'Alternative 1'!$B$28),(($H19*'Alternative 1'!$B$39)+(2*(($N$52/3)*COS($K$53)))),IF(($A19&lt;'Alternative 1'!$B$29),(($H$3*'Alternative 1'!$B$39+(($N$52/3)*COS($K$53)))),($H19*'Alternative 1'!$B$39))))</f>
        <v>248067.4116810488</v>
      </c>
      <c r="AX19" s="78">
        <f>AV19*'Alternative 1'!$K20/'Alternative 1'!$L20</f>
        <v>6103117.8857868435</v>
      </c>
      <c r="AY19" s="78">
        <f>AW19/'Alternative 1'!$M20</f>
        <v>99924.171128470407</v>
      </c>
      <c r="AZ19" s="78">
        <f t="shared" si="7"/>
        <v>6.2030420569153142</v>
      </c>
      <c r="BB19" s="78">
        <f>'Alternative 1'!$B$39*$B19*$C19*COS($K$63)-($N$62/3)*$E19*SIN($K$63)-($N$62/3)*$F19*SIN($K$63)-($N$62/3)*$G19*SIN($K$63)</f>
        <v>232886.6805862771</v>
      </c>
      <c r="BC19" s="79">
        <f>IF(($A19&lt;'Alternative 1'!$B$27),(($H19*'Alternative 1'!$B$39)+(3*($N$62/3)*COS($K$63))),IF(($A19&lt;'Alternative 1'!$B$28),(($H19*'Alternative 1'!$B$39)+(2*(($N$62/3)*COS($K$63)))),IF(($A19&lt;'Alternative 1'!$B$29),(($H$3*'Alternative 1'!$B$39+(($N$62/3)*COS($K$63)))),($H19*'Alternative 1'!$B$39))))</f>
        <v>212005.77260620709</v>
      </c>
      <c r="BD19" s="78">
        <f>BB19*'Alternative 1'!$K20/'Alternative 1'!$L20</f>
        <v>4690465.1015910478</v>
      </c>
      <c r="BE19" s="78">
        <f>BC19/'Alternative 1'!$M20</f>
        <v>85398.162372750783</v>
      </c>
      <c r="BF19" s="78">
        <f t="shared" si="8"/>
        <v>4.7758632639637986</v>
      </c>
      <c r="BH19" s="78">
        <f>'Alternative 1'!$B$39*$B19*$C19*COS($K$73)-($N$72/3)*$E19*SIN($K$73)-($N$72/3)*$F19*SIN($K$73)-($N$72/3)*$G19*SIN($K$73)</f>
        <v>153632.95562755765</v>
      </c>
      <c r="BI19" s="79">
        <f>IF(($A19&lt;'Alternative 1'!$B$27),(($H19*'Alternative 1'!$B$39)+(3*($N$72/3)*COS($K$73))),IF(($A19&lt;'Alternative 1'!$B$28),(($H19*'Alternative 1'!$B$39)+(2*(($N$72/3)*COS($K$73)))),IF(($A19&lt;'Alternative 1'!$B$29),(($H$3*'Alternative 1'!$B$39+(($N$72/3)*COS($K$73)))),($H19*'Alternative 1'!$B$39))))</f>
        <v>188394.83367951986</v>
      </c>
      <c r="BJ19" s="78">
        <f>BH19*'Alternative 1'!$K20/'Alternative 1'!$L20</f>
        <v>3094251.7408520579</v>
      </c>
      <c r="BK19" s="78">
        <f>BI19/'Alternative 1'!$M20</f>
        <v>75887.42702131487</v>
      </c>
      <c r="BL19" s="78">
        <f t="shared" si="9"/>
        <v>3.1701391678733728</v>
      </c>
      <c r="BN19" s="78">
        <f>'Alternative 1'!$B$39*$B19*$C19*COS($K$83)-($N$82/3)*$E19*SIN($K$83)-($N$82/3)*$F19*SIN($K$83)-($N$82/3)*$G19*SIN($K$83)</f>
        <v>68144.078337182902</v>
      </c>
      <c r="BO19" s="79">
        <f>IF(($A19&lt;'Alternative 1'!$B$27),(($H19*'Alternative 1'!$B$39)+(3*($N$82/3)*COS($K$83))),IF(($A19&lt;'Alternative 1'!$B$28),(($H19*'Alternative 1'!$B$39)+(2*(($N$82/3)*COS($K$83)))),IF(($A19&lt;'Alternative 1'!$B$29),(($H$3*'Alternative 1'!$B$39+(($N$82/3)*COS($K$83)))),($H19*'Alternative 1'!$B$39))))</f>
        <v>174779.18151963869</v>
      </c>
      <c r="BP19" s="78">
        <f>BN19*'Alternative 1'!$K20/'Alternative 1'!$L20</f>
        <v>1372459.002447034</v>
      </c>
      <c r="BQ19" s="78">
        <f>BO19/'Alternative 1'!$M20</f>
        <v>70402.898653683122</v>
      </c>
      <c r="BR19" s="78">
        <f t="shared" si="10"/>
        <v>1.4428619011007171</v>
      </c>
      <c r="BT19" s="78">
        <f>'Alternative 1'!$B$39*$B19*$C19*COS($K$93)-($K$92/3)*$E19*SIN($K$93)-($K$92/3)*$F19*SIN($K$93)-($K$92/3)*$G19*SIN($K$93)</f>
        <v>-8.802277194120558</v>
      </c>
      <c r="BU19" s="79">
        <f>IF(($A19&lt;'Alternative 1'!$B$27),(($H19*'Alternative 1'!$B$39)+(3*($N$92/3)*COS($K$93))),IF(($A19&lt;'Alternative 1'!$B$28),(($H19*'Alternative 1'!$B$39)+(2*(($N$92/3)*COS($K$93)))),IF(($A19&lt;'Alternative 1'!$B$29),(($H$3*'Alternative 1'!$B$39+(($N$92/3)*COS($K$93)))),($H19*'Alternative 1'!$B$39))))</f>
        <v>170066.61479167308</v>
      </c>
      <c r="BV19" s="78">
        <f>BT19*'Alternative 1'!$K20/'Alternative 1'!$L20</f>
        <v>-177.28267623385102</v>
      </c>
      <c r="BW19" s="78">
        <f>BU19/'Alternative 1'!$M20</f>
        <v>68504.627046830443</v>
      </c>
      <c r="BX19" s="78">
        <f t="shared" si="11"/>
        <v>6.8327344370596593E-2</v>
      </c>
      <c r="BZ19" s="77">
        <v>150</v>
      </c>
      <c r="CA19" s="77">
        <v>-150</v>
      </c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281"/>
      <c r="DC19" s="281"/>
      <c r="DD19" s="281"/>
      <c r="DE19" s="281"/>
      <c r="DF19" s="281"/>
      <c r="DG19" s="281"/>
      <c r="DH19" s="281"/>
      <c r="DI19" s="281"/>
      <c r="DJ19" s="281"/>
      <c r="DK19" s="281"/>
    </row>
    <row r="20" spans="1:115" ht="15" customHeight="1" x14ac:dyDescent="0.25">
      <c r="A20" s="89">
        <f>IF('Alternative 1'!F21&gt;0,'Alternative 1'!F21,"x")</f>
        <v>18</v>
      </c>
      <c r="B20" s="89">
        <f t="shared" si="17"/>
        <v>19</v>
      </c>
      <c r="C20" s="89">
        <f t="shared" si="12"/>
        <v>9.5</v>
      </c>
      <c r="D20" s="89">
        <f t="shared" si="13"/>
        <v>18</v>
      </c>
      <c r="E20" s="74">
        <f>IF($A20&lt;='Alternative 1'!$B$27, IF($A20='Alternative 1'!$B$27,0,E21+1),0)</f>
        <v>0</v>
      </c>
      <c r="F20" s="74">
        <f>IF($A20&lt;=('Alternative 1'!$B$28), IF($A20=ROUNDDOWN('Alternative 1'!$B$28,0),0,F21+1),0)</f>
        <v>4</v>
      </c>
      <c r="G20" s="74">
        <f>IF($A20&lt;=('Alternative 1'!$B$29), IF($A20=ROUNDDOWN('Alternative 1'!$B$29,0),0,G21+1),0)</f>
        <v>11</v>
      </c>
      <c r="H20" s="89">
        <f t="shared" si="14"/>
        <v>19</v>
      </c>
      <c r="J20" s="77">
        <f t="shared" si="15"/>
        <v>17</v>
      </c>
      <c r="K20" s="77">
        <f t="shared" si="16"/>
        <v>0.29670597283903605</v>
      </c>
      <c r="L20" s="78">
        <f>'Alternative 1'!$B$27*SIN(K20)+'Alternative 1'!$B$28*SIN(K20)+'Alternative 1'!$B$29*SIN(K20)</f>
        <v>19.881275921146099</v>
      </c>
      <c r="M20" s="77">
        <f>(('Alternative 1'!$B$27)*(((('Alternative 1'!$B$28-'Alternative 1'!$B$27)/2)+'Alternative 1'!$B$27)*'Alternative 1'!$B$39)*COS('Alternative 1-Tilt Up'!K20))+(('Alternative 1'!$B$28)*((('Alternative 1'!$B$28-'Alternative 1'!$B$27)/2)+(('Alternative 1'!$B$29-'Alternative 1'!$B$28)/2))*('Alternative 1'!$B$39)*COS('Alternative 1-Tilt Up'!K20))+(('Alternative 1'!$B$29)*((('Alternative 1'!$B$12-'Alternative 1'!$B$29+(('Alternative 1'!$B$29-'Alternative 1'!$B$28)/2)*('Alternative 1'!$B$39)*COS('Alternative 1-Tilt Up'!K20)))))</f>
        <v>4538738.4308839906</v>
      </c>
      <c r="N20" s="77">
        <f t="shared" si="0"/>
        <v>684876.33020421537</v>
      </c>
      <c r="O20" s="77">
        <f>(((('Alternative 1'!$B$28-'Alternative 1'!$B$27)/2)+'Alternative 1'!$B$27)*('Alternative 1'!$B$39)*COS('Alternative 1-Tilt Up'!K20))+(((('Alternative 1'!$B$28-'Alternative 1'!$B$27)/2)+(('Alternative 1'!$B$29-'Alternative 1'!$B$28)/2))*('Alternative 1'!$B$39)*COS('Alternative 1-Tilt Up'!K20))+(((('Alternative 1'!$B$12-'Alternative 1'!$B$29)+(('Alternative 1'!$B$29-'Alternative 1'!$B$28)/2))*('Alternative 1'!$B$39)*COS('Alternative 1-Tilt Up'!K20)))</f>
        <v>292743.92260045884</v>
      </c>
      <c r="P20" s="77">
        <f t="shared" si="1"/>
        <v>654950.4918208014</v>
      </c>
      <c r="R20" s="78">
        <f>'Alternative 1'!$B$39*$B20*$C20*COS($K$5)-($N$5/3)*$E20*SIN($K$5)-($N$5/3)*$F20*SIN($K$5)-($N$5/3)*$G20*SIN($K$5)</f>
        <v>487617.38383146084</v>
      </c>
      <c r="S20" s="79">
        <f>IF(($A20&lt;'Alternative 1'!$B$27),(($H20*'Alternative 1'!$B$39)+(3*($N$5/3)*COS($K$5))),IF(($A20&lt;'Alternative 1'!$B$28),(($H20*'Alternative 1'!$B$39)+(2*(($N$5/3)*COS($K$5)))),IF(($A20&lt;'Alternative 1'!$B$29),(($H$3*'Alternative 1'!$B$39+(($N$5/3)*COS($K$5)))),($H20*'Alternative 1'!$B$39))))</f>
        <v>4156507.0382012739</v>
      </c>
      <c r="T20" s="78">
        <f>R20*'Alternative 1'!$K21/'Alternative 1'!$L21</f>
        <v>10044352.102200108</v>
      </c>
      <c r="U20" s="78">
        <f>S20/'Alternative 1'!$M21</f>
        <v>1712382.7707357327</v>
      </c>
      <c r="V20" s="78">
        <f t="shared" si="2"/>
        <v>11.756734872935841</v>
      </c>
      <c r="X20" s="78">
        <f>'Alternative 1'!$B$39*$B20*$C20*COS($K$13)-($N$12/3)*$E20*SIN($K$13)-($N$12/3)*$F20*SIN($K$13)-($N$12/3)*$G20*SIN($K$13)</f>
        <v>363701.41702934762</v>
      </c>
      <c r="Y20" s="79">
        <f>IF(($A20&lt;'Alternative 1'!$B$27),(($H20*'Alternative 1'!$B$39)+(3*($N$12/3)*COS($K$13))),IF(($A20&lt;'Alternative 1'!$B$28),(($H20*'Alternative 1'!$B$39)+(2*(($N$12/3)*COS($K$13)))),IF(($A20&lt;'Alternative 1'!$B$29),(($H$3*'Alternative 1'!$B$39+(($N$12/3)*COS($K$13)))),($H20*'Alternative 1'!$B$39))))</f>
        <v>1029520.4080698892</v>
      </c>
      <c r="Z20" s="78">
        <f>X20*'Alternative 1'!$K21/'Alternative 1'!$L21</f>
        <v>7491827.0222592223</v>
      </c>
      <c r="AA20" s="78">
        <f>Y20/'Alternative 1'!$M21</f>
        <v>424138.10266579204</v>
      </c>
      <c r="AB20" s="78">
        <f t="shared" si="3"/>
        <v>7.9159651249250143</v>
      </c>
      <c r="AD20" s="78">
        <f>'Alternative 1'!$B$39*$B20*$C20*COS($K$23)-($N$22/3)*$E20*SIN($K$23)-($N$22/3)*$F20*SIN($K$23)-($N$22/3)*$G20*SIN($K$23)</f>
        <v>402365.23046308709</v>
      </c>
      <c r="AE20" s="79">
        <f>IF(($A20&lt;'Alternative 1'!$B$27),(($H20*'Alternative 1'!$B$39)+(3*($N$22/3)*COS($K$23))),IF(($A20&lt;'Alternative 1'!$B$28),(($H20*'Alternative 1'!$B$39)+(2*(($N$22/3)*COS($K$23)))),IF(($A20&lt;'Alternative 1'!$B$29),(($H$3*'Alternative 1'!$B$39+(($N$22/3)*COS($K$23)))),($H20*'Alternative 1'!$B$39))))</f>
        <v>542518.65415756404</v>
      </c>
      <c r="AF20" s="78">
        <f>AD20*'Alternative 1'!$K21/'Alternative 1'!$L21</f>
        <v>8288256.6997468546</v>
      </c>
      <c r="AG20" s="78">
        <f>AE20/'Alternative 1'!$M21</f>
        <v>223504.8774473324</v>
      </c>
      <c r="AH20" s="78">
        <f t="shared" si="4"/>
        <v>8.5117615771941875</v>
      </c>
      <c r="AJ20" s="78">
        <f>'Alternative 1'!$B$39*$B20*$C20*COS($K$33)-($N$32/3)*$E20*SIN($K$33)-($N$32/3)*$F20*SIN($K$33)-($N$32/3)*$G20*SIN($K$33)</f>
        <v>384852.76968000154</v>
      </c>
      <c r="AK20" s="79">
        <f>IF(($A20&lt;'Alternative 1'!$B$27),(($H20*'Alternative 1'!$B$39)+(3*($N$32/3)*COS($K$33))),IF(($A20&lt;'Alternative 1'!$B$28),(($H20*'Alternative 1'!$B$39)+(2*(($N$32/3)*COS($K$33)))),IF(($A20&lt;'Alternative 1'!$B$29),(($H$3*'Alternative 1'!$B$39+(($N$32/3)*COS($K$33)))),($H20*'Alternative 1'!$B$39))))</f>
        <v>379655.58368181065</v>
      </c>
      <c r="AL20" s="78">
        <f>AJ20*'Alternative 1'!$K21/'Alternative 1'!$L21</f>
        <v>7927520.3353064926</v>
      </c>
      <c r="AM20" s="78">
        <f>AK20/'Alternative 1'!$M21</f>
        <v>156409.1373683053</v>
      </c>
      <c r="AN20" s="78">
        <f t="shared" si="5"/>
        <v>8.0839294726747983</v>
      </c>
      <c r="AP20" s="78">
        <f>'Alternative 1'!$B$39*$B20*$C20*COS($K$43)-($N$42/3)*$E20*SIN($K$43)-($N$42/3)*$F20*SIN($K$43)-($N$42/3)*$G20*SIN($K$43)</f>
        <v>344720.67158058402</v>
      </c>
      <c r="AQ20" s="79">
        <f>IF(($A20&lt;'Alternative 1'!$B$27),(($H20*'Alternative 1'!$B$39)+(3*($N$42/3)*COS($K$43))),IF(($A20&lt;'Alternative 1'!$B$28),(($H20*'Alternative 1'!$B$39)+(2*(($N$42/3)*COS($K$43)))),IF(($A20&lt;'Alternative 1'!$B$29),(($H$3*'Alternative 1'!$B$39+(($N$42/3)*COS($K$43)))),($H20*'Alternative 1'!$B$39))))</f>
        <v>293616.50382289261</v>
      </c>
      <c r="AR20" s="78">
        <f>AP20*'Alternative 1'!$K21/'Alternative 1'!$L21</f>
        <v>7100845.6980258981</v>
      </c>
      <c r="AS20" s="78">
        <f>AQ20/'Alternative 1'!$M21</f>
        <v>120963.06772225825</v>
      </c>
      <c r="AT20" s="78">
        <f t="shared" si="6"/>
        <v>7.2218087657481567</v>
      </c>
      <c r="AV20" s="78">
        <f>'Alternative 1'!$B$39*$B20*$C20*COS($K$53)-($N$52/3)*$E20*SIN($K$53)-($N$52/3)*$F20*SIN($K$53)-($N$52/3)*$G20*SIN($K$53)</f>
        <v>289400.35871908895</v>
      </c>
      <c r="AW20" s="79">
        <f>IF(($A20&lt;'Alternative 1'!$B$27),(($H20*'Alternative 1'!$B$39)+(3*($N$52/3)*COS($K$53))),IF(($A20&lt;'Alternative 1'!$B$28),(($H20*'Alternative 1'!$B$39)+(2*(($N$52/3)*COS($K$53)))),IF(($A20&lt;'Alternative 1'!$B$29),(($H$3*'Alternative 1'!$B$39+(($N$52/3)*COS($K$53)))),($H20*'Alternative 1'!$B$39))))</f>
        <v>239564.08094146516</v>
      </c>
      <c r="AX20" s="78">
        <f>AV20*'Alternative 1'!$K21/'Alternative 1'!$L21</f>
        <v>5961311.4664555537</v>
      </c>
      <c r="AY20" s="78">
        <f>AW20/'Alternative 1'!$M21</f>
        <v>98694.745593124346</v>
      </c>
      <c r="AZ20" s="78">
        <f t="shared" si="7"/>
        <v>6.0600062120486777</v>
      </c>
      <c r="BB20" s="78">
        <f>'Alternative 1'!$B$39*$B20*$C20*COS($K$63)-($N$62/3)*$E20*SIN($K$63)-($N$62/3)*$F20*SIN($K$63)-($N$62/3)*$G20*SIN($K$63)</f>
        <v>222619.95803675847</v>
      </c>
      <c r="BC20" s="79">
        <f>IF(($A20&lt;'Alternative 1'!$B$27),(($H20*'Alternative 1'!$B$39)+(3*($N$62/3)*COS($K$63))),IF(($A20&lt;'Alternative 1'!$B$28),(($H20*'Alternative 1'!$B$39)+(2*(($N$62/3)*COS($K$63)))),IF(($A20&lt;'Alternative 1'!$B$29),(($H$3*'Alternative 1'!$B$39+(($N$62/3)*COS($K$63)))),($H20*'Alternative 1'!$B$39))))</f>
        <v>203502.44186662344</v>
      </c>
      <c r="BD20" s="78">
        <f>BB20*'Alternative 1'!$K21/'Alternative 1'!$L21</f>
        <v>4585712.7281399118</v>
      </c>
      <c r="BE20" s="78">
        <f>BC20/'Alternative 1'!$M21</f>
        <v>83838.201656422068</v>
      </c>
      <c r="BF20" s="78">
        <f t="shared" si="8"/>
        <v>4.6695509297963333</v>
      </c>
      <c r="BH20" s="78">
        <f>'Alternative 1'!$B$39*$B20*$C20*COS($K$73)-($N$72/3)*$E20*SIN($K$73)-($N$72/3)*$F20*SIN($K$73)-($N$72/3)*$G20*SIN($K$73)</f>
        <v>147277.27039392805</v>
      </c>
      <c r="BI20" s="79">
        <f>IF(($A20&lt;'Alternative 1'!$B$27),(($H20*'Alternative 1'!$B$39)+(3*($N$72/3)*COS($K$73))),IF(($A20&lt;'Alternative 1'!$B$28),(($H20*'Alternative 1'!$B$39)+(2*(($N$72/3)*COS($K$73)))),IF(($A20&lt;'Alternative 1'!$B$29),(($H$3*'Alternative 1'!$B$39+(($N$72/3)*COS($K$73)))),($H20*'Alternative 1'!$B$39))))</f>
        <v>179891.50293993621</v>
      </c>
      <c r="BJ20" s="78">
        <f>BH20*'Alternative 1'!$K21/'Alternative 1'!$L21</f>
        <v>3033740.8171625994</v>
      </c>
      <c r="BK20" s="78">
        <f>BI20/'Alternative 1'!$M21</f>
        <v>74111.052238085147</v>
      </c>
      <c r="BL20" s="78">
        <f t="shared" si="9"/>
        <v>3.1078518694006849</v>
      </c>
      <c r="BN20" s="78">
        <f>'Alternative 1'!$B$39*$B20*$C20*COS($K$83)-($N$82/3)*$E20*SIN($K$83)-($N$82/3)*$F20*SIN($K$83)-($N$82/3)*$G20*SIN($K$83)</f>
        <v>66076.908548185544</v>
      </c>
      <c r="BO20" s="79">
        <f>IF(($A20&lt;'Alternative 1'!$B$27),(($H20*'Alternative 1'!$B$39)+(3*($N$82/3)*COS($K$83))),IF(($A20&lt;'Alternative 1'!$B$28),(($H20*'Alternative 1'!$B$39)+(2*(($N$82/3)*COS($K$83)))),IF(($A20&lt;'Alternative 1'!$B$29),(($H$3*'Alternative 1'!$B$39+(($N$82/3)*COS($K$83)))),($H20*'Alternative 1'!$B$39))))</f>
        <v>166275.85078005504</v>
      </c>
      <c r="BP20" s="78">
        <f>BN20*'Alternative 1'!$K21/'Alternative 1'!$L21</f>
        <v>1361107.6169348622</v>
      </c>
      <c r="BQ20" s="78">
        <f>BO20/'Alternative 1'!$M21</f>
        <v>68501.724993687909</v>
      </c>
      <c r="BR20" s="78">
        <f t="shared" si="10"/>
        <v>1.42960934192855</v>
      </c>
      <c r="BT20" s="78">
        <f>'Alternative 1'!$B$39*$B20*$C20*COS($K$93)-($K$92/3)*$E20*SIN($K$93)-($K$92/3)*$F20*SIN($K$93)-($K$92/3)*$G20*SIN($K$93)</f>
        <v>-7.7667151712807456</v>
      </c>
      <c r="BU20" s="79">
        <f>IF(($A20&lt;'Alternative 1'!$B$27),(($H20*'Alternative 1'!$B$39)+(3*($N$92/3)*COS($K$93))),IF(($A20&lt;'Alternative 1'!$B$28),(($H20*'Alternative 1'!$B$39)+(2*(($N$92/3)*COS($K$93)))),IF(($A20&lt;'Alternative 1'!$B$29),(($H$3*'Alternative 1'!$B$39+(($N$92/3)*COS($K$93)))),($H20*'Alternative 1'!$B$39))))</f>
        <v>161563.28405208944</v>
      </c>
      <c r="BV20" s="78">
        <f>BT20*'Alternative 1'!$K21/'Alternative 1'!$L21</f>
        <v>-159.98531726835853</v>
      </c>
      <c r="BW20" s="78">
        <f>BU20/'Alternative 1'!$M21</f>
        <v>66560.258758518743</v>
      </c>
      <c r="BX20" s="78">
        <f t="shared" si="11"/>
        <v>6.6400273441250379E-2</v>
      </c>
      <c r="BZ20" s="77">
        <v>150</v>
      </c>
      <c r="CA20" s="77">
        <v>-150</v>
      </c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81"/>
      <c r="DJ20" s="281"/>
      <c r="DK20" s="281"/>
    </row>
    <row r="21" spans="1:115" ht="15" customHeight="1" x14ac:dyDescent="0.25">
      <c r="A21" s="89">
        <f>IF('Alternative 1'!F22&gt;0,'Alternative 1'!F22,"x")</f>
        <v>19</v>
      </c>
      <c r="B21" s="89">
        <f t="shared" si="17"/>
        <v>18</v>
      </c>
      <c r="C21" s="89">
        <f t="shared" si="12"/>
        <v>9</v>
      </c>
      <c r="D21" s="89">
        <f t="shared" si="13"/>
        <v>19</v>
      </c>
      <c r="E21" s="74">
        <f>IF($A21&lt;='Alternative 1'!$B$27, IF($A21='Alternative 1'!$B$27,0,E22+1),0)</f>
        <v>0</v>
      </c>
      <c r="F21" s="74">
        <f>IF($A21&lt;=('Alternative 1'!$B$28), IF($A21=ROUNDDOWN('Alternative 1'!$B$28,0),0,F22+1),0)</f>
        <v>3</v>
      </c>
      <c r="G21" s="74">
        <f>IF($A21&lt;=('Alternative 1'!$B$29), IF($A21=ROUNDDOWN('Alternative 1'!$B$29,0),0,G22+1),0)</f>
        <v>10</v>
      </c>
      <c r="H21" s="89">
        <f t="shared" si="14"/>
        <v>18</v>
      </c>
      <c r="J21" s="77">
        <f t="shared" si="15"/>
        <v>18</v>
      </c>
      <c r="K21" s="77">
        <f t="shared" si="16"/>
        <v>0.31415926535897931</v>
      </c>
      <c r="L21" s="78">
        <f>'Alternative 1'!$B$27*SIN(K21)+'Alternative 1'!$B$28*SIN(K21)+'Alternative 1'!$B$29*SIN(K21)</f>
        <v>21.013155617496423</v>
      </c>
      <c r="M21" s="77">
        <f>(('Alternative 1'!$B$27)*(((('Alternative 1'!$B$28-'Alternative 1'!$B$27)/2)+'Alternative 1'!$B$27)*'Alternative 1'!$B$39)*COS('Alternative 1-Tilt Up'!K21))+(('Alternative 1'!$B$28)*((('Alternative 1'!$B$28-'Alternative 1'!$B$27)/2)+(('Alternative 1'!$B$29-'Alternative 1'!$B$28)/2))*('Alternative 1'!$B$39)*COS('Alternative 1-Tilt Up'!K21))+(('Alternative 1'!$B$29)*((('Alternative 1'!$B$12-'Alternative 1'!$B$29+(('Alternative 1'!$B$29-'Alternative 1'!$B$28)/2)*('Alternative 1'!$B$39)*COS('Alternative 1-Tilt Up'!K21)))))</f>
        <v>4513830.7221147092</v>
      </c>
      <c r="N21" s="77">
        <f t="shared" si="0"/>
        <v>644429.25245691906</v>
      </c>
      <c r="O21" s="77">
        <f>(((('Alternative 1'!$B$28-'Alternative 1'!$B$27)/2)+'Alternative 1'!$B$27)*('Alternative 1'!$B$39)*COS('Alternative 1-Tilt Up'!K21))+(((('Alternative 1'!$B$28-'Alternative 1'!$B$27)/2)+(('Alternative 1'!$B$29-'Alternative 1'!$B$28)/2))*('Alternative 1'!$B$39)*COS('Alternative 1-Tilt Up'!K21))+(((('Alternative 1'!$B$12-'Alternative 1'!$B$29)+(('Alternative 1'!$B$29-'Alternative 1'!$B$28)/2))*('Alternative 1'!$B$39)*COS('Alternative 1-Tilt Up'!K21)))</f>
        <v>291137.33196338115</v>
      </c>
      <c r="P21" s="77">
        <f t="shared" si="1"/>
        <v>612888.63984036748</v>
      </c>
      <c r="R21" s="78">
        <f>'Alternative 1'!$B$39*$B21*$C21*COS($K$5)-($N$5/3)*$E21*SIN($K$5)-($N$5/3)*$F21*SIN($K$5)-($N$5/3)*$G21*SIN($K$5)</f>
        <v>469908.10510798777</v>
      </c>
      <c r="S21" s="79">
        <f>IF(($A21&lt;'Alternative 1'!$B$27),(($H21*'Alternative 1'!$B$39)+(3*($N$5/3)*COS($K$5))),IF(($A21&lt;'Alternative 1'!$B$28),(($H21*'Alternative 1'!$B$39)+(2*(($N$5/3)*COS($K$5)))),IF(($A21&lt;'Alternative 1'!$B$29),(($H$3*'Alternative 1'!$B$39+(($N$5/3)*COS($K$5)))),($H21*'Alternative 1'!$B$39))))</f>
        <v>4148003.7074616905</v>
      </c>
      <c r="T21" s="78">
        <f>R21*'Alternative 1'!$K22/'Alternative 1'!$L22</f>
        <v>9902351.8589208238</v>
      </c>
      <c r="U21" s="78">
        <f>S21/'Alternative 1'!$M22</f>
        <v>1748212.1526816608</v>
      </c>
      <c r="V21" s="78">
        <f t="shared" si="2"/>
        <v>11.650564011602484</v>
      </c>
      <c r="X21" s="78">
        <f>'Alternative 1'!$B$39*$B21*$C21*COS($K$13)-($N$12/3)*$E21*SIN($K$13)-($N$12/3)*$F21*SIN($K$13)-($N$12/3)*$G21*SIN($K$13)</f>
        <v>361823.97437458218</v>
      </c>
      <c r="Y21" s="79">
        <f>IF(($A21&lt;'Alternative 1'!$B$27),(($H21*'Alternative 1'!$B$39)+(3*($N$12/3)*COS($K$13))),IF(($A21&lt;'Alternative 1'!$B$28),(($H21*'Alternative 1'!$B$39)+(2*(($N$12/3)*COS($K$13)))),IF(($A21&lt;'Alternative 1'!$B$29),(($H$3*'Alternative 1'!$B$39+(($N$12/3)*COS($K$13)))),($H21*'Alternative 1'!$B$39))))</f>
        <v>1021017.0773303055</v>
      </c>
      <c r="Z21" s="78">
        <f>X21*'Alternative 1'!$K22/'Alternative 1'!$L22</f>
        <v>7624699.9494228559</v>
      </c>
      <c r="AA21" s="78">
        <f>Y21/'Alternative 1'!$M22</f>
        <v>430316.50609990116</v>
      </c>
      <c r="AB21" s="78">
        <f t="shared" si="3"/>
        <v>8.0550164555227575</v>
      </c>
      <c r="AD21" s="78">
        <f>'Alternative 1'!$B$39*$B21*$C21*COS($K$23)-($N$22/3)*$E21*SIN($K$23)-($N$22/3)*$F21*SIN($K$23)-($N$22/3)*$G21*SIN($K$23)</f>
        <v>393197.07852570293</v>
      </c>
      <c r="AE21" s="79">
        <f>IF(($A21&lt;'Alternative 1'!$B$27),(($H21*'Alternative 1'!$B$39)+(3*($N$22/3)*COS($K$23))),IF(($A21&lt;'Alternative 1'!$B$28),(($H21*'Alternative 1'!$B$39)+(2*(($N$22/3)*COS($K$23)))),IF(($A21&lt;'Alternative 1'!$B$29),(($H$3*'Alternative 1'!$B$39+(($N$22/3)*COS($K$23)))),($H21*'Alternative 1'!$B$39))))</f>
        <v>534015.32341798046</v>
      </c>
      <c r="AF21" s="78">
        <f>AD21*'Alternative 1'!$K22/'Alternative 1'!$L22</f>
        <v>8285823.9284178</v>
      </c>
      <c r="AG21" s="78">
        <f>AE21/'Alternative 1'!$M22</f>
        <v>225065.39144074838</v>
      </c>
      <c r="AH21" s="78">
        <f t="shared" si="4"/>
        <v>8.5108893198585491</v>
      </c>
      <c r="AJ21" s="78">
        <f>'Alternative 1'!$B$39*$B21*$C21*COS($K$33)-($N$32/3)*$E21*SIN($K$33)-($N$32/3)*$F21*SIN($K$33)-($N$32/3)*$G21*SIN($K$33)</f>
        <v>374532.55949008523</v>
      </c>
      <c r="AK21" s="79">
        <f>IF(($A21&lt;'Alternative 1'!$B$27),(($H21*'Alternative 1'!$B$39)+(3*($N$32/3)*COS($K$33))),IF(($A21&lt;'Alternative 1'!$B$28),(($H21*'Alternative 1'!$B$39)+(2*(($N$32/3)*COS($K$33)))),IF(($A21&lt;'Alternative 1'!$B$29),(($H$3*'Alternative 1'!$B$39+(($N$32/3)*COS($K$33)))),($H21*'Alternative 1'!$B$39))))</f>
        <v>371152.25294222706</v>
      </c>
      <c r="AL21" s="78">
        <f>AJ21*'Alternative 1'!$K22/'Alternative 1'!$L22</f>
        <v>7892507.3783111805</v>
      </c>
      <c r="AM21" s="78">
        <f>AK21/'Alternative 1'!$M22</f>
        <v>156425.33730661368</v>
      </c>
      <c r="AN21" s="78">
        <f t="shared" si="5"/>
        <v>8.048932715617795</v>
      </c>
      <c r="AP21" s="78">
        <f>'Alternative 1'!$B$39*$B21*$C21*COS($K$43)-($N$42/3)*$E21*SIN($K$43)-($N$42/3)*$F21*SIN($K$43)-($N$42/3)*$G21*SIN($K$43)</f>
        <v>335018.78825641144</v>
      </c>
      <c r="AQ21" s="79">
        <f>IF(($A21&lt;'Alternative 1'!$B$27),(($H21*'Alternative 1'!$B$39)+(3*($N$42/3)*COS($K$43))),IF(($A21&lt;'Alternative 1'!$B$28),(($H21*'Alternative 1'!$B$39)+(2*(($N$42/3)*COS($K$43)))),IF(($A21&lt;'Alternative 1'!$B$29),(($H$3*'Alternative 1'!$B$39+(($N$42/3)*COS($K$43)))),($H21*'Alternative 1'!$B$39))))</f>
        <v>285113.17308330897</v>
      </c>
      <c r="AR21" s="78">
        <f>AP21*'Alternative 1'!$K22/'Alternative 1'!$L22</f>
        <v>7059835.4967763359</v>
      </c>
      <c r="AS21" s="78">
        <f>AQ21/'Alternative 1'!$M22</f>
        <v>120163.4205816278</v>
      </c>
      <c r="AT21" s="78">
        <f t="shared" si="6"/>
        <v>7.1799989173579633</v>
      </c>
      <c r="AV21" s="78">
        <f>'Alternative 1'!$B$39*$B21*$C21*COS($K$53)-($N$52/3)*$E21*SIN($K$53)-($N$52/3)*$F21*SIN($K$53)-($N$52/3)*$G21*SIN($K$53)</f>
        <v>281240.12928849919</v>
      </c>
      <c r="AW21" s="79">
        <f>IF(($A21&lt;'Alternative 1'!$B$27),(($H21*'Alternative 1'!$B$39)+(3*($N$52/3)*COS($K$53))),IF(($A21&lt;'Alternative 1'!$B$28),(($H21*'Alternative 1'!$B$39)+(2*(($N$52/3)*COS($K$53)))),IF(($A21&lt;'Alternative 1'!$B$29),(($H$3*'Alternative 1'!$B$39+(($N$52/3)*COS($K$53)))),($H21*'Alternative 1'!$B$39))))</f>
        <v>231060.75020188151</v>
      </c>
      <c r="AX21" s="78">
        <f>AV21*'Alternative 1'!$K22/'Alternative 1'!$L22</f>
        <v>5926560.29293878</v>
      </c>
      <c r="AY21" s="78">
        <f>AW21/'Alternative 1'!$M22</f>
        <v>97382.557972171591</v>
      </c>
      <c r="AZ21" s="78">
        <f t="shared" si="7"/>
        <v>6.0239428509109514</v>
      </c>
      <c r="BB21" s="78">
        <f>'Alternative 1'!$B$39*$B21*$C21*COS($K$63)-($N$62/3)*$E21*SIN($K$63)-($N$62/3)*$F21*SIN($K$63)-($N$62/3)*$G21*SIN($K$63)</f>
        <v>216604.90085703187</v>
      </c>
      <c r="BC21" s="79">
        <f>IF(($A21&lt;'Alternative 1'!$B$27),(($H21*'Alternative 1'!$B$39)+(3*($N$62/3)*COS($K$63))),IF(($A21&lt;'Alternative 1'!$B$28),(($H21*'Alternative 1'!$B$39)+(2*(($N$62/3)*COS($K$63)))),IF(($A21&lt;'Alternative 1'!$B$29),(($H$3*'Alternative 1'!$B$39+(($N$62/3)*COS($K$63)))),($H21*'Alternative 1'!$B$39))))</f>
        <v>194999.1111270398</v>
      </c>
      <c r="BD21" s="78">
        <f>BB21*'Alternative 1'!$K22/'Alternative 1'!$L22</f>
        <v>4564505.1007581139</v>
      </c>
      <c r="BE21" s="78">
        <f>BC21/'Alternative 1'!$M22</f>
        <v>82184.067295113695</v>
      </c>
      <c r="BF21" s="78">
        <f t="shared" si="8"/>
        <v>4.6466891680532276</v>
      </c>
      <c r="BH21" s="78">
        <f>'Alternative 1'!$B$39*$B21*$C21*COS($K$73)-($N$72/3)*$E21*SIN($K$73)-($N$72/3)*$F21*SIN($K$73)-($N$72/3)*$G21*SIN($K$73)</f>
        <v>143829.89555859633</v>
      </c>
      <c r="BI21" s="79">
        <f>IF(($A21&lt;'Alternative 1'!$B$27),(($H21*'Alternative 1'!$B$39)+(3*($N$72/3)*COS($K$73))),IF(($A21&lt;'Alternative 1'!$B$28),(($H21*'Alternative 1'!$B$39)+(2*(($N$72/3)*COS($K$73)))),IF(($A21&lt;'Alternative 1'!$B$29),(($H$3*'Alternative 1'!$B$39+(($N$72/3)*COS($K$73)))),($H21*'Alternative 1'!$B$39))))</f>
        <v>171388.17220035256</v>
      </c>
      <c r="BJ21" s="78">
        <f>BH21*'Alternative 1'!$K22/'Alternative 1'!$L22</f>
        <v>3030920.7655095714</v>
      </c>
      <c r="BK21" s="78">
        <f>BI21/'Alternative 1'!$M22</f>
        <v>72233.032224048642</v>
      </c>
      <c r="BL21" s="78">
        <f t="shared" si="9"/>
        <v>3.1031537977336203</v>
      </c>
      <c r="BN21" s="78">
        <f>'Alternative 1'!$B$39*$B21*$C21*COS($K$83)-($N$82/3)*$E21*SIN($K$83)-($N$82/3)*$F21*SIN($K$83)-($N$82/3)*$G21*SIN($K$83)</f>
        <v>65486.326646216068</v>
      </c>
      <c r="BO21" s="79">
        <f>IF(($A21&lt;'Alternative 1'!$B$27),(($H21*'Alternative 1'!$B$39)+(3*($N$82/3)*COS($K$83))),IF(($A21&lt;'Alternative 1'!$B$28),(($H21*'Alternative 1'!$B$39)+(2*(($N$82/3)*COS($K$83)))),IF(($A21&lt;'Alternative 1'!$B$29),(($H$3*'Alternative 1'!$B$39+(($N$82/3)*COS($K$83)))),($H21*'Alternative 1'!$B$39))))</f>
        <v>157772.5200404714</v>
      </c>
      <c r="BP21" s="78">
        <f>BN21*'Alternative 1'!$K22/'Alternative 1'!$L22</f>
        <v>1379990.3456656316</v>
      </c>
      <c r="BQ21" s="78">
        <f>BO21/'Alternative 1'!$M22</f>
        <v>66494.59748500245</v>
      </c>
      <c r="BR21" s="78">
        <f t="shared" si="10"/>
        <v>1.4464849431506339</v>
      </c>
      <c r="BT21" s="78">
        <f>'Alternative 1'!$B$39*$B21*$C21*COS($K$93)-($K$92/3)*$E21*SIN($K$93)-($K$92/3)*$F21*SIN($K$93)-($K$92/3)*$G21*SIN($K$93)</f>
        <v>-6.7311531484404128</v>
      </c>
      <c r="BU21" s="79">
        <f>IF(($A21&lt;'Alternative 1'!$B$27),(($H21*'Alternative 1'!$B$39)+(3*($N$92/3)*COS($K$93))),IF(($A21&lt;'Alternative 1'!$B$28),(($H21*'Alternative 1'!$B$39)+(2*(($N$92/3)*COS($K$93)))),IF(($A21&lt;'Alternative 1'!$B$29),(($H$3*'Alternative 1'!$B$39+(($N$92/3)*COS($K$93)))),($H21*'Alternative 1'!$B$39))))</f>
        <v>153059.95331250579</v>
      </c>
      <c r="BV21" s="78">
        <f>BT21*'Alternative 1'!$K22/'Alternative 1'!$L22</f>
        <v>-141.84528031671667</v>
      </c>
      <c r="BW21" s="78">
        <f>BU21/'Alternative 1'!$M22</f>
        <v>64508.445348895955</v>
      </c>
      <c r="BX21" s="78">
        <f t="shared" si="11"/>
        <v>6.4366600068579236E-2</v>
      </c>
      <c r="BZ21" s="77">
        <v>150</v>
      </c>
      <c r="CA21" s="77">
        <v>-150</v>
      </c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281"/>
      <c r="CV21" s="281"/>
      <c r="CW21" s="281"/>
      <c r="CX21" s="281"/>
      <c r="CY21" s="281"/>
      <c r="CZ21" s="281"/>
      <c r="DA21" s="281"/>
      <c r="DB21" s="281"/>
      <c r="DC21" s="281"/>
      <c r="DD21" s="281"/>
      <c r="DE21" s="281"/>
      <c r="DF21" s="281"/>
      <c r="DG21" s="281"/>
      <c r="DH21" s="281"/>
      <c r="DI21" s="281"/>
      <c r="DJ21" s="281"/>
      <c r="DK21" s="281"/>
    </row>
    <row r="22" spans="1:115" ht="15" customHeight="1" x14ac:dyDescent="0.25">
      <c r="A22" s="89">
        <f>IF('Alternative 1'!F23&gt;0,'Alternative 1'!F23,"x")</f>
        <v>20</v>
      </c>
      <c r="B22" s="89">
        <f t="shared" si="17"/>
        <v>17</v>
      </c>
      <c r="C22" s="89">
        <f t="shared" si="12"/>
        <v>8.5</v>
      </c>
      <c r="D22" s="89">
        <f t="shared" si="13"/>
        <v>20</v>
      </c>
      <c r="E22" s="74">
        <f>IF($A22&lt;='Alternative 1'!$B$27, IF($A22='Alternative 1'!$B$27,0,E23+1),0)</f>
        <v>0</v>
      </c>
      <c r="F22" s="74">
        <f>IF($A22&lt;=('Alternative 1'!$B$28), IF($A22=ROUNDDOWN('Alternative 1'!$B$28,0),0,F23+1),0)</f>
        <v>2</v>
      </c>
      <c r="G22" s="74">
        <f>IF($A22&lt;=('Alternative 1'!$B$29), IF($A22=ROUNDDOWN('Alternative 1'!$B$29,0),0,G23+1),0)</f>
        <v>9</v>
      </c>
      <c r="H22" s="89">
        <f t="shared" si="14"/>
        <v>17</v>
      </c>
      <c r="J22" s="77">
        <f t="shared" si="15"/>
        <v>19</v>
      </c>
      <c r="K22" s="77">
        <f t="shared" si="16"/>
        <v>0.33161255787892258</v>
      </c>
      <c r="L22" s="78">
        <f>'Alternative 1'!$B$27*SIN(K22)+'Alternative 1'!$B$28*SIN(K22)+'Alternative 1'!$B$29*SIN(K22)</f>
        <v>22.138634503086649</v>
      </c>
      <c r="M22" s="77">
        <f>(('Alternative 1'!$B$27)*(((('Alternative 1'!$B$28-'Alternative 1'!$B$27)/2)+'Alternative 1'!$B$27)*'Alternative 1'!$B$39)*COS('Alternative 1-Tilt Up'!K22))+(('Alternative 1'!$B$28)*((('Alternative 1'!$B$28-'Alternative 1'!$B$27)/2)+(('Alternative 1'!$B$29-'Alternative 1'!$B$28)/2))*('Alternative 1'!$B$39)*COS('Alternative 1-Tilt Up'!K22))+(('Alternative 1'!$B$29)*((('Alternative 1'!$B$12-'Alternative 1'!$B$29+(('Alternative 1'!$B$29-'Alternative 1'!$B$28)/2)*('Alternative 1'!$B$39)*COS('Alternative 1-Tilt Up'!K22)))))</f>
        <v>4487548.1163721401</v>
      </c>
      <c r="N22" s="82">
        <f t="shared" si="0"/>
        <v>608106.35575737106</v>
      </c>
      <c r="O22" s="77">
        <f>(((('Alternative 1'!$B$28-'Alternative 1'!$B$27)/2)+'Alternative 1'!$B$27)*('Alternative 1'!$B$39)*COS('Alternative 1-Tilt Up'!K22))+(((('Alternative 1'!$B$28-'Alternative 1'!$B$27)/2)+(('Alternative 1'!$B$29-'Alternative 1'!$B$28)/2))*('Alternative 1'!$B$39)*COS('Alternative 1-Tilt Up'!K22))+(((('Alternative 1'!$B$12-'Alternative 1'!$B$29)+(('Alternative 1'!$B$29-'Alternative 1'!$B$28)/2))*('Alternative 1'!$B$39)*COS('Alternative 1-Tilt Up'!K22)))</f>
        <v>289442.05807467678</v>
      </c>
      <c r="P22" s="77">
        <f t="shared" si="1"/>
        <v>574975.85530860093</v>
      </c>
      <c r="R22" s="78">
        <f>'Alternative 1'!$B$39*$B22*$C22*COS($K$5)-($N$5/3)*$E22*SIN($K$5)-($N$5/3)*$F22*SIN($K$5)-($N$5/3)*$G22*SIN($K$5)</f>
        <v>460696.97712476423</v>
      </c>
      <c r="S22" s="79">
        <f>IF(($A22&lt;'Alternative 1'!$B$27),(($H22*'Alternative 1'!$B$39)+(3*($N$5/3)*COS($K$5))),IF(($A22&lt;'Alternative 1'!$B$28),(($H22*'Alternative 1'!$B$39)+(2*(($N$5/3)*COS($K$5)))),IF(($A22&lt;'Alternative 1'!$B$29),(($H$3*'Alternative 1'!$B$39+(($N$5/3)*COS($K$5)))),($H22*'Alternative 1'!$B$39))))</f>
        <v>4139500.3767221067</v>
      </c>
      <c r="T22" s="78">
        <f>R22*'Alternative 1'!$K23/'Alternative 1'!$L23</f>
        <v>9934298.1336805448</v>
      </c>
      <c r="U22" s="78">
        <f>S22/'Alternative 1'!$M23</f>
        <v>1785251.201511838</v>
      </c>
      <c r="V22" s="78">
        <f t="shared" si="2"/>
        <v>11.719549335192383</v>
      </c>
      <c r="X22" s="78">
        <f>'Alternative 1'!$B$39*$B22*$C22*COS($K$13)-($N$12/3)*$E22*SIN($K$13)-($N$12/3)*$F22*SIN($K$13)-($N$12/3)*$G22*SIN($K$13)</f>
        <v>368320.67775858566</v>
      </c>
      <c r="Y22" s="79">
        <f>IF(($A22&lt;'Alternative 1'!$B$27),(($H22*'Alternative 1'!$B$39)+(3*($N$12/3)*COS($K$13))),IF(($A22&lt;'Alternative 1'!$B$28),(($H22*'Alternative 1'!$B$39)+(2*(($N$12/3)*COS($K$13)))),IF(($A22&lt;'Alternative 1'!$B$29),(($H$3*'Alternative 1'!$B$39+(($N$12/3)*COS($K$13)))),($H22*'Alternative 1'!$B$39))))</f>
        <v>1012513.7465907219</v>
      </c>
      <c r="Z22" s="78">
        <f>X22*'Alternative 1'!$K23/'Alternative 1'!$L23</f>
        <v>7942329.9985364405</v>
      </c>
      <c r="AA22" s="78">
        <f>Y22/'Alternative 1'!$M23</f>
        <v>436668.97406582511</v>
      </c>
      <c r="AB22" s="78">
        <f t="shared" si="3"/>
        <v>8.3789989726022664</v>
      </c>
      <c r="AD22" s="78">
        <f>'Alternative 1'!$B$39*$B22*$C22*COS($K$23)-($N$22/3)*$E22*SIN($K$23)-($N$22/3)*$F22*SIN($K$23)-($N$22/3)*$G22*SIN($K$23)</f>
        <v>392019.44373640732</v>
      </c>
      <c r="AE22" s="79">
        <f>IF(($A22&lt;'Alternative 1'!$B$27),(($H22*'Alternative 1'!$B$39)+(3*($N$22/3)*COS($K$23))),IF(($A22&lt;'Alternative 1'!$B$28),(($H22*'Alternative 1'!$B$39)+(2*(($N$22/3)*COS($K$23)))),IF(($A22&lt;'Alternative 1'!$B$29),(($H$3*'Alternative 1'!$B$39+(($N$22/3)*COS($K$23)))),($H22*'Alternative 1'!$B$39))))</f>
        <v>525511.99267839675</v>
      </c>
      <c r="AF22" s="78">
        <f>AD22*'Alternative 1'!$K23/'Alternative 1'!$L23</f>
        <v>8453361.3669064716</v>
      </c>
      <c r="AG22" s="78">
        <f>AE22/'Alternative 1'!$M23</f>
        <v>226638.68364734523</v>
      </c>
      <c r="AH22" s="78">
        <f t="shared" si="4"/>
        <v>8.6800000505538168</v>
      </c>
      <c r="AJ22" s="78">
        <f>'Alternative 1'!$B$39*$B22*$C22*COS($K$33)-($N$32/3)*$E22*SIN($K$33)-($N$32/3)*$F22*SIN($K$33)-($N$32/3)*$G22*SIN($K$33)</f>
        <v>371576.44973742915</v>
      </c>
      <c r="AK22" s="79">
        <f>IF(($A22&lt;'Alternative 1'!$B$27),(($H22*'Alternative 1'!$B$39)+(3*($N$32/3)*COS($K$33))),IF(($A22&lt;'Alternative 1'!$B$28),(($H22*'Alternative 1'!$B$39)+(2*(($N$32/3)*COS($K$33)))),IF(($A22&lt;'Alternative 1'!$B$29),(($H$3*'Alternative 1'!$B$39+(($N$32/3)*COS($K$33)))),($H22*'Alternative 1'!$B$39))))</f>
        <v>362648.92220264336</v>
      </c>
      <c r="AL22" s="78">
        <f>AJ22*'Alternative 1'!$K23/'Alternative 1'!$L23</f>
        <v>8012536.2536218846</v>
      </c>
      <c r="AM22" s="78">
        <f>AK22/'Alternative 1'!$M23</f>
        <v>156400.37810599399</v>
      </c>
      <c r="AN22" s="78">
        <f t="shared" si="5"/>
        <v>8.1689366317278793</v>
      </c>
      <c r="AP22" s="78">
        <f>'Alternative 1'!$B$39*$B22*$C22*COS($K$43)-($N$42/3)*$E22*SIN($K$43)-($N$42/3)*$F22*SIN($K$43)-($N$42/3)*$G22*SIN($K$43)</f>
        <v>331830.83419329982</v>
      </c>
      <c r="AQ22" s="79">
        <f>IF(($A22&lt;'Alternative 1'!$B$27),(($H22*'Alternative 1'!$B$39)+(3*($N$42/3)*COS($K$43))),IF(($A22&lt;'Alternative 1'!$B$28),(($H22*'Alternative 1'!$B$39)+(2*(($N$42/3)*COS($K$43)))),IF(($A22&lt;'Alternative 1'!$B$29),(($H$3*'Alternative 1'!$B$39+(($N$42/3)*COS($K$43)))),($H22*'Alternative 1'!$B$39))))</f>
        <v>276609.84234372526</v>
      </c>
      <c r="AR22" s="78">
        <f>AP22*'Alternative 1'!$K23/'Alternative 1'!$L23</f>
        <v>7155476.5941765867</v>
      </c>
      <c r="AS22" s="78">
        <f>AQ22/'Alternative 1'!$M23</f>
        <v>119294.11968919037</v>
      </c>
      <c r="AT22" s="78">
        <f t="shared" si="6"/>
        <v>7.2747707138657773</v>
      </c>
      <c r="AV22" s="78">
        <f>'Alternative 1'!$B$39*$B22*$C22*COS($K$53)-($N$52/3)*$E22*SIN($K$53)-($N$52/3)*$F22*SIN($K$53)-($N$52/3)*$G22*SIN($K$53)</f>
        <v>278545.7354983805</v>
      </c>
      <c r="AW22" s="79">
        <f>IF(($A22&lt;'Alternative 1'!$B$27),(($H22*'Alternative 1'!$B$39)+(3*($N$52/3)*COS($K$53))),IF(($A22&lt;'Alternative 1'!$B$28),(($H22*'Alternative 1'!$B$39)+(2*(($N$52/3)*COS($K$53)))),IF(($A22&lt;'Alternative 1'!$B$29),(($H$3*'Alternative 1'!$B$39+(($N$52/3)*COS($K$53)))),($H22*'Alternative 1'!$B$39))))</f>
        <v>222557.41946229781</v>
      </c>
      <c r="AX22" s="78">
        <f>AV22*'Alternative 1'!$K23/'Alternative 1'!$L23</f>
        <v>6006456.559746094</v>
      </c>
      <c r="AY22" s="78">
        <f>AW22/'Alternative 1'!$M23</f>
        <v>95982.815398379724</v>
      </c>
      <c r="AZ22" s="78">
        <f t="shared" si="7"/>
        <v>6.1024393751444741</v>
      </c>
      <c r="BB22" s="78">
        <f>'Alternative 1'!$B$39*$B22*$C22*COS($K$63)-($N$62/3)*$E22*SIN($K$63)-($N$62/3)*$F22*SIN($K$63)-($N$62/3)*$G22*SIN($K$63)</f>
        <v>214841.50904709712</v>
      </c>
      <c r="BC22" s="79">
        <f>IF(($A22&lt;'Alternative 1'!$B$27),(($H22*'Alternative 1'!$B$39)+(3*($N$62/3)*COS($K$63))),IF(($A22&lt;'Alternative 1'!$B$28),(($H22*'Alternative 1'!$B$39)+(2*(($N$62/3)*COS($K$63)))),IF(($A22&lt;'Alternative 1'!$B$29),(($H$3*'Alternative 1'!$B$39+(($N$62/3)*COS($K$63)))),($H22*'Alternative 1'!$B$39))))</f>
        <v>186495.78038745612</v>
      </c>
      <c r="BD22" s="78">
        <f>BB22*'Alternative 1'!$K23/'Alternative 1'!$L23</f>
        <v>4632762.3325943509</v>
      </c>
      <c r="BE22" s="78">
        <f>BC22/'Alternative 1'!$M23</f>
        <v>80430.435007530134</v>
      </c>
      <c r="BF22" s="78">
        <f t="shared" si="8"/>
        <v>4.713192767601881</v>
      </c>
      <c r="BH22" s="78">
        <f>'Alternative 1'!$B$39*$B22*$C22*COS($K$73)-($N$72/3)*$E22*SIN($K$73)-($N$72/3)*$F22*SIN($K$73)-($N$72/3)*$G22*SIN($K$73)</f>
        <v>143290.83112156249</v>
      </c>
      <c r="BI22" s="79">
        <f>IF(($A22&lt;'Alternative 1'!$B$27),(($H22*'Alternative 1'!$B$39)+(3*($N$72/3)*COS($K$73))),IF(($A22&lt;'Alternative 1'!$B$28),(($H22*'Alternative 1'!$B$39)+(2*(($N$72/3)*COS($K$73)))),IF(($A22&lt;'Alternative 1'!$B$29),(($H$3*'Alternative 1'!$B$39+(($N$72/3)*COS($K$73)))),($H22*'Alternative 1'!$B$39))))</f>
        <v>162884.84146076889</v>
      </c>
      <c r="BJ22" s="78">
        <f>BH22*'Alternative 1'!$K23/'Alternative 1'!$L23</f>
        <v>3089870.1464649877</v>
      </c>
      <c r="BK22" s="78">
        <f>BI22/'Alternative 1'!$M23</f>
        <v>70247.694760730359</v>
      </c>
      <c r="BL22" s="78">
        <f t="shared" si="9"/>
        <v>3.160117841225718</v>
      </c>
      <c r="BN22" s="78">
        <f>'Alternative 1'!$B$39*$B22*$C22*COS($K$83)-($N$82/3)*$E22*SIN($K$83)-($N$82/3)*$F22*SIN($K$83)-($N$82/3)*$G22*SIN($K$83)</f>
        <v>66372.332631274505</v>
      </c>
      <c r="BO22" s="79">
        <f>IF(($A22&lt;'Alternative 1'!$B$27),(($H22*'Alternative 1'!$B$39)+(3*($N$82/3)*COS($K$83))),IF(($A22&lt;'Alternative 1'!$B$28),(($H22*'Alternative 1'!$B$39)+(2*(($N$82/3)*COS($K$83)))),IF(($A22&lt;'Alternative 1'!$B$29),(($H$3*'Alternative 1'!$B$39+(($N$82/3)*COS($K$83)))),($H22*'Alternative 1'!$B$39))))</f>
        <v>149269.18930088769</v>
      </c>
      <c r="BP22" s="78">
        <f>BN22*'Alternative 1'!$K23/'Alternative 1'!$L23</f>
        <v>1431228.2756922205</v>
      </c>
      <c r="BQ22" s="78">
        <f>BO22/'Alternative 1'!$M23</f>
        <v>64375.643265220388</v>
      </c>
      <c r="BR22" s="78">
        <f t="shared" si="10"/>
        <v>1.4956039189574408</v>
      </c>
      <c r="BT22" s="78">
        <f>'Alternative 1'!$B$39*$B22*$C22*COS($K$93)-($K$92/3)*$E22*SIN($K$93)-($K$92/3)*$F22*SIN($K$93)-($K$92/3)*$G22*SIN($K$93)</f>
        <v>-5.6955911255995604</v>
      </c>
      <c r="BU22" s="79">
        <f>IF(($A22&lt;'Alternative 1'!$B$27),(($H22*'Alternative 1'!$B$39)+(3*($N$92/3)*COS($K$93))),IF(($A22&lt;'Alternative 1'!$B$28),(($H22*'Alternative 1'!$B$39)+(2*(($N$92/3)*COS($K$93)))),IF(($A22&lt;'Alternative 1'!$B$29),(($H$3*'Alternative 1'!$B$39+(($N$92/3)*COS($K$93)))),($H22*'Alternative 1'!$B$39))))</f>
        <v>144556.62257292212</v>
      </c>
      <c r="BV22" s="78">
        <f>BT22*'Alternative 1'!$K23/'Alternative 1'!$L23</f>
        <v>-122.81760701444314</v>
      </c>
      <c r="BW22" s="78">
        <f>BU22/'Alternative 1'!$M23</f>
        <v>62343.244509898315</v>
      </c>
      <c r="BX22" s="78">
        <f t="shared" si="11"/>
        <v>6.2220426902883874E-2</v>
      </c>
      <c r="BZ22" s="77">
        <v>150</v>
      </c>
      <c r="CA22" s="77">
        <v>-150</v>
      </c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</row>
    <row r="23" spans="1:115" ht="15" customHeight="1" x14ac:dyDescent="0.25">
      <c r="A23" s="89">
        <f>IF('Alternative 1'!F24&gt;0,'Alternative 1'!F24,"x")</f>
        <v>21</v>
      </c>
      <c r="B23" s="89">
        <f t="shared" si="17"/>
        <v>16</v>
      </c>
      <c r="C23" s="89">
        <f t="shared" si="12"/>
        <v>8</v>
      </c>
      <c r="D23" s="89">
        <f t="shared" si="13"/>
        <v>21</v>
      </c>
      <c r="E23" s="74">
        <f>IF($A23&lt;='Alternative 1'!$B$27, IF($A23='Alternative 1'!$B$27,0,E24+1),0)</f>
        <v>0</v>
      </c>
      <c r="F23" s="74">
        <f>IF($A23&lt;=('Alternative 1'!$B$28), IF($A23=ROUNDDOWN('Alternative 1'!$B$28,0),0,F24+1),0)</f>
        <v>1</v>
      </c>
      <c r="G23" s="74">
        <f>IF($A23&lt;=('Alternative 1'!$B$29), IF($A23=ROUNDDOWN('Alternative 1'!$B$29,0),0,G24+1),0)</f>
        <v>8</v>
      </c>
      <c r="H23" s="89">
        <f t="shared" si="14"/>
        <v>16</v>
      </c>
      <c r="J23" s="77">
        <f t="shared" si="15"/>
        <v>20</v>
      </c>
      <c r="K23" s="82">
        <f t="shared" si="16"/>
        <v>0.3490658503988659</v>
      </c>
      <c r="L23" s="78">
        <f>'Alternative 1'!$B$27*SIN(K23)+'Alternative 1'!$B$28*SIN(K23)+'Alternative 1'!$B$29*SIN(K23)</f>
        <v>23.257369746145471</v>
      </c>
      <c r="M23" s="77">
        <f>(('Alternative 1'!$B$27)*(((('Alternative 1'!$B$28-'Alternative 1'!$B$27)/2)+'Alternative 1'!$B$27)*'Alternative 1'!$B$39)*COS('Alternative 1-Tilt Up'!K23))+(('Alternative 1'!$B$28)*((('Alternative 1'!$B$28-'Alternative 1'!$B$27)/2)+(('Alternative 1'!$B$29-'Alternative 1'!$B$28)/2))*('Alternative 1'!$B$39)*COS('Alternative 1-Tilt Up'!K23))+(('Alternative 1'!$B$29)*((('Alternative 1'!$B$12-'Alternative 1'!$B$29+(('Alternative 1'!$B$29-'Alternative 1'!$B$28)/2)*('Alternative 1'!$B$39)*COS('Alternative 1-Tilt Up'!K23)))))</f>
        <v>4459898.6195925968</v>
      </c>
      <c r="N23" s="77">
        <f t="shared" si="0"/>
        <v>575288.43565791682</v>
      </c>
      <c r="O23" s="77">
        <f>(((('Alternative 1'!$B$28-'Alternative 1'!$B$27)/2)+'Alternative 1'!$B$27)*('Alternative 1'!$B$39)*COS('Alternative 1-Tilt Up'!K23))+(((('Alternative 1'!$B$28-'Alternative 1'!$B$27)/2)+(('Alternative 1'!$B$29-'Alternative 1'!$B$28)/2))*('Alternative 1'!$B$39)*COS('Alternative 1-Tilt Up'!K23))+(((('Alternative 1'!$B$12-'Alternative 1'!$B$29)+(('Alternative 1'!$B$29-'Alternative 1'!$B$28)/2))*('Alternative 1'!$B$39)*COS('Alternative 1-Tilt Up'!K23)))</f>
        <v>287658.61733119469</v>
      </c>
      <c r="P23" s="82">
        <f t="shared" si="1"/>
        <v>540594.2978112133</v>
      </c>
      <c r="R23" s="78">
        <f>'Alternative 1'!$B$39*$B23*$C23*COS($K$5)-($N$5/3)*$E23*SIN($K$5)-($N$5/3)*$F23*SIN($K$5)-($N$5/3)*$G23*SIN($K$5)</f>
        <v>459983.9998817899</v>
      </c>
      <c r="S23" s="79">
        <f>IF(($A23&lt;'Alternative 1'!$B$27),(($H23*'Alternative 1'!$B$39)+(3*($N$5/3)*COS($K$5))),IF(($A23&lt;'Alternative 1'!$B$28),(($H23*'Alternative 1'!$B$39)+(2*(($N$5/3)*COS($K$5)))),IF(($A23&lt;'Alternative 1'!$B$29),(($H$3*'Alternative 1'!$B$39+(($N$5/3)*COS($K$5)))),($H23*'Alternative 1'!$B$39))))</f>
        <v>4130997.0459825229</v>
      </c>
      <c r="T23" s="78">
        <f>R23*'Alternative 1'!$K24/'Alternative 1'!$L24</f>
        <v>10152601.685936777</v>
      </c>
      <c r="U23" s="78">
        <f>S23/'Alternative 1'!$M24</f>
        <v>1823555.929524665</v>
      </c>
      <c r="V23" s="78">
        <f t="shared" si="2"/>
        <v>11.976157615461442</v>
      </c>
      <c r="X23" s="78">
        <f>'Alternative 1'!$B$39*$B23*$C23*COS($K$13)-($N$12/3)*$E23*SIN($K$13)-($N$12/3)*$F23*SIN($K$13)-($N$12/3)*$G23*SIN($K$13)</f>
        <v>383191.52718135819</v>
      </c>
      <c r="Y23" s="79">
        <f>IF(($A23&lt;'Alternative 1'!$B$27),(($H23*'Alternative 1'!$B$39)+(3*($N$12/3)*COS($K$13))),IF(($A23&lt;'Alternative 1'!$B$28),(($H23*'Alternative 1'!$B$39)+(2*(($N$12/3)*COS($K$13)))),IF(($A23&lt;'Alternative 1'!$B$29),(($H$3*'Alternative 1'!$B$39+(($N$12/3)*COS($K$13)))),($H23*'Alternative 1'!$B$39))))</f>
        <v>1004010.4158511382</v>
      </c>
      <c r="Z23" s="78">
        <f>X23*'Alternative 1'!$K24/'Alternative 1'!$L24</f>
        <v>8457665.8011972737</v>
      </c>
      <c r="AA23" s="78">
        <f>Y23/'Alternative 1'!$M24</f>
        <v>443202.72485075356</v>
      </c>
      <c r="AB23" s="78">
        <f t="shared" si="3"/>
        <v>8.9008685260480274</v>
      </c>
      <c r="AD23" s="78">
        <f>'Alternative 1'!$B$39*$B23*$C23*COS($K$23)-($N$22/3)*$E23*SIN($K$23)-($N$22/3)*$F23*SIN($K$23)-($N$22/3)*$G23*SIN($K$23)</f>
        <v>398832.32609520038</v>
      </c>
      <c r="AE23" s="79">
        <f>IF(($A23&lt;'Alternative 1'!$B$27),(($H23*'Alternative 1'!$B$39)+(3*($N$22/3)*COS($K$23))),IF(($A23&lt;'Alternative 1'!$B$28),(($H23*'Alternative 1'!$B$39)+(2*(($N$22/3)*COS($K$23)))),IF(($A23&lt;'Alternative 1'!$B$29),(($H$3*'Alternative 1'!$B$39+(($N$22/3)*COS($K$23)))),($H23*'Alternative 1'!$B$39))))</f>
        <v>517008.66193881317</v>
      </c>
      <c r="AF23" s="78">
        <f>AD23*'Alternative 1'!$K24/'Alternative 1'!$L24</f>
        <v>8802883.8989199772</v>
      </c>
      <c r="AG23" s="78">
        <f>AE23/'Alternative 1'!$M24</f>
        <v>228224.37309923084</v>
      </c>
      <c r="AH23" s="78">
        <f t="shared" si="4"/>
        <v>9.0311082720192069</v>
      </c>
      <c r="AJ23" s="78">
        <f>'Alternative 1'!$B$39*$B23*$C23*COS($K$33)-($N$32/3)*$E23*SIN($K$33)-($N$32/3)*$F23*SIN($K$33)-($N$32/3)*$G23*SIN($K$33)</f>
        <v>375984.44042203389</v>
      </c>
      <c r="AK23" s="79">
        <f>IF(($A23&lt;'Alternative 1'!$B$27),(($H23*'Alternative 1'!$B$39)+(3*($N$32/3)*COS($K$33))),IF(($A23&lt;'Alternative 1'!$B$28),(($H23*'Alternative 1'!$B$39)+(2*(($N$32/3)*COS($K$33)))),IF(($A23&lt;'Alternative 1'!$B$29),(($H$3*'Alternative 1'!$B$39+(($N$32/3)*COS($K$33)))),($H23*'Alternative 1'!$B$39))))</f>
        <v>354145.59146305971</v>
      </c>
      <c r="AL23" s="78">
        <f>AJ23*'Alternative 1'!$K24/'Alternative 1'!$L24</f>
        <v>8298593.5699844221</v>
      </c>
      <c r="AM23" s="78">
        <f>AK23/'Alternative 1'!$M24</f>
        <v>156331.33745654445</v>
      </c>
      <c r="AN23" s="78">
        <f t="shared" si="5"/>
        <v>8.4549249074409651</v>
      </c>
      <c r="AP23" s="78">
        <f>'Alternative 1'!$B$39*$B23*$C23*COS($K$43)-($N$42/3)*$E23*SIN($K$43)-($N$42/3)*$F23*SIN($K$43)-($N$42/3)*$G23*SIN($K$43)</f>
        <v>335156.80939124897</v>
      </c>
      <c r="AQ23" s="79">
        <f>IF(($A23&lt;'Alternative 1'!$B$27),(($H23*'Alternative 1'!$B$39)+(3*($N$42/3)*COS($K$43))),IF(($A23&lt;'Alternative 1'!$B$28),(($H23*'Alternative 1'!$B$39)+(2*(($N$42/3)*COS($K$43)))),IF(($A23&lt;'Alternative 1'!$B$29),(($H$3*'Alternative 1'!$B$39+(($N$42/3)*COS($K$43)))),($H23*'Alternative 1'!$B$39))))</f>
        <v>268106.51160414168</v>
      </c>
      <c r="AR23" s="78">
        <f>AP23*'Alternative 1'!$K24/'Alternative 1'!$L24</f>
        <v>7397460.7572290339</v>
      </c>
      <c r="AS23" s="78">
        <f>AQ23/'Alternative 1'!$M24</f>
        <v>118350.90016715892</v>
      </c>
      <c r="AT23" s="78">
        <f t="shared" si="6"/>
        <v>7.5158116573961928</v>
      </c>
      <c r="AV23" s="78">
        <f>'Alternative 1'!$B$39*$B23*$C23*COS($K$53)-($N$52/3)*$E23*SIN($K$53)-($N$52/3)*$F23*SIN($K$53)-($N$52/3)*$G23*SIN($K$53)</f>
        <v>281317.17734873295</v>
      </c>
      <c r="AW23" s="79">
        <f>IF(($A23&lt;'Alternative 1'!$B$27),(($H23*'Alternative 1'!$B$39)+(3*($N$52/3)*COS($K$53))),IF(($A23&lt;'Alternative 1'!$B$28),(($H23*'Alternative 1'!$B$39)+(2*(($N$52/3)*COS($K$53)))),IF(($A23&lt;'Alternative 1'!$B$29),(($H$3*'Alternative 1'!$B$39+(($N$52/3)*COS($K$53)))),($H23*'Alternative 1'!$B$39))))</f>
        <v>214054.08872271416</v>
      </c>
      <c r="AX23" s="78">
        <f>AV23*'Alternative 1'!$K24/'Alternative 1'!$L24</f>
        <v>6209131.7301638825</v>
      </c>
      <c r="AY23" s="78">
        <f>AW23/'Alternative 1'!$M24</f>
        <v>94490.409551107572</v>
      </c>
      <c r="AZ23" s="78">
        <f t="shared" si="7"/>
        <v>6.3036221397149896</v>
      </c>
      <c r="BB23" s="78">
        <f>'Alternative 1'!$B$39*$B23*$C23*COS($K$63)-($N$62/3)*$E23*SIN($K$63)-($N$62/3)*$F23*SIN($K$63)-($N$62/3)*$G23*SIN($K$63)</f>
        <v>217329.78260695416</v>
      </c>
      <c r="BC23" s="79">
        <f>IF(($A23&lt;'Alternative 1'!$B$27),(($H23*'Alternative 1'!$B$39)+(3*($N$62/3)*COS($K$63))),IF(($A23&lt;'Alternative 1'!$B$28),(($H23*'Alternative 1'!$B$39)+(2*(($N$62/3)*COS($K$63)))),IF(($A23&lt;'Alternative 1'!$B$29),(($H$3*'Alternative 1'!$B$39+(($N$62/3)*COS($K$63)))),($H23*'Alternative 1'!$B$39))))</f>
        <v>177992.44964787248</v>
      </c>
      <c r="BD23" s="78">
        <f>BB23*'Alternative 1'!$K24/'Alternative 1'!$L24</f>
        <v>4796824.9284033123</v>
      </c>
      <c r="BE23" s="78">
        <f>BC23/'Alternative 1'!$M24</f>
        <v>78571.633761311445</v>
      </c>
      <c r="BF23" s="78">
        <f t="shared" si="8"/>
        <v>4.8753965621646245</v>
      </c>
      <c r="BH23" s="78">
        <f>'Alternative 1'!$B$39*$B23*$C23*COS($K$73)-($N$72/3)*$E23*SIN($K$73)-($N$72/3)*$F23*SIN($K$73)-($N$72/3)*$G23*SIN($K$73)</f>
        <v>145660.07708282676</v>
      </c>
      <c r="BI23" s="79">
        <f>IF(($A23&lt;'Alternative 1'!$B$27),(($H23*'Alternative 1'!$B$39)+(3*($N$72/3)*COS($K$73))),IF(($A23&lt;'Alternative 1'!$B$28),(($H23*'Alternative 1'!$B$39)+(2*(($N$72/3)*COS($K$73)))),IF(($A23&lt;'Alternative 1'!$B$29),(($H$3*'Alternative 1'!$B$39+(($N$72/3)*COS($K$73)))),($H23*'Alternative 1'!$B$39))))</f>
        <v>154381.51072118524</v>
      </c>
      <c r="BJ23" s="78">
        <f>BH23*'Alternative 1'!$K24/'Alternative 1'!$L24</f>
        <v>3214956.9214251544</v>
      </c>
      <c r="BK23" s="78">
        <f>BI23/'Alternative 1'!$M24</f>
        <v>68149.000386814616</v>
      </c>
      <c r="BL23" s="78">
        <f t="shared" si="9"/>
        <v>3.2831059218119689</v>
      </c>
      <c r="BN23" s="78">
        <f>'Alternative 1'!$B$39*$B23*$C23*COS($K$83)-($N$82/3)*$E23*SIN($K$83)-($N$82/3)*$F23*SIN($K$83)-($N$82/3)*$G23*SIN($K$83)</f>
        <v>68734.926503360824</v>
      </c>
      <c r="BO23" s="79">
        <f>IF(($A23&lt;'Alternative 1'!$B$27),(($H23*'Alternative 1'!$B$39)+(3*($N$82/3)*COS($K$83))),IF(($A23&lt;'Alternative 1'!$B$28),(($H23*'Alternative 1'!$B$39)+(2*(($N$82/3)*COS($K$83)))),IF(($A23&lt;'Alternative 1'!$B$29),(($H$3*'Alternative 1'!$B$39+(($N$82/3)*COS($K$83)))),($H23*'Alternative 1'!$B$39))))</f>
        <v>140765.85856130405</v>
      </c>
      <c r="BP23" s="78">
        <f>BN23*'Alternative 1'!$K24/'Alternative 1'!$L24</f>
        <v>1517092.6181782347</v>
      </c>
      <c r="BQ23" s="78">
        <f>BO23/'Alternative 1'!$M24</f>
        <v>62138.610412161099</v>
      </c>
      <c r="BR23" s="78">
        <f t="shared" si="10"/>
        <v>1.5792312285903958</v>
      </c>
      <c r="BT23" s="78">
        <f>'Alternative 1'!$B$39*$B23*$C23*COS($K$93)-($K$92/3)*$E23*SIN($K$93)-($K$92/3)*$F23*SIN($K$93)-($K$92/3)*$G23*SIN($K$93)</f>
        <v>-4.6600291027581857</v>
      </c>
      <c r="BU23" s="79">
        <f>IF(($A23&lt;'Alternative 1'!$B$27),(($H23*'Alternative 1'!$B$39)+(3*($N$92/3)*COS($K$93))),IF(($A23&lt;'Alternative 1'!$B$28),(($H23*'Alternative 1'!$B$39)+(2*(($N$92/3)*COS($K$93)))),IF(($A23&lt;'Alternative 1'!$B$29),(($H$3*'Alternative 1'!$B$39+(($N$92/3)*COS($K$93)))),($H23*'Alternative 1'!$B$39))))</f>
        <v>136053.29183333847</v>
      </c>
      <c r="BV23" s="78">
        <f>BT23*'Alternative 1'!$K24/'Alternative 1'!$L24</f>
        <v>-102.85448915035226</v>
      </c>
      <c r="BW23" s="78">
        <f>BU23/'Alternative 1'!$M24</f>
        <v>60058.330783682606</v>
      </c>
      <c r="BX23" s="78">
        <f t="shared" si="11"/>
        <v>5.9955476294532253E-2</v>
      </c>
      <c r="BZ23" s="77">
        <v>150</v>
      </c>
      <c r="CA23" s="77">
        <v>-150</v>
      </c>
      <c r="CB23" s="281"/>
      <c r="CC23" s="281"/>
      <c r="CD23" s="281"/>
      <c r="CE23" s="281"/>
      <c r="CF23" s="281"/>
      <c r="CG23" s="281"/>
      <c r="CH23" s="281"/>
      <c r="CI23" s="281"/>
      <c r="CJ23" s="281"/>
      <c r="CK23" s="281"/>
      <c r="CL23" s="281"/>
      <c r="CM23" s="281"/>
      <c r="CN23" s="281"/>
      <c r="CO23" s="281"/>
      <c r="CP23" s="281"/>
      <c r="CQ23" s="281"/>
      <c r="CR23" s="281"/>
      <c r="CS23" s="281"/>
      <c r="CT23" s="281"/>
      <c r="CU23" s="281"/>
      <c r="CV23" s="281"/>
      <c r="CW23" s="281"/>
      <c r="CX23" s="281"/>
      <c r="CY23" s="281"/>
      <c r="CZ23" s="281"/>
      <c r="DA23" s="281"/>
      <c r="DB23" s="281"/>
      <c r="DC23" s="281"/>
      <c r="DD23" s="281"/>
      <c r="DE23" s="281"/>
      <c r="DF23" s="281"/>
      <c r="DG23" s="281"/>
      <c r="DH23" s="281"/>
      <c r="DI23" s="281"/>
      <c r="DJ23" s="281"/>
      <c r="DK23" s="281"/>
    </row>
    <row r="24" spans="1:115" ht="15" customHeight="1" x14ac:dyDescent="0.25">
      <c r="A24" s="89">
        <f>IF('Alternative 1'!F25&gt;0,'Alternative 1'!F25,"x")</f>
        <v>22</v>
      </c>
      <c r="B24" s="89">
        <f t="shared" si="17"/>
        <v>15</v>
      </c>
      <c r="C24" s="89">
        <f t="shared" si="12"/>
        <v>7.5</v>
      </c>
      <c r="D24" s="89">
        <f t="shared" si="13"/>
        <v>22</v>
      </c>
      <c r="E24" s="74">
        <f>IF($A24&lt;='Alternative 1'!$B$27, IF($A24='Alternative 1'!$B$27,0,E25+1),0)</f>
        <v>0</v>
      </c>
      <c r="F24" s="74">
        <f>IF($A24&lt;=('Alternative 1'!$B$28), IF($A24=ROUNDDOWN('Alternative 1'!$B$28,0),0,F25+1),0)</f>
        <v>0</v>
      </c>
      <c r="G24" s="74">
        <f>IF($A24&lt;=('Alternative 1'!$B$29), IF($A24=ROUNDDOWN('Alternative 1'!$B$29,0),0,G25+1),0)</f>
        <v>7</v>
      </c>
      <c r="H24" s="89">
        <f t="shared" si="14"/>
        <v>15</v>
      </c>
      <c r="J24" s="77">
        <f t="shared" si="15"/>
        <v>21</v>
      </c>
      <c r="K24" s="77">
        <f t="shared" si="16"/>
        <v>0.36651914291880922</v>
      </c>
      <c r="L24" s="78">
        <f>'Alternative 1'!$B$27*SIN(K24)+'Alternative 1'!$B$28*SIN(K24)+'Alternative 1'!$B$29*SIN(K24)</f>
        <v>24.369020569080419</v>
      </c>
      <c r="M24" s="77">
        <f>(('Alternative 1'!$B$27)*(((('Alternative 1'!$B$28-'Alternative 1'!$B$27)/2)+'Alternative 1'!$B$27)*'Alternative 1'!$B$39)*COS('Alternative 1-Tilt Up'!K24))+(('Alternative 1'!$B$28)*((('Alternative 1'!$B$28-'Alternative 1'!$B$27)/2)+(('Alternative 1'!$B$29-'Alternative 1'!$B$28)/2))*('Alternative 1'!$B$39)*COS('Alternative 1-Tilt Up'!K24))+(('Alternative 1'!$B$29)*((('Alternative 1'!$B$12-'Alternative 1'!$B$29+(('Alternative 1'!$B$29-'Alternative 1'!$B$28)/2)*('Alternative 1'!$B$39)*COS('Alternative 1-Tilt Up'!K24)))))</f>
        <v>4430890.6540806461</v>
      </c>
      <c r="N24" s="77">
        <f t="shared" si="0"/>
        <v>545474.19846277172</v>
      </c>
      <c r="O24" s="77">
        <f>(((('Alternative 1'!$B$28-'Alternative 1'!$B$27)/2)+'Alternative 1'!$B$27)*('Alternative 1'!$B$39)*COS('Alternative 1-Tilt Up'!K24))+(((('Alternative 1'!$B$28-'Alternative 1'!$B$27)/2)+(('Alternative 1'!$B$29-'Alternative 1'!$B$28)/2))*('Alternative 1'!$B$39)*COS('Alternative 1-Tilt Up'!K24))+(((('Alternative 1'!$B$12-'Alternative 1'!$B$29)+(('Alternative 1'!$B$29-'Alternative 1'!$B$28)/2))*('Alternative 1'!$B$39)*COS('Alternative 1-Tilt Up'!K24)))</f>
        <v>285787.55298626184</v>
      </c>
      <c r="P24" s="77">
        <f t="shared" si="1"/>
        <v>509244.03484409367</v>
      </c>
      <c r="R24" s="78">
        <f>'Alternative 1'!$B$39*$B24*$C24*COS($K$5)-($N$5/3)*$E24*SIN($K$5)-($N$5/3)*$F24*SIN($K$5)-($N$5/3)*$G24*SIN($K$5)</f>
        <v>467769.17337906495</v>
      </c>
      <c r="S24" s="79">
        <f>IF(($A24&lt;'Alternative 1'!$B$27),(($H24*'Alternative 1'!$B$39)+(3*($N$5/3)*COS($K$5))),IF(($A24&lt;'Alternative 1'!$B$28),(($H24*'Alternative 1'!$B$39)+(2*(($N$5/3)*COS($K$5)))),IF(($A24&lt;'Alternative 1'!$B$29),(($H$3*'Alternative 1'!$B$39+(($N$5/3)*COS($K$5)))),($H24*'Alternative 1'!$B$39))))</f>
        <v>4122493.7152429395</v>
      </c>
      <c r="T24" s="78">
        <f>R24*'Alternative 1'!$K25/'Alternative 1'!$L25</f>
        <v>10570563.653492259</v>
      </c>
      <c r="U24" s="78">
        <f>S24/'Alternative 1'!$M25</f>
        <v>1863185.6520284293</v>
      </c>
      <c r="V24" s="78">
        <f t="shared" si="2"/>
        <v>12.433749305520687</v>
      </c>
      <c r="X24" s="78">
        <f>'Alternative 1'!$B$39*$B24*$C24*COS($K$13)-($N$12/3)*$E24*SIN($K$13)-($N$12/3)*$F24*SIN($K$13)-($N$12/3)*$G24*SIN($K$13)</f>
        <v>406436.52264289965</v>
      </c>
      <c r="Y24" s="79">
        <f>IF(($A24&lt;'Alternative 1'!$B$27),(($H24*'Alternative 1'!$B$39)+(3*($N$12/3)*COS($K$13))),IF(($A24&lt;'Alternative 1'!$B$28),(($H24*'Alternative 1'!$B$39)+(2*(($N$12/3)*COS($K$13)))),IF(($A24&lt;'Alternative 1'!$B$29),(($H$3*'Alternative 1'!$B$39+(($N$12/3)*COS($K$13)))),($H24*'Alternative 1'!$B$39))))</f>
        <v>995507.0851115546</v>
      </c>
      <c r="Z24" s="78">
        <f>X24*'Alternative 1'!$K25/'Alternative 1'!$L25</f>
        <v>9184579.442603128</v>
      </c>
      <c r="AA24" s="78">
        <f>Y24/'Alternative 1'!$M25</f>
        <v>449925.37177541538</v>
      </c>
      <c r="AB24" s="78">
        <f t="shared" si="3"/>
        <v>9.634504814378543</v>
      </c>
      <c r="AD24" s="78">
        <f>'Alternative 1'!$B$39*$B24*$C24*COS($K$23)-($N$22/3)*$E24*SIN($K$23)-($N$22/3)*$F24*SIN($K$23)-($N$22/3)*$G24*SIN($K$23)</f>
        <v>413635.72560208238</v>
      </c>
      <c r="AE24" s="79">
        <f>IF(($A24&lt;'Alternative 1'!$B$27),(($H24*'Alternative 1'!$B$39)+(3*($N$22/3)*COS($K$23))),IF(($A24&lt;'Alternative 1'!$B$28),(($H24*'Alternative 1'!$B$39)+(2*(($N$22/3)*COS($K$23)))),IF(($A24&lt;'Alternative 1'!$B$29),(($H$3*'Alternative 1'!$B$39+(($N$22/3)*COS($K$23)))),($H24*'Alternative 1'!$B$39))))</f>
        <v>508505.33119922946</v>
      </c>
      <c r="AF24" s="78">
        <f>AD24*'Alternative 1'!$K25/'Alternative 1'!$L25</f>
        <v>9347265.7363251448</v>
      </c>
      <c r="AG24" s="78">
        <f>AE24/'Alternative 1'!$M25</f>
        <v>229822.0209692996</v>
      </c>
      <c r="AH24" s="78">
        <f t="shared" si="4"/>
        <v>9.5770877572944446</v>
      </c>
      <c r="AJ24" s="78">
        <f>'Alternative 1'!$B$39*$B24*$C24*COS($K$33)-($N$32/3)*$E24*SIN($K$33)-($N$32/3)*$F24*SIN($K$33)-($N$32/3)*$G24*SIN($K$33)</f>
        <v>387756.53154389927</v>
      </c>
      <c r="AK24" s="79">
        <f>IF(($A24&lt;'Alternative 1'!$B$27),(($H24*'Alternative 1'!$B$39)+(3*($N$32/3)*COS($K$33))),IF(($A24&lt;'Alternative 1'!$B$28),(($H24*'Alternative 1'!$B$39)+(2*(($N$32/3)*COS($K$33)))),IF(($A24&lt;'Alternative 1'!$B$29),(($H$3*'Alternative 1'!$B$39+(($N$32/3)*COS($K$33)))),($H24*'Alternative 1'!$B$39))))</f>
        <v>345642.26072347607</v>
      </c>
      <c r="AL24" s="78">
        <f>AJ24*'Alternative 1'!$K25/'Alternative 1'!$L25</f>
        <v>8762452.3632741142</v>
      </c>
      <c r="AM24" s="78">
        <f>AK24/'Alternative 1'!$M25</f>
        <v>156215.08373280789</v>
      </c>
      <c r="AN24" s="78">
        <f t="shared" si="5"/>
        <v>8.9186674470069214</v>
      </c>
      <c r="AP24" s="78">
        <f>'Alternative 1'!$B$39*$B24*$C24*COS($K$43)-($N$42/3)*$E24*SIN($K$43)-($N$42/3)*$F24*SIN($K$43)-($N$42/3)*$G24*SIN($K$43)</f>
        <v>344996.71385025902</v>
      </c>
      <c r="AQ24" s="79">
        <f>IF(($A24&lt;'Alternative 1'!$B$27),(($H24*'Alternative 1'!$B$39)+(3*($N$42/3)*COS($K$43))),IF(($A24&lt;'Alternative 1'!$B$28),(($H24*'Alternative 1'!$B$39)+(2*(($N$42/3)*COS($K$43)))),IF(($A24&lt;'Alternative 1'!$B$29),(($H$3*'Alternative 1'!$B$39+(($N$42/3)*COS($K$43)))),($H24*'Alternative 1'!$B$39))))</f>
        <v>259603.18086455797</v>
      </c>
      <c r="AR24" s="78">
        <f>AP24*'Alternative 1'!$K25/'Alternative 1'!$L25</f>
        <v>7796173.6932257423</v>
      </c>
      <c r="AS24" s="78">
        <f>AQ24/'Alternative 1'!$M25</f>
        <v>117329.20780918201</v>
      </c>
      <c r="AT24" s="78">
        <f t="shared" si="6"/>
        <v>7.9135029010349243</v>
      </c>
      <c r="AV24" s="78">
        <f>'Alternative 1'!$B$39*$B24*$C24*COS($K$53)-($N$52/3)*$E24*SIN($K$53)-($N$52/3)*$F24*SIN($K$53)-($N$52/3)*$G24*SIN($K$53)</f>
        <v>289554.45483955642</v>
      </c>
      <c r="AW24" s="79">
        <f>IF(($A24&lt;'Alternative 1'!$B$27),(($H24*'Alternative 1'!$B$39)+(3*($N$52/3)*COS($K$53))),IF(($A24&lt;'Alternative 1'!$B$28),(($H24*'Alternative 1'!$B$39)+(2*(($N$52/3)*COS($K$53)))),IF(($A24&lt;'Alternative 1'!$B$29),(($H$3*'Alternative 1'!$B$39+(($N$52/3)*COS($K$53)))),($H24*'Alternative 1'!$B$39))))</f>
        <v>205550.75798313052</v>
      </c>
      <c r="AX24" s="78">
        <f>AV24*'Alternative 1'!$K25/'Alternative 1'!$L25</f>
        <v>6543299.4951838041</v>
      </c>
      <c r="AY24" s="78">
        <f>AW24/'Alternative 1'!$M25</f>
        <v>92899.892514491759</v>
      </c>
      <c r="AZ24" s="78">
        <f t="shared" si="7"/>
        <v>6.6361993876982952</v>
      </c>
      <c r="BB24" s="78">
        <f>'Alternative 1'!$B$39*$B24*$C24*COS($K$63)-($N$62/3)*$E24*SIN($K$63)-($N$62/3)*$F24*SIN($K$63)-($N$62/3)*$G24*SIN($K$63)</f>
        <v>224069.721536603</v>
      </c>
      <c r="BC24" s="79">
        <f>IF(($A24&lt;'Alternative 1'!$B$27),(($H24*'Alternative 1'!$B$39)+(3*($N$62/3)*COS($K$63))),IF(($A24&lt;'Alternative 1'!$B$28),(($H24*'Alternative 1'!$B$39)+(2*(($N$62/3)*COS($K$63)))),IF(($A24&lt;'Alternative 1'!$B$29),(($H$3*'Alternative 1'!$B$39+(($N$62/3)*COS($K$63)))),($H24*'Alternative 1'!$B$39))))</f>
        <v>169489.11890828883</v>
      </c>
      <c r="BD24" s="78">
        <f>BB24*'Alternative 1'!$K25/'Alternative 1'!$L25</f>
        <v>5063487.2691868404</v>
      </c>
      <c r="BE24" s="78">
        <f>BC24/'Alternative 1'!$M25</f>
        <v>76601.61939294904</v>
      </c>
      <c r="BF24" s="78">
        <f t="shared" si="8"/>
        <v>5.1400888885797897</v>
      </c>
      <c r="BH24" s="78">
        <f>'Alternative 1'!$B$39*$B24*$C24*COS($K$73)-($N$72/3)*$E24*SIN($K$73)-($N$72/3)*$F24*SIN($K$73)-($N$72/3)*$G24*SIN($K$73)</f>
        <v>150937.63344238893</v>
      </c>
      <c r="BI24" s="79">
        <f>IF(($A24&lt;'Alternative 1'!$B$27),(($H24*'Alternative 1'!$B$39)+(3*($N$72/3)*COS($K$73))),IF(($A24&lt;'Alternative 1'!$B$28),(($H24*'Alternative 1'!$B$39)+(2*(($N$72/3)*COS($K$73)))),IF(($A24&lt;'Alternative 1'!$B$29),(($H$3*'Alternative 1'!$B$39+(($N$72/3)*COS($K$73)))),($H24*'Alternative 1'!$B$39))))</f>
        <v>145878.17998160157</v>
      </c>
      <c r="BJ24" s="78">
        <f>BH24*'Alternative 1'!$K25/'Alternative 1'!$L25</f>
        <v>3410861.4949649884</v>
      </c>
      <c r="BK24" s="78">
        <f>BI24/'Alternative 1'!$M25</f>
        <v>65930.514552579189</v>
      </c>
      <c r="BL24" s="78">
        <f t="shared" si="9"/>
        <v>3.4767920095175677</v>
      </c>
      <c r="BN24" s="78">
        <f>'Alternative 1'!$B$39*$B24*$C24*COS($K$83)-($N$82/3)*$E24*SIN($K$83)-($N$82/3)*$F24*SIN($K$83)-($N$82/3)*$G24*SIN($K$83)</f>
        <v>72574.108262475042</v>
      </c>
      <c r="BO24" s="79">
        <f>IF(($A24&lt;'Alternative 1'!$B$27),(($H24*'Alternative 1'!$B$39)+(3*($N$82/3)*COS($K$83))),IF(($A24&lt;'Alternative 1'!$B$28),(($H24*'Alternative 1'!$B$39)+(2*(($N$82/3)*COS($K$83)))),IF(($A24&lt;'Alternative 1'!$B$29),(($H$3*'Alternative 1'!$B$39+(($N$82/3)*COS($K$83)))),($H24*'Alternative 1'!$B$39))))</f>
        <v>132262.5278217204</v>
      </c>
      <c r="BP24" s="78">
        <f>BN24*'Alternative 1'!$K25/'Alternative 1'!$L25</f>
        <v>1640016.6463347897</v>
      </c>
      <c r="BQ24" s="78">
        <f>BO24/'Alternative 1'!$M25</f>
        <v>59776.839253208716</v>
      </c>
      <c r="BR24" s="78">
        <f t="shared" si="10"/>
        <v>1.6997934855879984</v>
      </c>
      <c r="BT24" s="78">
        <f>'Alternative 1'!$B$39*$B24*$C24*COS($K$93)-($K$92/3)*$E24*SIN($K$93)-($K$92/3)*$F24*SIN($K$93)-($K$92/3)*$G24*SIN($K$93)</f>
        <v>-3.624467079916291</v>
      </c>
      <c r="BU24" s="79">
        <f>IF(($A24&lt;'Alternative 1'!$B$27),(($H24*'Alternative 1'!$B$39)+(3*($N$92/3)*COS($K$93))),IF(($A24&lt;'Alternative 1'!$B$28),(($H24*'Alternative 1'!$B$39)+(2*(($N$92/3)*COS($K$93)))),IF(($A24&lt;'Alternative 1'!$B$29),(($H$3*'Alternative 1'!$B$39+(($N$92/3)*COS($K$93)))),($H24*'Alternative 1'!$B$39))))</f>
        <v>127549.96109375481</v>
      </c>
      <c r="BV24" s="78">
        <f>BT24*'Alternative 1'!$K25/'Alternative 1'!$L25</f>
        <v>-81.905055225165583</v>
      </c>
      <c r="BW24" s="78">
        <f>BU24/'Alternative 1'!$M25</f>
        <v>57646.966579465996</v>
      </c>
      <c r="BX24" s="78">
        <f t="shared" si="11"/>
        <v>5.7565061524240832E-2</v>
      </c>
      <c r="BZ24" s="77">
        <v>150</v>
      </c>
      <c r="CA24" s="77">
        <v>-150</v>
      </c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1"/>
      <c r="DA24" s="281"/>
      <c r="DB24" s="281"/>
      <c r="DC24" s="281"/>
      <c r="DD24" s="281"/>
      <c r="DE24" s="281"/>
      <c r="DF24" s="281"/>
      <c r="DG24" s="281"/>
      <c r="DH24" s="281"/>
      <c r="DI24" s="281"/>
      <c r="DJ24" s="281"/>
      <c r="DK24" s="281"/>
    </row>
    <row r="25" spans="1:115" ht="15" customHeight="1" x14ac:dyDescent="0.25">
      <c r="A25" s="89">
        <f>IF('Alternative 1'!F26&gt;0,'Alternative 1'!F26,"x")</f>
        <v>23</v>
      </c>
      <c r="B25" s="89">
        <f t="shared" si="17"/>
        <v>14</v>
      </c>
      <c r="C25" s="89">
        <f t="shared" si="12"/>
        <v>7</v>
      </c>
      <c r="D25" s="89">
        <f t="shared" si="13"/>
        <v>23</v>
      </c>
      <c r="E25" s="74">
        <f>IF($A25&lt;='Alternative 1'!$B$27, IF($A25='Alternative 1'!$B$27,0,E26+1),0)</f>
        <v>0</v>
      </c>
      <c r="F25" s="74">
        <f>IF($A25&lt;=('Alternative 1'!$B$28), IF($A25=ROUNDDOWN('Alternative 1'!$B$28,0),0,F26+1),0)</f>
        <v>0</v>
      </c>
      <c r="G25" s="74">
        <f>IF($A25&lt;=('Alternative 1'!$B$29), IF($A25=ROUNDDOWN('Alternative 1'!$B$29,0),0,G26+1),0)</f>
        <v>6</v>
      </c>
      <c r="H25" s="89">
        <f t="shared" si="14"/>
        <v>14</v>
      </c>
      <c r="J25" s="77">
        <f t="shared" si="15"/>
        <v>22</v>
      </c>
      <c r="K25" s="77">
        <f t="shared" si="16"/>
        <v>0.38397243543875248</v>
      </c>
      <c r="L25" s="78">
        <f>'Alternative 1'!$B$27*SIN(K25)+'Alternative 1'!$B$28*SIN(K25)+'Alternative 1'!$B$29*SIN(K25)</f>
        <v>25.473248352282017</v>
      </c>
      <c r="M25" s="77">
        <f>(('Alternative 1'!$B$27)*(((('Alternative 1'!$B$28-'Alternative 1'!$B$27)/2)+'Alternative 1'!$B$27)*'Alternative 1'!$B$39)*COS('Alternative 1-Tilt Up'!K25))+(('Alternative 1'!$B$28)*((('Alternative 1'!$B$28-'Alternative 1'!$B$27)/2)+(('Alternative 1'!$B$29-'Alternative 1'!$B$28)/2))*('Alternative 1'!$B$39)*COS('Alternative 1-Tilt Up'!K25))+(('Alternative 1'!$B$29)*((('Alternative 1'!$B$12-'Alternative 1'!$B$29+(('Alternative 1'!$B$29-'Alternative 1'!$B$28)/2)*('Alternative 1'!$B$39)*COS('Alternative 1-Tilt Up'!K25)))))</f>
        <v>4400533.0559435887</v>
      </c>
      <c r="N25" s="77">
        <f t="shared" si="0"/>
        <v>518253.46281947987</v>
      </c>
      <c r="O25" s="77">
        <f>(((('Alternative 1'!$B$28-'Alternative 1'!$B$27)/2)+'Alternative 1'!$B$27)*('Alternative 1'!$B$39)*COS('Alternative 1-Tilt Up'!K25))+(((('Alternative 1'!$B$28-'Alternative 1'!$B$27)/2)+(('Alternative 1'!$B$29-'Alternative 1'!$B$28)/2))*('Alternative 1'!$B$39)*COS('Alternative 1-Tilt Up'!K25))+(((('Alternative 1'!$B$12-'Alternative 1'!$B$29)+(('Alternative 1'!$B$29-'Alternative 1'!$B$28)/2))*('Alternative 1'!$B$39)*COS('Alternative 1-Tilt Up'!K25)))</f>
        <v>283829.43498420325</v>
      </c>
      <c r="P25" s="77">
        <f t="shared" si="1"/>
        <v>480516.24329955061</v>
      </c>
      <c r="R25" s="78">
        <f>'Alternative 1'!$B$39*$B25*$C25*COS($K$5)-($N$5/3)*$E25*SIN($K$5)-($N$5/3)*$F25*SIN($K$5)-($N$5/3)*$G25*SIN($K$5)</f>
        <v>414299.24263101909</v>
      </c>
      <c r="S25" s="79">
        <f>IF(($A25&lt;'Alternative 1'!$B$27),(($H25*'Alternative 1'!$B$39)+(3*($N$5/3)*COS($K$5))),IF(($A25&lt;'Alternative 1'!$B$28),(($H25*'Alternative 1'!$B$39)+(2*(($N$5/3)*COS($K$5)))),IF(($A25&lt;'Alternative 1'!$B$29),(($H$3*'Alternative 1'!$B$39+(($N$5/3)*COS($K$5)))),($H25*'Alternative 1'!$B$39))))</f>
        <v>2303591.7836996038</v>
      </c>
      <c r="T25" s="78">
        <f>R25*'Alternative 1'!$K26/'Alternative 1'!$L26</f>
        <v>9588144.7625530791</v>
      </c>
      <c r="U25" s="78">
        <f>S25/'Alternative 1'!$M26</f>
        <v>1066241.4086968531</v>
      </c>
      <c r="V25" s="78">
        <f t="shared" si="2"/>
        <v>10.654386171249932</v>
      </c>
      <c r="X25" s="78">
        <f>'Alternative 1'!$B$39*$B25*$C25*COS($K$13)-($N$12/3)*$E25*SIN($K$13)-($N$12/3)*$F25*SIN($K$13)-($N$12/3)*$G25*SIN($K$13)</f>
        <v>361533.53461197967</v>
      </c>
      <c r="Y25" s="79">
        <f>IF(($A25&lt;'Alternative 1'!$B$27),(($H25*'Alternative 1'!$B$39)+(3*($N$12/3)*COS($K$13))),IF(($A25&lt;'Alternative 1'!$B$28),(($H25*'Alternative 1'!$B$39)+(2*(($N$12/3)*COS($K$13)))),IF(($A25&lt;'Alternative 1'!$B$29),(($H$3*'Alternative 1'!$B$39+(($N$12/3)*COS($K$13)))),($H25*'Alternative 1'!$B$39))))</f>
        <v>740098.46863391146</v>
      </c>
      <c r="Z25" s="78">
        <f>X25*'Alternative 1'!$K26/'Alternative 1'!$L26</f>
        <v>8366985.7670109561</v>
      </c>
      <c r="AA25" s="78">
        <f>Y25/'Alternative 1'!$M26</f>
        <v>342562.27138614847</v>
      </c>
      <c r="AB25" s="78">
        <f t="shared" si="3"/>
        <v>8.7095480383971058</v>
      </c>
      <c r="AD25" s="78">
        <f>'Alternative 1'!$B$39*$B25*$C25*COS($K$23)-($N$22/3)*$E25*SIN($K$23)-($N$22/3)*$F25*SIN($K$23)-($N$22/3)*$G25*SIN($K$23)</f>
        <v>367101.43460592447</v>
      </c>
      <c r="AE25" s="79">
        <f>IF(($A25&lt;'Alternative 1'!$B$27),(($H25*'Alternative 1'!$B$39)+(3*($N$22/3)*COS($K$23))),IF(($A25&lt;'Alternative 1'!$B$28),(($H25*'Alternative 1'!$B$39)+(2*(($N$22/3)*COS($K$23)))),IF(($A25&lt;'Alternative 1'!$B$29),(($H$3*'Alternative 1'!$B$39+(($N$22/3)*COS($K$23)))),($H25*'Alternative 1'!$B$39))))</f>
        <v>496597.59167774895</v>
      </c>
      <c r="AF25" s="78">
        <f>AD25*'Alternative 1'!$K26/'Alternative 1'!$L26</f>
        <v>8495843.9102852046</v>
      </c>
      <c r="AG25" s="78">
        <f>AE25/'Alternative 1'!$M26</f>
        <v>229855.35868493764</v>
      </c>
      <c r="AH25" s="78">
        <f t="shared" si="4"/>
        <v>8.7256992689701427</v>
      </c>
      <c r="AJ25" s="78">
        <f>'Alternative 1'!$B$39*$B25*$C25*COS($K$33)-($N$32/3)*$E25*SIN($K$33)-($N$32/3)*$F25*SIN($K$33)-($N$32/3)*$G25*SIN($K$33)</f>
        <v>343934.89915332315</v>
      </c>
      <c r="AK25" s="79">
        <f>IF(($A25&lt;'Alternative 1'!$B$27),(($H25*'Alternative 1'!$B$39)+(3*($N$32/3)*COS($K$33))),IF(($A25&lt;'Alternative 1'!$B$28),(($H25*'Alternative 1'!$B$39)+(2*(($N$32/3)*COS($K$33)))),IF(($A25&lt;'Alternative 1'!$B$29),(($H$3*'Alternative 1'!$B$39+(($N$32/3)*COS($K$33)))),($H25*'Alternative 1'!$B$39))))</f>
        <v>415166.05643987219</v>
      </c>
      <c r="AL25" s="78">
        <f>AJ25*'Alternative 1'!$K26/'Alternative 1'!$L26</f>
        <v>7959699.8078829078</v>
      </c>
      <c r="AM25" s="78">
        <f>AK25/'Alternative 1'!$M26</f>
        <v>192163.92591513594</v>
      </c>
      <c r="AN25" s="78">
        <f t="shared" si="5"/>
        <v>8.1518637337980433</v>
      </c>
      <c r="AP25" s="78">
        <f>'Alternative 1'!$B$39*$B25*$C25*COS($K$43)-($N$42/3)*$E25*SIN($K$43)-($N$42/3)*$F25*SIN($K$43)-($N$42/3)*$G25*SIN($K$43)</f>
        <v>305947.64356760343</v>
      </c>
      <c r="AQ25" s="79">
        <f>IF(($A25&lt;'Alternative 1'!$B$27),(($H25*'Alternative 1'!$B$39)+(3*($N$42/3)*COS($K$43))),IF(($A25&lt;'Alternative 1'!$B$28),(($H25*'Alternative 1'!$B$39)+(2*(($N$42/3)*COS($K$43)))),IF(($A25&lt;'Alternative 1'!$B$29),(($H$3*'Alternative 1'!$B$39+(($N$42/3)*COS($K$43)))),($H25*'Alternative 1'!$B$39))))</f>
        <v>372146.51651041314</v>
      </c>
      <c r="AR25" s="78">
        <f>AP25*'Alternative 1'!$K26/'Alternative 1'!$L26</f>
        <v>7080559.1573353764</v>
      </c>
      <c r="AS25" s="78">
        <f>AQ25/'Alternative 1'!$M26</f>
        <v>172251.88456282209</v>
      </c>
      <c r="AT25" s="78">
        <f t="shared" si="6"/>
        <v>7.2528110418981981</v>
      </c>
      <c r="AV25" s="78">
        <f>'Alternative 1'!$B$39*$B25*$C25*COS($K$53)-($N$52/3)*$E25*SIN($K$53)-($N$52/3)*$F25*SIN($K$53)-($N$52/3)*$G25*SIN($K$53)</f>
        <v>256778.70301178866</v>
      </c>
      <c r="AW25" s="79">
        <f>IF(($A25&lt;'Alternative 1'!$B$27),(($H25*'Alternative 1'!$B$39)+(3*($N$52/3)*COS($K$53))),IF(($A25&lt;'Alternative 1'!$B$28),(($H25*'Alternative 1'!$B$39)+(2*(($N$52/3)*COS($K$53)))),IF(($A25&lt;'Alternative 1'!$B$29),(($H$3*'Alternative 1'!$B$39+(($N$52/3)*COS($K$53)))),($H25*'Alternative 1'!$B$39))))</f>
        <v>345120.30506969942</v>
      </c>
      <c r="AX25" s="78">
        <f>AV25*'Alternative 1'!$K26/'Alternative 1'!$L26</f>
        <v>5942640.3021701267</v>
      </c>
      <c r="AY25" s="78">
        <f>AW25/'Alternative 1'!$M26</f>
        <v>159742.52159226753</v>
      </c>
      <c r="AZ25" s="78">
        <f t="shared" si="7"/>
        <v>6.1023828237623947</v>
      </c>
      <c r="BB25" s="78">
        <f>'Alternative 1'!$B$39*$B25*$C25*COS($K$63)-($N$62/3)*$E25*SIN($K$63)-($N$62/3)*$F25*SIN($K$63)-($N$62/3)*$G25*SIN($K$63)</f>
        <v>198740.94975533264</v>
      </c>
      <c r="BC25" s="79">
        <f>IF(($A25&lt;'Alternative 1'!$B$27),(($H25*'Alternative 1'!$B$39)+(3*($N$62/3)*COS($K$63))),IF(($A25&lt;'Alternative 1'!$B$28),(($H25*'Alternative 1'!$B$39)+(2*(($N$62/3)*COS($K$63)))),IF(($A25&lt;'Alternative 1'!$B$29),(($H$3*'Alternative 1'!$B$39+(($N$62/3)*COS($K$63)))),($H25*'Alternative 1'!$B$39))))</f>
        <v>327089.4855322786</v>
      </c>
      <c r="BD25" s="78">
        <f>BB25*'Alternative 1'!$K26/'Alternative 1'!$L26</f>
        <v>4599470.1424026834</v>
      </c>
      <c r="BE25" s="78">
        <f>BC25/'Alternative 1'!$M26</f>
        <v>151396.76929380154</v>
      </c>
      <c r="BF25" s="78">
        <f t="shared" si="8"/>
        <v>4.7508669116964857</v>
      </c>
      <c r="BH25" s="78">
        <f>'Alternative 1'!$B$39*$B25*$C25*COS($K$73)-($N$72/3)*$E25*SIN($K$73)-($N$72/3)*$F25*SIN($K$73)-($N$72/3)*$G25*SIN($K$73)</f>
        <v>133945.31643365874</v>
      </c>
      <c r="BI25" s="79">
        <f>IF(($A25&lt;'Alternative 1'!$B$27),(($H25*'Alternative 1'!$B$39)+(3*($N$72/3)*COS($K$73))),IF(($A25&lt;'Alternative 1'!$B$28),(($H25*'Alternative 1'!$B$39)+(2*(($N$72/3)*COS($K$73)))),IF(($A25&lt;'Alternative 1'!$B$29),(($H$3*'Alternative 1'!$B$39+(($N$72/3)*COS($K$73)))),($H25*'Alternative 1'!$B$39))))</f>
        <v>315284.01606893499</v>
      </c>
      <c r="BJ25" s="78">
        <f>BH25*'Alternative 1'!$K26/'Alternative 1'!$L26</f>
        <v>3099902.0806217226</v>
      </c>
      <c r="BK25" s="78">
        <f>BI25/'Alternative 1'!$M26</f>
        <v>145932.4850052426</v>
      </c>
      <c r="BL25" s="78">
        <f t="shared" si="9"/>
        <v>3.2458345656269652</v>
      </c>
      <c r="BN25" s="78">
        <f>'Alternative 1'!$B$39*$B25*$C25*COS($K$83)-($N$82/3)*$E25*SIN($K$83)-($N$82/3)*$F25*SIN($K$83)-($N$82/3)*$G25*SIN($K$83)</f>
        <v>64526.730904593875</v>
      </c>
      <c r="BO25" s="79">
        <f>IF(($A25&lt;'Alternative 1'!$B$27),(($H25*'Alternative 1'!$B$39)+(3*($N$82/3)*COS($K$83))),IF(($A25&lt;'Alternative 1'!$B$28),(($H25*'Alternative 1'!$B$39)+(2*(($N$82/3)*COS($K$83)))),IF(($A25&lt;'Alternative 1'!$B$29),(($H$3*'Alternative 1'!$B$39+(($N$82/3)*COS($K$83)))),($H25*'Alternative 1'!$B$39))))</f>
        <v>308476.18998899439</v>
      </c>
      <c r="BP25" s="78">
        <f>BN25*'Alternative 1'!$K26/'Alternative 1'!$L26</f>
        <v>1493344.8418552128</v>
      </c>
      <c r="BQ25" s="78">
        <f>BO25/'Alternative 1'!$M26</f>
        <v>142781.41191972338</v>
      </c>
      <c r="BR25" s="78">
        <f t="shared" si="10"/>
        <v>1.6361262537749364</v>
      </c>
      <c r="BT25" s="78">
        <f>'Alternative 1'!$B$39*$B25*$C25*COS($K$93)-($K$92/3)*$E25*SIN($K$93)-($K$92/3)*$F25*SIN($K$93)-($K$92/3)*$G25*SIN($K$93)</f>
        <v>-3.1066860684988593</v>
      </c>
      <c r="BU25" s="79">
        <f>IF(($A25&lt;'Alternative 1'!$B$27),(($H25*'Alternative 1'!$B$39)+(3*($N$92/3)*COS($K$93))),IF(($A25&lt;'Alternative 1'!$B$28),(($H25*'Alternative 1'!$B$39)+(2*(($N$92/3)*COS($K$93)))),IF(($A25&lt;'Alternative 1'!$B$29),(($H$3*'Alternative 1'!$B$39+(($N$92/3)*COS($K$93)))),($H25*'Alternative 1'!$B$39))))</f>
        <v>306119.90662501159</v>
      </c>
      <c r="BV25" s="78">
        <f>BT25*'Alternative 1'!$K26/'Alternative 1'!$L26</f>
        <v>-71.898166087411852</v>
      </c>
      <c r="BW25" s="78">
        <f>BU25/'Alternative 1'!$M26</f>
        <v>141690.78166523139</v>
      </c>
      <c r="BX25" s="78">
        <f t="shared" si="11"/>
        <v>0.141618883499144</v>
      </c>
      <c r="BZ25" s="77">
        <v>150</v>
      </c>
      <c r="CA25" s="77">
        <v>-150</v>
      </c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  <c r="CP25" s="281"/>
      <c r="CQ25" s="281"/>
      <c r="CR25" s="281"/>
      <c r="CS25" s="281"/>
      <c r="CT25" s="281"/>
      <c r="CU25" s="281"/>
      <c r="CV25" s="281"/>
      <c r="CW25" s="281"/>
      <c r="CX25" s="281"/>
      <c r="CY25" s="281"/>
      <c r="CZ25" s="281"/>
      <c r="DA25" s="281"/>
      <c r="DB25" s="281"/>
      <c r="DC25" s="281"/>
      <c r="DD25" s="281"/>
      <c r="DE25" s="281"/>
      <c r="DF25" s="281"/>
      <c r="DG25" s="281"/>
      <c r="DH25" s="281"/>
      <c r="DI25" s="281"/>
      <c r="DJ25" s="281"/>
      <c r="DK25" s="281"/>
    </row>
    <row r="26" spans="1:115" ht="15" customHeight="1" x14ac:dyDescent="0.25">
      <c r="A26" s="89">
        <f>IF('Alternative 1'!F27&gt;0,'Alternative 1'!F27,"x")</f>
        <v>24</v>
      </c>
      <c r="B26" s="89">
        <f t="shared" si="17"/>
        <v>13</v>
      </c>
      <c r="C26" s="89">
        <f t="shared" si="12"/>
        <v>6.5</v>
      </c>
      <c r="D26" s="89">
        <f t="shared" si="13"/>
        <v>24</v>
      </c>
      <c r="E26" s="74">
        <f>IF($A26&lt;='Alternative 1'!$B$27, IF($A26='Alternative 1'!$B$27,0,E27+1),0)</f>
        <v>0</v>
      </c>
      <c r="F26" s="74">
        <f>IF($A26&lt;=('Alternative 1'!$B$28), IF($A26=ROUNDDOWN('Alternative 1'!$B$28,0),0,F27+1),0)</f>
        <v>0</v>
      </c>
      <c r="G26" s="74">
        <f>IF($A26&lt;=('Alternative 1'!$B$29), IF($A26=ROUNDDOWN('Alternative 1'!$B$29,0),0,G27+1),0)</f>
        <v>5</v>
      </c>
      <c r="H26" s="89">
        <f t="shared" si="14"/>
        <v>13</v>
      </c>
      <c r="J26" s="77">
        <f t="shared" si="15"/>
        <v>23</v>
      </c>
      <c r="K26" s="77">
        <f t="shared" si="16"/>
        <v>0.40142572795869574</v>
      </c>
      <c r="L26" s="78">
        <f>'Alternative 1'!$B$27*SIN(K26)+'Alternative 1'!$B$28*SIN(K26)+'Alternative 1'!$B$29*SIN(K26)</f>
        <v>26.56971673727061</v>
      </c>
      <c r="M26" s="77">
        <f>(('Alternative 1'!$B$27)*(((('Alternative 1'!$B$28-'Alternative 1'!$B$27)/2)+'Alternative 1'!$B$27)*'Alternative 1'!$B$39)*COS('Alternative 1-Tilt Up'!K26))+(('Alternative 1'!$B$28)*((('Alternative 1'!$B$28-'Alternative 1'!$B$27)/2)+(('Alternative 1'!$B$29-'Alternative 1'!$B$28)/2))*('Alternative 1'!$B$39)*COS('Alternative 1-Tilt Up'!K26))+(('Alternative 1'!$B$29)*((('Alternative 1'!$B$12-'Alternative 1'!$B$29+(('Alternative 1'!$B$29-'Alternative 1'!$B$28)/2)*('Alternative 1'!$B$39)*COS('Alternative 1-Tilt Up'!K26)))))</f>
        <v>4368835.0723998984</v>
      </c>
      <c r="N26" s="77">
        <f t="shared" si="0"/>
        <v>493287.3521686655</v>
      </c>
      <c r="O26" s="77">
        <f>(((('Alternative 1'!$B$28-'Alternative 1'!$B$27)/2)+'Alternative 1'!$B$27)*('Alternative 1'!$B$39)*COS('Alternative 1-Tilt Up'!K26))+(((('Alternative 1'!$B$28-'Alternative 1'!$B$27)/2)+(('Alternative 1'!$B$29-'Alternative 1'!$B$28)/2))*('Alternative 1'!$B$39)*COS('Alternative 1-Tilt Up'!K26))+(((('Alternative 1'!$B$12-'Alternative 1'!$B$29)+(('Alternative 1'!$B$29-'Alternative 1'!$B$28)/2))*('Alternative 1'!$B$39)*COS('Alternative 1-Tilt Up'!K26)))</f>
        <v>281784.85978673096</v>
      </c>
      <c r="P26" s="77">
        <f t="shared" si="1"/>
        <v>454073.40181795979</v>
      </c>
      <c r="R26" s="78">
        <f>'Alternative 1'!$B$39*$B26*$C26*COS($K$5)-($N$5/3)*$E26*SIN($K$5)-($N$5/3)*$F26*SIN($K$5)-($N$5/3)*$G26*SIN($K$5)</f>
        <v>369327.4626232225</v>
      </c>
      <c r="S26" s="79">
        <f>IF(($A26&lt;'Alternative 1'!$B$27),(($H26*'Alternative 1'!$B$39)+(3*($N$5/3)*COS($K$5))),IF(($A26&lt;'Alternative 1'!$B$28),(($H26*'Alternative 1'!$B$39)+(2*(($N$5/3)*COS($K$5)))),IF(($A26&lt;'Alternative 1'!$B$29),(($H$3*'Alternative 1'!$B$39+(($N$5/3)*COS($K$5)))),($H26*'Alternative 1'!$B$39))))</f>
        <v>2303591.7836996038</v>
      </c>
      <c r="T26" s="78">
        <f>R26*'Alternative 1'!$K27/'Alternative 1'!$L27</f>
        <v>8756102.8287653644</v>
      </c>
      <c r="U26" s="78">
        <f>S26/'Alternative 1'!$M27</f>
        <v>1092280.9329647063</v>
      </c>
      <c r="V26" s="78">
        <f t="shared" si="2"/>
        <v>9.8483837617300711</v>
      </c>
      <c r="X26" s="78">
        <f>'Alternative 1'!$B$39*$B26*$C26*COS($K$13)-($N$12/3)*$E26*SIN($K$13)-($N$12/3)*$F26*SIN($K$13)-($N$12/3)*$G26*SIN($K$13)</f>
        <v>325004.69261982857</v>
      </c>
      <c r="Y26" s="79">
        <f>IF(($A26&lt;'Alternative 1'!$B$27),(($H26*'Alternative 1'!$B$39)+(3*($N$12/3)*COS($K$13))),IF(($A26&lt;'Alternative 1'!$B$28),(($H26*'Alternative 1'!$B$39)+(2*(($N$12/3)*COS($K$13)))),IF(($A26&lt;'Alternative 1'!$B$29),(($H$3*'Alternative 1'!$B$39+(($N$12/3)*COS($K$13)))),($H26*'Alternative 1'!$B$39))))</f>
        <v>740098.46863391146</v>
      </c>
      <c r="Z26" s="78">
        <f>X26*'Alternative 1'!$K27/'Alternative 1'!$L27</f>
        <v>7705288.1153159132</v>
      </c>
      <c r="AA26" s="78">
        <f>Y26/'Alternative 1'!$M27</f>
        <v>350928.2553990116</v>
      </c>
      <c r="AB26" s="78">
        <f t="shared" si="3"/>
        <v>8.0562163707149246</v>
      </c>
      <c r="AD26" s="78">
        <f>'Alternative 1'!$B$39*$B26*$C26*COS($K$23)-($N$22/3)*$E26*SIN($K$23)-($N$22/3)*$F26*SIN($K$23)-($N$22/3)*$G26*SIN($K$23)</f>
        <v>328557.66075785505</v>
      </c>
      <c r="AE26" s="79">
        <f>IF(($A26&lt;'Alternative 1'!$B$27),(($H26*'Alternative 1'!$B$39)+(3*($N$22/3)*COS($K$23))),IF(($A26&lt;'Alternative 1'!$B$28),(($H26*'Alternative 1'!$B$39)+(2*(($N$22/3)*COS($K$23)))),IF(($A26&lt;'Alternative 1'!$B$29),(($H$3*'Alternative 1'!$B$39+(($N$22/3)*COS($K$23)))),($H26*'Alternative 1'!$B$39))))</f>
        <v>496597.59167774895</v>
      </c>
      <c r="AF26" s="78">
        <f>AD26*'Alternative 1'!$K27/'Alternative 1'!$L27</f>
        <v>7789522.7241991004</v>
      </c>
      <c r="AG26" s="78">
        <f>AE26/'Alternative 1'!$M27</f>
        <v>235468.83809190206</v>
      </c>
      <c r="AH26" s="78">
        <f t="shared" si="4"/>
        <v>8.0249915622910031</v>
      </c>
      <c r="AJ26" s="78">
        <f>'Alternative 1'!$B$39*$B26*$C26*COS($K$33)-($N$32/3)*$E26*SIN($K$33)-($N$32/3)*$F26*SIN($K$33)-($N$32/3)*$G26*SIN($K$33)</f>
        <v>307477.3672000076</v>
      </c>
      <c r="AK26" s="79">
        <f>IF(($A26&lt;'Alternative 1'!$B$27),(($H26*'Alternative 1'!$B$39)+(3*($N$32/3)*COS($K$33))),IF(($A26&lt;'Alternative 1'!$B$28),(($H26*'Alternative 1'!$B$39)+(2*(($N$32/3)*COS($K$33)))),IF(($A26&lt;'Alternative 1'!$B$29),(($H$3*'Alternative 1'!$B$39+(($N$32/3)*COS($K$33)))),($H26*'Alternative 1'!$B$39))))</f>
        <v>415166.05643987219</v>
      </c>
      <c r="AL26" s="78">
        <f>AJ26*'Alternative 1'!$K27/'Alternative 1'!$L27</f>
        <v>7289746.1391002098</v>
      </c>
      <c r="AM26" s="78">
        <f>AK26/'Alternative 1'!$M27</f>
        <v>196856.91304868649</v>
      </c>
      <c r="AN26" s="78">
        <f t="shared" si="5"/>
        <v>7.4866030521488964</v>
      </c>
      <c r="AP26" s="78">
        <f>'Alternative 1'!$B$39*$B26*$C26*COS($K$43)-($N$42/3)*$E26*SIN($K$43)-($N$42/3)*$F26*SIN($K$43)-($N$42/3)*$G26*SIN($K$43)</f>
        <v>273412.50254600856</v>
      </c>
      <c r="AQ26" s="79">
        <f>IF(($A26&lt;'Alternative 1'!$B$27),(($H26*'Alternative 1'!$B$39)+(3*($N$42/3)*COS($K$43))),IF(($A26&lt;'Alternative 1'!$B$28),(($H26*'Alternative 1'!$B$39)+(2*(($N$42/3)*COS($K$43)))),IF(($A26&lt;'Alternative 1'!$B$29),(($H$3*'Alternative 1'!$B$39+(($N$42/3)*COS($K$43)))),($H26*'Alternative 1'!$B$39))))</f>
        <v>372146.51651041314</v>
      </c>
      <c r="AR26" s="78">
        <f>AP26*'Alternative 1'!$K27/'Alternative 1'!$L27</f>
        <v>6482128.2716396395</v>
      </c>
      <c r="AS26" s="78">
        <f>AQ26/'Alternative 1'!$M27</f>
        <v>176458.58399474437</v>
      </c>
      <c r="AT26" s="78">
        <f t="shared" si="6"/>
        <v>6.6585868556343835</v>
      </c>
      <c r="AV26" s="78">
        <f>'Alternative 1'!$B$39*$B26*$C26*COS($K$53)-($N$52/3)*$E26*SIN($K$53)-($N$52/3)*$F26*SIN($K$53)-($N$52/3)*$G26*SIN($K$53)</f>
        <v>229468.78682449184</v>
      </c>
      <c r="AW26" s="79">
        <f>IF(($A26&lt;'Alternative 1'!$B$27),(($H26*'Alternative 1'!$B$39)+(3*($N$52/3)*COS($K$53))),IF(($A26&lt;'Alternative 1'!$B$28),(($H26*'Alternative 1'!$B$39)+(2*(($N$52/3)*COS($K$53)))),IF(($A26&lt;'Alternative 1'!$B$29),(($H$3*'Alternative 1'!$B$39+(($N$52/3)*COS($K$53)))),($H26*'Alternative 1'!$B$39))))</f>
        <v>345120.30506969942</v>
      </c>
      <c r="AX26" s="78">
        <f>AV26*'Alternative 1'!$K27/'Alternative 1'!$L27</f>
        <v>5440300.2667501932</v>
      </c>
      <c r="AY26" s="78">
        <f>AW26/'Alternative 1'!$M27</f>
        <v>163643.71998287752</v>
      </c>
      <c r="AZ26" s="78">
        <f t="shared" si="7"/>
        <v>5.6039439867330705</v>
      </c>
      <c r="BB26" s="78">
        <f>'Alternative 1'!$B$39*$B26*$C26*COS($K$63)-($N$62/3)*$E26*SIN($K$63)-($N$62/3)*$F26*SIN($K$63)-($N$62/3)*$G26*SIN($K$63)</f>
        <v>177663.84334385398</v>
      </c>
      <c r="BC26" s="79">
        <f>IF(($A26&lt;'Alternative 1'!$B$27),(($H26*'Alternative 1'!$B$39)+(3*($N$62/3)*COS($K$63))),IF(($A26&lt;'Alternative 1'!$B$28),(($H26*'Alternative 1'!$B$39)+(2*(($N$62/3)*COS($K$63)))),IF(($A26&lt;'Alternative 1'!$B$29),(($H$3*'Alternative 1'!$B$39+(($N$62/3)*COS($K$63)))),($H26*'Alternative 1'!$B$39))))</f>
        <v>327089.4855322786</v>
      </c>
      <c r="BD26" s="78">
        <f>BB26*'Alternative 1'!$K27/'Alternative 1'!$L27</f>
        <v>4212096.4149895059</v>
      </c>
      <c r="BE26" s="78">
        <f>BC26/'Alternative 1'!$M27</f>
        <v>155094.14947050912</v>
      </c>
      <c r="BF26" s="78">
        <f t="shared" si="8"/>
        <v>4.3671905644600146</v>
      </c>
      <c r="BH26" s="78">
        <f>'Alternative 1'!$B$39*$B26*$C26*COS($K$73)-($N$72/3)*$E26*SIN($K$73)-($N$72/3)*$F26*SIN($K$73)-($N$72/3)*$G26*SIN($K$73)</f>
        <v>119861.30982322655</v>
      </c>
      <c r="BI26" s="79">
        <f>IF(($A26&lt;'Alternative 1'!$B$27),(($H26*'Alternative 1'!$B$39)+(3*($N$72/3)*COS($K$73))),IF(($A26&lt;'Alternative 1'!$B$28),(($H26*'Alternative 1'!$B$39)+(2*(($N$72/3)*COS($K$73)))),IF(($A26&lt;'Alternative 1'!$B$29),(($H$3*'Alternative 1'!$B$39+(($N$72/3)*COS($K$73)))),($H26*'Alternative 1'!$B$39))))</f>
        <v>315284.01606893499</v>
      </c>
      <c r="BJ26" s="78">
        <f>BH26*'Alternative 1'!$K27/'Alternative 1'!$L27</f>
        <v>2841700.2801477681</v>
      </c>
      <c r="BK26" s="78">
        <f>BI26/'Alternative 1'!$M27</f>
        <v>149496.4175760161</v>
      </c>
      <c r="BL26" s="78">
        <f t="shared" si="9"/>
        <v>2.991196697723784</v>
      </c>
      <c r="BN26" s="78">
        <f>'Alternative 1'!$B$39*$B26*$C26*COS($K$83)-($N$82/3)*$E26*SIN($K$83)-($N$82/3)*$F26*SIN($K$83)-($N$82/3)*$G26*SIN($K$83)</f>
        <v>57955.941433740591</v>
      </c>
      <c r="BO26" s="79">
        <f>IF(($A26&lt;'Alternative 1'!$B$27),(($H26*'Alternative 1'!$B$39)+(3*($N$82/3)*COS($K$83))),IF(($A26&lt;'Alternative 1'!$B$28),(($H26*'Alternative 1'!$B$39)+(2*(($N$82/3)*COS($K$83)))),IF(($A26&lt;'Alternative 1'!$B$29),(($H$3*'Alternative 1'!$B$39+(($N$82/3)*COS($K$83)))),($H26*'Alternative 1'!$B$39))))</f>
        <v>308476.18998899439</v>
      </c>
      <c r="BP26" s="78">
        <f>BN26*'Alternative 1'!$K27/'Alternative 1'!$L27</f>
        <v>1374033.1659263598</v>
      </c>
      <c r="BQ26" s="78">
        <f>BO26/'Alternative 1'!$M27</f>
        <v>146268.38964386375</v>
      </c>
      <c r="BR26" s="78">
        <f t="shared" si="10"/>
        <v>1.5203015555702235</v>
      </c>
      <c r="BT26" s="78">
        <f>'Alternative 1'!$B$39*$B26*$C26*COS($K$93)-($K$92/3)*$E26*SIN($K$93)-($K$92/3)*$F26*SIN($K$93)-($K$92/3)*$G26*SIN($K$93)</f>
        <v>-2.5889050570809067</v>
      </c>
      <c r="BU26" s="79">
        <f>IF(($A26&lt;'Alternative 1'!$B$27),(($H26*'Alternative 1'!$B$39)+(3*($N$92/3)*COS($K$93))),IF(($A26&lt;'Alternative 1'!$B$28),(($H26*'Alternative 1'!$B$39)+(2*(($N$92/3)*COS($K$93)))),IF(($A26&lt;'Alternative 1'!$B$29),(($H$3*'Alternative 1'!$B$39+(($N$92/3)*COS($K$93)))),($H26*'Alternative 1'!$B$39))))</f>
        <v>306119.90662501159</v>
      </c>
      <c r="BV26" s="78">
        <f>BT26*'Alternative 1'!$K27/'Alternative 1'!$L27</f>
        <v>-61.378373361953521</v>
      </c>
      <c r="BW26" s="78">
        <f>BU26/'Alternative 1'!$M27</f>
        <v>145151.12424582223</v>
      </c>
      <c r="BX26" s="78">
        <f t="shared" si="11"/>
        <v>0.14508974587246026</v>
      </c>
      <c r="BZ26" s="77">
        <v>150</v>
      </c>
      <c r="CA26" s="77">
        <v>-150</v>
      </c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1"/>
      <c r="DE26" s="281"/>
      <c r="DF26" s="281"/>
      <c r="DG26" s="281"/>
      <c r="DH26" s="281"/>
      <c r="DI26" s="281"/>
      <c r="DJ26" s="281"/>
      <c r="DK26" s="281"/>
    </row>
    <row r="27" spans="1:115" ht="15" customHeight="1" x14ac:dyDescent="0.25">
      <c r="A27" s="89">
        <f>IF('Alternative 1'!F28&gt;0,'Alternative 1'!F28,"x")</f>
        <v>25</v>
      </c>
      <c r="B27" s="89">
        <f t="shared" si="17"/>
        <v>12</v>
      </c>
      <c r="C27" s="89">
        <f t="shared" si="12"/>
        <v>6</v>
      </c>
      <c r="D27" s="89">
        <f t="shared" si="13"/>
        <v>25</v>
      </c>
      <c r="E27" s="74">
        <f>IF($A27&lt;='Alternative 1'!$B$27, IF($A27='Alternative 1'!$B$27,0,E28+1),0)</f>
        <v>0</v>
      </c>
      <c r="F27" s="74">
        <f>IF($A27&lt;=('Alternative 1'!$B$28), IF($A27=ROUNDDOWN('Alternative 1'!$B$28,0),0,F28+1),0)</f>
        <v>0</v>
      </c>
      <c r="G27" s="74">
        <f>IF($A27&lt;=('Alternative 1'!$B$29), IF($A27=ROUNDDOWN('Alternative 1'!$B$29,0),0,G28+1),0)</f>
        <v>4</v>
      </c>
      <c r="H27" s="89">
        <f t="shared" si="14"/>
        <v>12</v>
      </c>
      <c r="J27" s="77">
        <f t="shared" si="15"/>
        <v>24</v>
      </c>
      <c r="K27" s="77">
        <f t="shared" si="16"/>
        <v>0.41887902047863906</v>
      </c>
      <c r="L27" s="78">
        <f>'Alternative 1'!$B$27*SIN(K27)+'Alternative 1'!$B$28*SIN(K27)+'Alternative 1'!$B$29*SIN(K27)</f>
        <v>27.65809172915441</v>
      </c>
      <c r="M27" s="77">
        <f>(('Alternative 1'!$B$27)*(((('Alternative 1'!$B$28-'Alternative 1'!$B$27)/2)+'Alternative 1'!$B$27)*'Alternative 1'!$B$39)*COS('Alternative 1-Tilt Up'!K27))+(('Alternative 1'!$B$28)*((('Alternative 1'!$B$28-'Alternative 1'!$B$27)/2)+(('Alternative 1'!$B$29-'Alternative 1'!$B$28)/2))*('Alternative 1'!$B$39)*COS('Alternative 1-Tilt Up'!K27))+(('Alternative 1'!$B$29)*((('Alternative 1'!$B$12-'Alternative 1'!$B$29+(('Alternative 1'!$B$29-'Alternative 1'!$B$28)/2)*('Alternative 1'!$B$39)*COS('Alternative 1-Tilt Up'!K27)))))</f>
        <v>4335806.3589624269</v>
      </c>
      <c r="N27" s="77">
        <f t="shared" si="0"/>
        <v>470293.43905082764</v>
      </c>
      <c r="O27" s="77">
        <f>(((('Alternative 1'!$B$28-'Alternative 1'!$B$27)/2)+'Alternative 1'!$B$27)*('Alternative 1'!$B$39)*COS('Alternative 1-Tilt Up'!K27))+(((('Alternative 1'!$B$28-'Alternative 1'!$B$27)/2)+(('Alternative 1'!$B$29-'Alternative 1'!$B$28)/2))*('Alternative 1'!$B$39)*COS('Alternative 1-Tilt Up'!K27))+(((('Alternative 1'!$B$12-'Alternative 1'!$B$29)+(('Alternative 1'!$B$29-'Alternative 1'!$B$28)/2))*('Alternative 1'!$B$39)*COS('Alternative 1-Tilt Up'!K27)))</f>
        <v>279654.45019125642</v>
      </c>
      <c r="P27" s="77">
        <f t="shared" si="1"/>
        <v>429634.43500400096</v>
      </c>
      <c r="R27" s="78">
        <f>'Alternative 1'!$B$39*$B27*$C27*COS($K$5)-($N$5/3)*$E27*SIN($K$5)-($N$5/3)*$F27*SIN($K$5)-($N$5/3)*$G27*SIN($K$5)</f>
        <v>332853.83335567551</v>
      </c>
      <c r="S27" s="79">
        <f>IF(($A27&lt;'Alternative 1'!$B$27),(($H27*'Alternative 1'!$B$39)+(3*($N$5/3)*COS($K$5))),IF(($A27&lt;'Alternative 1'!$B$28),(($H27*'Alternative 1'!$B$39)+(2*(($N$5/3)*COS($K$5)))),IF(($A27&lt;'Alternative 1'!$B$29),(($H$3*'Alternative 1'!$B$39+(($N$5/3)*COS($K$5)))),($H27*'Alternative 1'!$B$39))))</f>
        <v>2303591.7836996038</v>
      </c>
      <c r="T27" s="78">
        <f>R27*'Alternative 1'!$K28/'Alternative 1'!$L28</f>
        <v>8086481.2707050098</v>
      </c>
      <c r="U27" s="78">
        <f>S27/'Alternative 1'!$M28</f>
        <v>1119286.1345808781</v>
      </c>
      <c r="V27" s="78">
        <f t="shared" si="2"/>
        <v>9.2057674052858882</v>
      </c>
      <c r="X27" s="78">
        <f>'Alternative 1'!$B$39*$B27*$C27*COS($K$13)-($N$12/3)*$E27*SIN($K$13)-($N$12/3)*$F27*SIN($K$13)-($N$12/3)*$G27*SIN($K$13)</f>
        <v>296849.99666644656</v>
      </c>
      <c r="Y27" s="79">
        <f>IF(($A27&lt;'Alternative 1'!$B$27),(($H27*'Alternative 1'!$B$39)+(3*($N$12/3)*COS($K$13))),IF(($A27&lt;'Alternative 1'!$B$28),(($H27*'Alternative 1'!$B$39)+(2*(($N$12/3)*COS($K$13)))),IF(($A27&lt;'Alternative 1'!$B$29),(($H$3*'Alternative 1'!$B$39+(($N$12/3)*COS($K$13)))),($H27*'Alternative 1'!$B$39))))</f>
        <v>740098.46863391146</v>
      </c>
      <c r="Z27" s="78">
        <f>X27*'Alternative 1'!$K28/'Alternative 1'!$L28</f>
        <v>7211789.9741506288</v>
      </c>
      <c r="AA27" s="78">
        <f>Y27/'Alternative 1'!$M28</f>
        <v>359604.49244009884</v>
      </c>
      <c r="AB27" s="78">
        <f t="shared" si="3"/>
        <v>7.5713944665907276</v>
      </c>
      <c r="AD27" s="78">
        <f>'Alternative 1'!$B$39*$B27*$C27*COS($K$23)-($N$22/3)*$E27*SIN($K$23)-($N$22/3)*$F27*SIN($K$23)-($N$22/3)*$G27*SIN($K$23)</f>
        <v>298004.40405787452</v>
      </c>
      <c r="AE27" s="79">
        <f>IF(($A27&lt;'Alternative 1'!$B$27),(($H27*'Alternative 1'!$B$39)+(3*($N$22/3)*COS($K$23))),IF(($A27&lt;'Alternative 1'!$B$28),(($H27*'Alternative 1'!$B$39)+(2*(($N$22/3)*COS($K$23)))),IF(($A27&lt;'Alternative 1'!$B$29),(($H$3*'Alternative 1'!$B$39+(($N$22/3)*COS($K$23)))),($H27*'Alternative 1'!$B$39))))</f>
        <v>496597.59167774895</v>
      </c>
      <c r="AF27" s="78">
        <f>AD27*'Alternative 1'!$K28/'Alternative 1'!$L28</f>
        <v>7239835.5990287745</v>
      </c>
      <c r="AG27" s="78">
        <f>AE27/'Alternative 1'!$M28</f>
        <v>241290.49372562079</v>
      </c>
      <c r="AH27" s="78">
        <f t="shared" si="4"/>
        <v>7.4811260927543959</v>
      </c>
      <c r="AJ27" s="78">
        <f>'Alternative 1'!$B$39*$B27*$C27*COS($K$33)-($N$32/3)*$E27*SIN($K$33)-($N$32/3)*$F27*SIN($K$33)-($N$32/3)*$G27*SIN($K$33)</f>
        <v>278383.93568395253</v>
      </c>
      <c r="AK27" s="79">
        <f>IF(($A27&lt;'Alternative 1'!$B$27),(($H27*'Alternative 1'!$B$39)+(3*($N$32/3)*COS($K$33))),IF(($A27&lt;'Alternative 1'!$B$28),(($H27*'Alternative 1'!$B$39)+(2*(($N$32/3)*COS($K$33)))),IF(($A27&lt;'Alternative 1'!$B$29),(($H$3*'Alternative 1'!$B$39+(($N$32/3)*COS($K$33)))),($H27*'Alternative 1'!$B$39))))</f>
        <v>415166.05643987219</v>
      </c>
      <c r="AL27" s="78">
        <f>AJ27*'Alternative 1'!$K28/'Alternative 1'!$L28</f>
        <v>6763168.2630133238</v>
      </c>
      <c r="AM27" s="78">
        <f>AK27/'Alternative 1'!$M28</f>
        <v>201723.93989679567</v>
      </c>
      <c r="AN27" s="78">
        <f t="shared" si="5"/>
        <v>6.9648922029101197</v>
      </c>
      <c r="AP27" s="78">
        <f>'Alternative 1'!$B$39*$B27*$C27*COS($K$43)-($N$42/3)*$E27*SIN($K$43)-($N$42/3)*$F27*SIN($K$43)-($N$42/3)*$G27*SIN($K$43)</f>
        <v>247391.29078547464</v>
      </c>
      <c r="AQ27" s="79">
        <f>IF(($A27&lt;'Alternative 1'!$B$27),(($H27*'Alternative 1'!$B$39)+(3*($N$42/3)*COS($K$43))),IF(($A27&lt;'Alternative 1'!$B$28),(($H27*'Alternative 1'!$B$39)+(2*(($N$42/3)*COS($K$43)))),IF(($A27&lt;'Alternative 1'!$B$29),(($H$3*'Alternative 1'!$B$39+(($N$42/3)*COS($K$43)))),($H27*'Alternative 1'!$B$39))))</f>
        <v>372146.51651041314</v>
      </c>
      <c r="AR27" s="78">
        <f>AP27*'Alternative 1'!$K28/'Alternative 1'!$L28</f>
        <v>6010220.8206645157</v>
      </c>
      <c r="AS27" s="78">
        <f>AQ27/'Alternative 1'!$M28</f>
        <v>180821.2891321014</v>
      </c>
      <c r="AT27" s="78">
        <f t="shared" si="6"/>
        <v>6.1910421097966175</v>
      </c>
      <c r="AV27" s="78">
        <f>'Alternative 1'!$B$39*$B27*$C27*COS($K$53)-($N$52/3)*$E27*SIN($K$53)-($N$52/3)*$F27*SIN($K$53)-($N$52/3)*$G27*SIN($K$53)</f>
        <v>207624.70627766609</v>
      </c>
      <c r="AW27" s="79">
        <f>IF(($A27&lt;'Alternative 1'!$B$27),(($H27*'Alternative 1'!$B$39)+(3*($N$52/3)*COS($K$53))),IF(($A27&lt;'Alternative 1'!$B$28),(($H27*'Alternative 1'!$B$39)+(2*(($N$52/3)*COS($K$53)))),IF(($A27&lt;'Alternative 1'!$B$29),(($H$3*'Alternative 1'!$B$39+(($N$52/3)*COS($K$53)))),($H27*'Alternative 1'!$B$39))))</f>
        <v>345120.30506969942</v>
      </c>
      <c r="AX27" s="78">
        <f>AV27*'Alternative 1'!$K28/'Alternative 1'!$L28</f>
        <v>5044115.8562710844</v>
      </c>
      <c r="AY27" s="78">
        <f>AW27/'Alternative 1'!$M28</f>
        <v>167689.59455414111</v>
      </c>
      <c r="AZ27" s="78">
        <f t="shared" si="7"/>
        <v>5.2118054508252252</v>
      </c>
      <c r="BB27" s="78">
        <f>'Alternative 1'!$B$39*$B27*$C27*COS($K$63)-($N$62/3)*$E27*SIN($K$63)-($N$62/3)*$F27*SIN($K$63)-($N$62/3)*$G27*SIN($K$63)</f>
        <v>160838.40230216726</v>
      </c>
      <c r="BC27" s="79">
        <f>IF(($A27&lt;'Alternative 1'!$B$27),(($H27*'Alternative 1'!$B$39)+(3*($N$62/3)*COS($K$63))),IF(($A27&lt;'Alternative 1'!$B$28),(($H27*'Alternative 1'!$B$39)+(2*(($N$62/3)*COS($K$63)))),IF(($A27&lt;'Alternative 1'!$B$29),(($H$3*'Alternative 1'!$B$39+(($N$62/3)*COS($K$63)))),($H27*'Alternative 1'!$B$39))))</f>
        <v>327089.4855322786</v>
      </c>
      <c r="BD27" s="78">
        <f>BB27*'Alternative 1'!$K28/'Alternative 1'!$L28</f>
        <v>3907471.0803669835</v>
      </c>
      <c r="BE27" s="78">
        <f>BC27/'Alternative 1'!$M28</f>
        <v>158928.64721695575</v>
      </c>
      <c r="BF27" s="78">
        <f t="shared" si="8"/>
        <v>4.0663997275839394</v>
      </c>
      <c r="BH27" s="78">
        <f>'Alternative 1'!$B$39*$B27*$C27*COS($K$73)-($N$72/3)*$E27*SIN($K$73)-($N$72/3)*$F27*SIN($K$73)-($N$72/3)*$G27*SIN($K$73)</f>
        <v>108685.6136110923</v>
      </c>
      <c r="BI27" s="79">
        <f>IF(($A27&lt;'Alternative 1'!$B$27),(($H27*'Alternative 1'!$B$39)+(3*($N$72/3)*COS($K$73))),IF(($A27&lt;'Alternative 1'!$B$28),(($H27*'Alternative 1'!$B$39)+(2*(($N$72/3)*COS($K$73)))),IF(($A27&lt;'Alternative 1'!$B$29),(($H$3*'Alternative 1'!$B$39+(($N$72/3)*COS($K$73)))),($H27*'Alternative 1'!$B$39))))</f>
        <v>315284.01606893499</v>
      </c>
      <c r="BJ27" s="78">
        <f>BH27*'Alternative 1'!$K28/'Alternative 1'!$L28</f>
        <v>2640450.8249182026</v>
      </c>
      <c r="BK27" s="78">
        <f>BI27/'Alternative 1'!$M28</f>
        <v>153192.5188039098</v>
      </c>
      <c r="BL27" s="78">
        <f t="shared" si="9"/>
        <v>2.7936433437221124</v>
      </c>
      <c r="BN27" s="78">
        <f>'Alternative 1'!$B$39*$B27*$C27*COS($K$83)-($N$82/3)*$E27*SIN($K$83)-($N$82/3)*$F27*SIN($K$83)-($N$82/3)*$G27*SIN($K$83)</f>
        <v>52861.739849915204</v>
      </c>
      <c r="BO27" s="79">
        <f>IF(($A27&lt;'Alternative 1'!$B$27),(($H27*'Alternative 1'!$B$39)+(3*($N$82/3)*COS($K$83))),IF(($A27&lt;'Alternative 1'!$B$28),(($H27*'Alternative 1'!$B$39)+(2*(($N$82/3)*COS($K$83)))),IF(($A27&lt;'Alternative 1'!$B$29),(($H$3*'Alternative 1'!$B$39+(($N$82/3)*COS($K$83)))),($H27*'Alternative 1'!$B$39))))</f>
        <v>308476.18998899439</v>
      </c>
      <c r="BP27" s="78">
        <f>BN27*'Alternative 1'!$K28/'Alternative 1'!$L28</f>
        <v>1284243.7923088179</v>
      </c>
      <c r="BQ27" s="78">
        <f>BO27/'Alternative 1'!$M28</f>
        <v>149884.68214993548</v>
      </c>
      <c r="BR27" s="78">
        <f t="shared" si="10"/>
        <v>1.4341284744587535</v>
      </c>
      <c r="BT27" s="78">
        <f>'Alternative 1'!$B$39*$B27*$C27*COS($K$93)-($K$92/3)*$E27*SIN($K$93)-($K$92/3)*$F27*SIN($K$93)-($K$92/3)*$G27*SIN($K$93)</f>
        <v>-2.0711240456624336</v>
      </c>
      <c r="BU27" s="79">
        <f>IF(($A27&lt;'Alternative 1'!$B$27),(($H27*'Alternative 1'!$B$39)+(3*($N$92/3)*COS($K$93))),IF(($A27&lt;'Alternative 1'!$B$28),(($H27*'Alternative 1'!$B$39)+(2*(($N$92/3)*COS($K$93)))),IF(($A27&lt;'Alternative 1'!$B$29),(($H$3*'Alternative 1'!$B$39+(($N$92/3)*COS($K$93)))),($H27*'Alternative 1'!$B$39))))</f>
        <v>306119.90662501159</v>
      </c>
      <c r="BV27" s="78">
        <f>BT27*'Alternative 1'!$K28/'Alternative 1'!$L28</f>
        <v>-50.316697980340344</v>
      </c>
      <c r="BW27" s="78">
        <f>BU27/'Alternative 1'!$M28</f>
        <v>148739.79384241864</v>
      </c>
      <c r="BX27" s="78">
        <f t="shared" si="11"/>
        <v>0.14868947714443831</v>
      </c>
      <c r="BZ27" s="77">
        <v>150</v>
      </c>
      <c r="CA27" s="77">
        <v>-150</v>
      </c>
      <c r="CB27" s="281"/>
      <c r="CC27" s="281"/>
      <c r="CD27" s="281"/>
      <c r="CE27" s="281"/>
      <c r="CF27" s="281"/>
      <c r="CG27" s="281"/>
      <c r="CH27" s="281"/>
      <c r="CI27" s="281"/>
      <c r="CJ27" s="281"/>
      <c r="CK27" s="281"/>
      <c r="CL27" s="281"/>
      <c r="CM27" s="281"/>
      <c r="CN27" s="281"/>
      <c r="CO27" s="281"/>
      <c r="CP27" s="281"/>
      <c r="CQ27" s="281"/>
      <c r="CR27" s="281"/>
      <c r="CS27" s="281"/>
      <c r="CT27" s="281"/>
      <c r="CU27" s="281"/>
      <c r="CV27" s="281"/>
      <c r="CW27" s="281"/>
      <c r="CX27" s="281"/>
      <c r="CY27" s="281"/>
      <c r="CZ27" s="281"/>
      <c r="DA27" s="281"/>
      <c r="DB27" s="281"/>
      <c r="DC27" s="281"/>
      <c r="DD27" s="281"/>
      <c r="DE27" s="281"/>
      <c r="DF27" s="281"/>
      <c r="DG27" s="281"/>
      <c r="DH27" s="281"/>
      <c r="DI27" s="281"/>
      <c r="DJ27" s="281"/>
      <c r="DK27" s="281"/>
    </row>
    <row r="28" spans="1:115" ht="15" customHeight="1" x14ac:dyDescent="0.25">
      <c r="A28" s="89">
        <f>IF('Alternative 1'!F29&gt;0,'Alternative 1'!F29,"x")</f>
        <v>26</v>
      </c>
      <c r="B28" s="89">
        <f t="shared" si="17"/>
        <v>11</v>
      </c>
      <c r="C28" s="89">
        <f t="shared" si="12"/>
        <v>5.5</v>
      </c>
      <c r="D28" s="89">
        <f t="shared" si="13"/>
        <v>26</v>
      </c>
      <c r="E28" s="74">
        <f>IF($A28&lt;='Alternative 1'!$B$27, IF($A28='Alternative 1'!$B$27,0,E29+1),0)</f>
        <v>0</v>
      </c>
      <c r="F28" s="74">
        <f>IF($A28&lt;=('Alternative 1'!$B$28), IF($A28=ROUNDDOWN('Alternative 1'!$B$28,0),0,F29+1),0)</f>
        <v>0</v>
      </c>
      <c r="G28" s="74">
        <f>IF($A28&lt;=('Alternative 1'!$B$29), IF($A28=ROUNDDOWN('Alternative 1'!$B$29,0),0,G29+1),0)</f>
        <v>3</v>
      </c>
      <c r="H28" s="89">
        <f t="shared" si="14"/>
        <v>11</v>
      </c>
      <c r="J28" s="77">
        <f t="shared" si="15"/>
        <v>25</v>
      </c>
      <c r="K28" s="77">
        <f t="shared" si="16"/>
        <v>0.43633231299858238</v>
      </c>
      <c r="L28" s="78">
        <f>'Alternative 1'!$B$27*SIN(K28)+'Alternative 1'!$B$28*SIN(K28)+'Alternative 1'!$B$29*SIN(K28)</f>
        <v>28.738041798367561</v>
      </c>
      <c r="M28" s="77">
        <f>(('Alternative 1'!$B$27)*(((('Alternative 1'!$B$28-'Alternative 1'!$B$27)/2)+'Alternative 1'!$B$27)*'Alternative 1'!$B$39)*COS('Alternative 1-Tilt Up'!K28))+(('Alternative 1'!$B$28)*((('Alternative 1'!$B$28-'Alternative 1'!$B$27)/2)+(('Alternative 1'!$B$29-'Alternative 1'!$B$28)/2))*('Alternative 1'!$B$39)*COS('Alternative 1-Tilt Up'!K28))+(('Alternative 1'!$B$29)*((('Alternative 1'!$B$12-'Alternative 1'!$B$29+(('Alternative 1'!$B$29-'Alternative 1'!$B$28)/2)*('Alternative 1'!$B$39)*COS('Alternative 1-Tilt Up'!K28)))))</f>
        <v>4301456.976497245</v>
      </c>
      <c r="N28" s="77">
        <f t="shared" si="0"/>
        <v>449034.45474927098</v>
      </c>
      <c r="O28" s="77">
        <f>(((('Alternative 1'!$B$28-'Alternative 1'!$B$27)/2)+'Alternative 1'!$B$27)*('Alternative 1'!$B$39)*COS('Alternative 1-Tilt Up'!K28))+(((('Alternative 1'!$B$28-'Alternative 1'!$B$27)/2)+(('Alternative 1'!$B$29-'Alternative 1'!$B$28)/2))*('Alternative 1'!$B$39)*COS('Alternative 1-Tilt Up'!K28))+(((('Alternative 1'!$B$12-'Alternative 1'!$B$29)+(('Alternative 1'!$B$29-'Alternative 1'!$B$28)/2))*('Alternative 1'!$B$39)*COS('Alternative 1-Tilt Up'!K28)))</f>
        <v>277438.8551411801</v>
      </c>
      <c r="P28" s="77">
        <f t="shared" si="1"/>
        <v>406963.42298702052</v>
      </c>
      <c r="R28" s="78">
        <f>'Alternative 1'!$B$39*$B28*$C28*COS($K$5)-($N$5/3)*$E28*SIN($K$5)-($N$5/3)*$F28*SIN($K$5)-($N$5/3)*$G28*SIN($K$5)</f>
        <v>304878.35482837772</v>
      </c>
      <c r="S28" s="79">
        <f>IF(($A28&lt;'Alternative 1'!$B$27),(($H28*'Alternative 1'!$B$39)+(3*($N$5/3)*COS($K$5))),IF(($A28&lt;'Alternative 1'!$B$28),(($H28*'Alternative 1'!$B$39)+(2*(($N$5/3)*COS($K$5)))),IF(($A28&lt;'Alternative 1'!$B$29),(($H$3*'Alternative 1'!$B$39+(($N$5/3)*COS($K$5)))),($H28*'Alternative 1'!$B$39))))</f>
        <v>2303591.7836996038</v>
      </c>
      <c r="T28" s="78">
        <f>R28*'Alternative 1'!$K29/'Alternative 1'!$L29</f>
        <v>7592250.2240657741</v>
      </c>
      <c r="U28" s="78">
        <f>S28/'Alternative 1'!$M29</f>
        <v>1147305.3601726778</v>
      </c>
      <c r="V28" s="78">
        <f t="shared" si="2"/>
        <v>8.7395555842384507</v>
      </c>
      <c r="X28" s="78">
        <f>'Alternative 1'!$B$39*$B28*$C28*COS($K$13)-($N$12/3)*$E28*SIN($K$13)-($N$12/3)*$F28*SIN($K$13)-($N$12/3)*$G28*SIN($K$13)</f>
        <v>277069.44675183354</v>
      </c>
      <c r="Y28" s="79">
        <f>IF(($A28&lt;'Alternative 1'!$B$27),(($H28*'Alternative 1'!$B$39)+(3*($N$12/3)*COS($K$13))),IF(($A28&lt;'Alternative 1'!$B$28),(($H28*'Alternative 1'!$B$39)+(2*(($N$12/3)*COS($K$13)))),IF(($A28&lt;'Alternative 1'!$B$29),(($H$3*'Alternative 1'!$B$39+(($N$12/3)*COS($K$13)))),($H28*'Alternative 1'!$B$39))))</f>
        <v>740098.46863391146</v>
      </c>
      <c r="Z28" s="78">
        <f>X28*'Alternative 1'!$K29/'Alternative 1'!$L29</f>
        <v>6899737.3407093361</v>
      </c>
      <c r="AA28" s="78">
        <f>Y28/'Alternative 1'!$M29</f>
        <v>368606.51532433362</v>
      </c>
      <c r="AB28" s="78">
        <f t="shared" si="3"/>
        <v>7.2683438560336695</v>
      </c>
      <c r="AD28" s="78">
        <f>'Alternative 1'!$B$39*$B28*$C28*COS($K$23)-($N$22/3)*$E28*SIN($K$23)-($N$22/3)*$F28*SIN($K$23)-($N$22/3)*$G28*SIN($K$23)</f>
        <v>275441.66450598277</v>
      </c>
      <c r="AE28" s="79">
        <f>IF(($A28&lt;'Alternative 1'!$B$27),(($H28*'Alternative 1'!$B$39)+(3*($N$22/3)*COS($K$23))),IF(($A28&lt;'Alternative 1'!$B$28),(($H28*'Alternative 1'!$B$39)+(2*(($N$22/3)*COS($K$23)))),IF(($A28&lt;'Alternative 1'!$B$29),(($H$3*'Alternative 1'!$B$39+(($N$22/3)*COS($K$23)))),($H28*'Alternative 1'!$B$39))))</f>
        <v>496597.59167774895</v>
      </c>
      <c r="AF28" s="78">
        <f>AD28*'Alternative 1'!$K29/'Alternative 1'!$L29</f>
        <v>6859201.40260462</v>
      </c>
      <c r="AG28" s="78">
        <f>AE28/'Alternative 1'!$M29</f>
        <v>247330.74792691713</v>
      </c>
      <c r="AH28" s="78">
        <f t="shared" si="4"/>
        <v>7.1065321505315371</v>
      </c>
      <c r="AJ28" s="78">
        <f>'Alternative 1'!$B$39*$B28*$C28*COS($K$33)-($N$32/3)*$E28*SIN($K$33)-($N$32/3)*$F28*SIN($K$33)-($N$32/3)*$G28*SIN($K$33)</f>
        <v>256654.60460515809</v>
      </c>
      <c r="AK28" s="79">
        <f>IF(($A28&lt;'Alternative 1'!$B$27),(($H28*'Alternative 1'!$B$39)+(3*($N$32/3)*COS($K$33))),IF(($A28&lt;'Alternative 1'!$B$28),(($H28*'Alternative 1'!$B$39)+(2*(($N$32/3)*COS($K$33)))),IF(($A28&lt;'Alternative 1'!$B$29),(($H$3*'Alternative 1'!$B$39+(($N$32/3)*COS($K$33)))),($H28*'Alternative 1'!$B$39))))</f>
        <v>415166.05643987219</v>
      </c>
      <c r="AL28" s="78">
        <f>AJ28*'Alternative 1'!$K29/'Alternative 1'!$L29</f>
        <v>6391355.5962932277</v>
      </c>
      <c r="AM28" s="78">
        <f>AK28/'Alternative 1'!$M29</f>
        <v>206773.71975612667</v>
      </c>
      <c r="AN28" s="78">
        <f t="shared" si="5"/>
        <v>6.5981293160493539</v>
      </c>
      <c r="AP28" s="78">
        <f>'Alternative 1'!$B$39*$B28*$C28*COS($K$43)-($N$42/3)*$E28*SIN($K$43)-($N$42/3)*$F28*SIN($K$43)-($N$42/3)*$G28*SIN($K$43)</f>
        <v>227884.00828600145</v>
      </c>
      <c r="AQ28" s="79">
        <f>IF(($A28&lt;'Alternative 1'!$B$27),(($H28*'Alternative 1'!$B$39)+(3*($N$42/3)*COS($K$43))),IF(($A28&lt;'Alternative 1'!$B$28),(($H28*'Alternative 1'!$B$39)+(2*(($N$42/3)*COS($K$43)))),IF(($A28&lt;'Alternative 1'!$B$29),(($H$3*'Alternative 1'!$B$39+(($N$42/3)*COS($K$43)))),($H28*'Alternative 1'!$B$39))))</f>
        <v>372146.51651041314</v>
      </c>
      <c r="AR28" s="78">
        <f>AP28*'Alternative 1'!$K29/'Alternative 1'!$L29</f>
        <v>5674894.2178736813</v>
      </c>
      <c r="AS28" s="78">
        <f>AQ28/'Alternative 1'!$M29</f>
        <v>185347.81039906014</v>
      </c>
      <c r="AT28" s="78">
        <f t="shared" si="6"/>
        <v>5.8602420282727419</v>
      </c>
      <c r="AV28" s="78">
        <f>'Alternative 1'!$B$39*$B28*$C28*COS($K$53)-($N$52/3)*$E28*SIN($K$53)-($N$52/3)*$F28*SIN($K$53)-($N$52/3)*$G28*SIN($K$53)</f>
        <v>191246.46137131139</v>
      </c>
      <c r="AW28" s="79">
        <f>IF(($A28&lt;'Alternative 1'!$B$27),(($H28*'Alternative 1'!$B$39)+(3*($N$52/3)*COS($K$53))),IF(($A28&lt;'Alternative 1'!$B$28),(($H28*'Alternative 1'!$B$39)+(2*(($N$52/3)*COS($K$53)))),IF(($A28&lt;'Alternative 1'!$B$29),(($H$3*'Alternative 1'!$B$39+(($N$52/3)*COS($K$53)))),($H28*'Alternative 1'!$B$39))))</f>
        <v>345120.30506969942</v>
      </c>
      <c r="AX28" s="78">
        <f>AV28*'Alternative 1'!$K29/'Alternative 1'!$L29</f>
        <v>4762525.6637700014</v>
      </c>
      <c r="AY28" s="78">
        <f>AW28/'Alternative 1'!$M29</f>
        <v>171887.3885176742</v>
      </c>
      <c r="AZ28" s="78">
        <f t="shared" si="7"/>
        <v>4.9344130522876757</v>
      </c>
      <c r="BB28" s="78">
        <f>'Alternative 1'!$B$39*$B28*$C28*COS($K$63)-($N$62/3)*$E28*SIN($K$63)-($N$62/3)*$F28*SIN($K$63)-($N$62/3)*$G28*SIN($K$63)</f>
        <v>148264.62663027231</v>
      </c>
      <c r="BC28" s="79">
        <f>IF(($A28&lt;'Alternative 1'!$B$27),(($H28*'Alternative 1'!$B$39)+(3*($N$62/3)*COS($K$63))),IF(($A28&lt;'Alternative 1'!$B$28),(($H28*'Alternative 1'!$B$39)+(2*(($N$62/3)*COS($K$63)))),IF(($A28&lt;'Alternative 1'!$B$29),(($H$3*'Alternative 1'!$B$39+(($N$62/3)*COS($K$63)))),($H28*'Alternative 1'!$B$39))))</f>
        <v>327089.4855322786</v>
      </c>
      <c r="BD28" s="78">
        <f>BB28*'Alternative 1'!$K29/'Alternative 1'!$L29</f>
        <v>3692168.1284601903</v>
      </c>
      <c r="BE28" s="78">
        <f>BC28/'Alternative 1'!$M29</f>
        <v>162907.12732297339</v>
      </c>
      <c r="BF28" s="78">
        <f t="shared" si="8"/>
        <v>3.8550752557831633</v>
      </c>
      <c r="BH28" s="78">
        <f>'Alternative 1'!$B$39*$B28*$C28*COS($K$73)-($N$72/3)*$E28*SIN($K$73)-($N$72/3)*$F28*SIN($K$73)-($N$72/3)*$G28*SIN($K$73)</f>
        <v>100418.22779725598</v>
      </c>
      <c r="BI28" s="79">
        <f>IF(($A28&lt;'Alternative 1'!$B$27),(($H28*'Alternative 1'!$B$39)+(3*($N$72/3)*COS($K$73))),IF(($A28&lt;'Alternative 1'!$B$28),(($H28*'Alternative 1'!$B$39)+(2*(($N$72/3)*COS($K$73)))),IF(($A28&lt;'Alternative 1'!$B$29),(($H$3*'Alternative 1'!$B$39+(($N$72/3)*COS($K$73)))),($H28*'Alternative 1'!$B$39))))</f>
        <v>315284.01606893499</v>
      </c>
      <c r="BJ28" s="78">
        <f>BH28*'Alternative 1'!$K29/'Alternative 1'!$L29</f>
        <v>2500670.5147145507</v>
      </c>
      <c r="BK28" s="78">
        <f>BI28/'Alternative 1'!$M29</f>
        <v>157027.40571149223</v>
      </c>
      <c r="BL28" s="78">
        <f t="shared" si="9"/>
        <v>2.6576979204260427</v>
      </c>
      <c r="BN28" s="78">
        <f>'Alternative 1'!$B$39*$B28*$C28*COS($K$83)-($N$82/3)*$E28*SIN($K$83)-($N$82/3)*$F28*SIN($K$83)-($N$82/3)*$G28*SIN($K$83)</f>
        <v>49244.126153117708</v>
      </c>
      <c r="BO28" s="79">
        <f>IF(($A28&lt;'Alternative 1'!$B$27),(($H28*'Alternative 1'!$B$39)+(3*($N$82/3)*COS($K$83))),IF(($A28&lt;'Alternative 1'!$B$28),(($H28*'Alternative 1'!$B$39)+(2*(($N$82/3)*COS($K$83)))),IF(($A28&lt;'Alternative 1'!$B$29),(($H$3*'Alternative 1'!$B$39+(($N$82/3)*COS($K$83)))),($H28*'Alternative 1'!$B$39))))</f>
        <v>308476.18998899439</v>
      </c>
      <c r="BP28" s="78">
        <f>BN28*'Alternative 1'!$K29/'Alternative 1'!$L29</f>
        <v>1226304.5962393505</v>
      </c>
      <c r="BQ28" s="78">
        <f>BO28/'Alternative 1'!$M29</f>
        <v>153636.76358127283</v>
      </c>
      <c r="BR28" s="78">
        <f t="shared" si="10"/>
        <v>1.3799413598206234</v>
      </c>
      <c r="BT28" s="78">
        <f>'Alternative 1'!$B$39*$B28*$C28*COS($K$93)-($K$92/3)*$E28*SIN($K$93)-($K$92/3)*$F28*SIN($K$93)-($K$92/3)*$G28*SIN($K$93)</f>
        <v>-1.5533430342434396</v>
      </c>
      <c r="BU28" s="79">
        <f>IF(($A28&lt;'Alternative 1'!$B$27),(($H28*'Alternative 1'!$B$39)+(3*($N$92/3)*COS($K$93))),IF(($A28&lt;'Alternative 1'!$B$28),(($H28*'Alternative 1'!$B$39)+(2*(($N$92/3)*COS($K$93)))),IF(($A28&lt;'Alternative 1'!$B$29),(($H$3*'Alternative 1'!$B$39+(($N$92/3)*COS($K$93)))),($H28*'Alternative 1'!$B$39))))</f>
        <v>306119.90662501159</v>
      </c>
      <c r="BV28" s="78">
        <f>BT28*'Alternative 1'!$K29/'Alternative 1'!$L29</f>
        <v>-38.682211488659121</v>
      </c>
      <c r="BW28" s="78">
        <f>BU28/'Alternative 1'!$M29</f>
        <v>152463.21514586319</v>
      </c>
      <c r="BX28" s="78">
        <f t="shared" si="11"/>
        <v>0.15242453293437452</v>
      </c>
      <c r="BZ28" s="77">
        <v>150</v>
      </c>
      <c r="CA28" s="77">
        <v>-150</v>
      </c>
      <c r="CB28" s="281"/>
      <c r="CC28" s="281"/>
      <c r="CD28" s="281"/>
      <c r="CE28" s="281"/>
      <c r="CF28" s="281"/>
      <c r="CG28" s="281"/>
      <c r="CH28" s="281"/>
      <c r="CI28" s="281"/>
      <c r="CJ28" s="281"/>
      <c r="CK28" s="281"/>
      <c r="CL28" s="281"/>
      <c r="CM28" s="281"/>
      <c r="CN28" s="281"/>
      <c r="CO28" s="281"/>
      <c r="CP28" s="281"/>
      <c r="CQ28" s="281"/>
      <c r="CR28" s="281"/>
      <c r="CS28" s="281"/>
      <c r="CT28" s="281"/>
      <c r="CU28" s="281"/>
      <c r="CV28" s="281"/>
      <c r="CW28" s="281"/>
      <c r="CX28" s="281"/>
      <c r="CY28" s="281"/>
      <c r="CZ28" s="281"/>
      <c r="DA28" s="281"/>
      <c r="DB28" s="281"/>
      <c r="DC28" s="281"/>
      <c r="DD28" s="281"/>
      <c r="DE28" s="281"/>
      <c r="DF28" s="281"/>
      <c r="DG28" s="281"/>
      <c r="DH28" s="281"/>
      <c r="DI28" s="281"/>
      <c r="DJ28" s="281"/>
      <c r="DK28" s="281"/>
    </row>
    <row r="29" spans="1:115" ht="15" customHeight="1" x14ac:dyDescent="0.25">
      <c r="A29" s="89">
        <f>IF('Alternative 1'!F30&gt;0,'Alternative 1'!F30,"x")</f>
        <v>27</v>
      </c>
      <c r="B29" s="89">
        <f t="shared" si="17"/>
        <v>10</v>
      </c>
      <c r="C29" s="89">
        <f t="shared" si="12"/>
        <v>5</v>
      </c>
      <c r="D29" s="89">
        <f t="shared" si="13"/>
        <v>27</v>
      </c>
      <c r="E29" s="74">
        <f>IF($A29&lt;='Alternative 1'!$B$27, IF($A29='Alternative 1'!$B$27,0,E30+1),0)</f>
        <v>0</v>
      </c>
      <c r="F29" s="74">
        <f>IF($A29&lt;=('Alternative 1'!$B$28), IF($A29=ROUNDDOWN('Alternative 1'!$B$28,0),0,F30+1),0)</f>
        <v>0</v>
      </c>
      <c r="G29" s="74">
        <f>IF($A29&lt;=('Alternative 1'!$B$29), IF($A29=ROUNDDOWN('Alternative 1'!$B$29,0),0,G30+1),0)</f>
        <v>2</v>
      </c>
      <c r="H29" s="89">
        <f t="shared" si="14"/>
        <v>10</v>
      </c>
      <c r="J29" s="77">
        <f t="shared" si="15"/>
        <v>26</v>
      </c>
      <c r="K29" s="77">
        <f t="shared" si="16"/>
        <v>0.4537856055185257</v>
      </c>
      <c r="L29" s="78">
        <f>'Alternative 1'!$B$27*SIN(K29)+'Alternative 1'!$B$28*SIN(K29)+'Alternative 1'!$B$29*SIN(K29)</f>
        <v>29.809237981657262</v>
      </c>
      <c r="M29" s="77">
        <f>(('Alternative 1'!$B$27)*(((('Alternative 1'!$B$28-'Alternative 1'!$B$27)/2)+'Alternative 1'!$B$27)*'Alternative 1'!$B$39)*COS('Alternative 1-Tilt Up'!K29))+(('Alternative 1'!$B$28)*((('Alternative 1'!$B$28-'Alternative 1'!$B$27)/2)+(('Alternative 1'!$B$29-'Alternative 1'!$B$28)/2))*('Alternative 1'!$B$39)*COS('Alternative 1-Tilt Up'!K29))+(('Alternative 1'!$B$29)*((('Alternative 1'!$B$12-'Alternative 1'!$B$29+(('Alternative 1'!$B$29-'Alternative 1'!$B$28)/2)*('Alternative 1'!$B$39)*COS('Alternative 1-Tilt Up'!K29)))))</f>
        <v>4265797.3881590012</v>
      </c>
      <c r="N29" s="77">
        <f t="shared" si="0"/>
        <v>429309.60437001835</v>
      </c>
      <c r="O29" s="77">
        <f>(((('Alternative 1'!$B$28-'Alternative 1'!$B$27)/2)+'Alternative 1'!$B$27)*('Alternative 1'!$B$39)*COS('Alternative 1-Tilt Up'!K29))+(((('Alternative 1'!$B$28-'Alternative 1'!$B$27)/2)+(('Alternative 1'!$B$29-'Alternative 1'!$B$28)/2))*('Alternative 1'!$B$39)*COS('Alternative 1-Tilt Up'!K29))+(((('Alternative 1'!$B$12-'Alternative 1'!$B$29)+(('Alternative 1'!$B$29-'Alternative 1'!$B$28)/2))*('Alternative 1'!$B$39)*COS('Alternative 1-Tilt Up'!K29)))</f>
        <v>275138.7495282173</v>
      </c>
      <c r="P29" s="77">
        <f t="shared" si="1"/>
        <v>385860.91642682336</v>
      </c>
      <c r="R29" s="78">
        <f>'Alternative 1'!$B$39*$B29*$C29*COS($K$5)-($N$5/3)*$E29*SIN($K$5)-($N$5/3)*$F29*SIN($K$5)-($N$5/3)*$G29*SIN($K$5)</f>
        <v>285401.02704132942</v>
      </c>
      <c r="S29" s="79">
        <f>IF(($A29&lt;'Alternative 1'!$B$27),(($H29*'Alternative 1'!$B$39)+(3*($N$5/3)*COS($K$5))),IF(($A29&lt;'Alternative 1'!$B$28),(($H29*'Alternative 1'!$B$39)+(2*(($N$5/3)*COS($K$5)))),IF(($A29&lt;'Alternative 1'!$B$29),(($H$3*'Alternative 1'!$B$39+(($N$5/3)*COS($K$5)))),($H29*'Alternative 1'!$B$39))))</f>
        <v>2303591.7836996038</v>
      </c>
      <c r="T29" s="78">
        <f>R29*'Alternative 1'!$K30/'Alternative 1'!$L30</f>
        <v>7287385.7897117985</v>
      </c>
      <c r="U29" s="78">
        <f>S29/'Alternative 1'!$M30</f>
        <v>1176390.0202672526</v>
      </c>
      <c r="V29" s="78">
        <f t="shared" si="2"/>
        <v>8.463775809979051</v>
      </c>
      <c r="X29" s="78">
        <f>'Alternative 1'!$B$39*$B29*$C29*COS($K$13)-($N$12/3)*$E29*SIN($K$13)-($N$12/3)*$F29*SIN($K$13)-($N$12/3)*$G29*SIN($K$13)</f>
        <v>265663.04287598946</v>
      </c>
      <c r="Y29" s="79">
        <f>IF(($A29&lt;'Alternative 1'!$B$27),(($H29*'Alternative 1'!$B$39)+(3*($N$12/3)*COS($K$13))),IF(($A29&lt;'Alternative 1'!$B$28),(($H29*'Alternative 1'!$B$39)+(2*(($N$12/3)*COS($K$13)))),IF(($A29&lt;'Alternative 1'!$B$29),(($H$3*'Alternative 1'!$B$39+(($N$12/3)*COS($K$13)))),($H29*'Alternative 1'!$B$39))))</f>
        <v>740098.46863391146</v>
      </c>
      <c r="Z29" s="78">
        <f>X29*'Alternative 1'!$K30/'Alternative 1'!$L30</f>
        <v>6783399.1474239789</v>
      </c>
      <c r="AA29" s="78">
        <f>Y29/'Alternative 1'!$M30</f>
        <v>377950.84123704478</v>
      </c>
      <c r="AB29" s="78">
        <f t="shared" si="3"/>
        <v>7.1613499886610237</v>
      </c>
      <c r="AD29" s="78">
        <f>'Alternative 1'!$B$39*$B29*$C29*COS($K$23)-($N$22/3)*$E29*SIN($K$23)-($N$22/3)*$F29*SIN($K$23)-($N$22/3)*$G29*SIN($K$23)</f>
        <v>260869.44210217966</v>
      </c>
      <c r="AE29" s="79">
        <f>IF(($A29&lt;'Alternative 1'!$B$27),(($H29*'Alternative 1'!$B$39)+(3*($N$22/3)*COS($K$23))),IF(($A29&lt;'Alternative 1'!$B$28),(($H29*'Alternative 1'!$B$39)+(2*(($N$22/3)*COS($K$23)))),IF(($A29&lt;'Alternative 1'!$B$29),(($H$3*'Alternative 1'!$B$39+(($N$22/3)*COS($K$23)))),($H29*'Alternative 1'!$B$39))))</f>
        <v>496597.59167774895</v>
      </c>
      <c r="AF29" s="78">
        <f>AD29*'Alternative 1'!$K30/'Alternative 1'!$L30</f>
        <v>6661000.0848741643</v>
      </c>
      <c r="AG29" s="78">
        <f>AE29/'Alternative 1'!$M30</f>
        <v>253600.68353787661</v>
      </c>
      <c r="AH29" s="78">
        <f t="shared" si="4"/>
        <v>6.9146007684120407</v>
      </c>
      <c r="AJ29" s="78">
        <f>'Alternative 1'!$B$39*$B29*$C29*COS($K$33)-($N$32/3)*$E29*SIN($K$33)-($N$32/3)*$F29*SIN($K$33)-($N$32/3)*$G29*SIN($K$33)</f>
        <v>242289.37396362418</v>
      </c>
      <c r="AK29" s="79">
        <f>IF(($A29&lt;'Alternative 1'!$B$27),(($H29*'Alternative 1'!$B$39)+(3*($N$32/3)*COS($K$33))),IF(($A29&lt;'Alternative 1'!$B$28),(($H29*'Alternative 1'!$B$39)+(2*(($N$32/3)*COS($K$33)))),IF(($A29&lt;'Alternative 1'!$B$29),(($H$3*'Alternative 1'!$B$39+(($N$32/3)*COS($K$33)))),($H29*'Alternative 1'!$B$39))))</f>
        <v>415166.05643987219</v>
      </c>
      <c r="AL29" s="78">
        <f>AJ29*'Alternative 1'!$K30/'Alternative 1'!$L30</f>
        <v>6186579.4917584341</v>
      </c>
      <c r="AM29" s="78">
        <f>AK29/'Alternative 1'!$M30</f>
        <v>212015.51811632319</v>
      </c>
      <c r="AN29" s="78">
        <f t="shared" si="5"/>
        <v>6.3985950098747573</v>
      </c>
      <c r="AP29" s="78">
        <f>'Alternative 1'!$B$39*$B29*$C29*COS($K$43)-($N$42/3)*$E29*SIN($K$43)-($N$42/3)*$F29*SIN($K$43)-($N$42/3)*$G29*SIN($K$43)</f>
        <v>214890.65504758919</v>
      </c>
      <c r="AQ29" s="79">
        <f>IF(($A29&lt;'Alternative 1'!$B$27),(($H29*'Alternative 1'!$B$39)+(3*($N$42/3)*COS($K$43))),IF(($A29&lt;'Alternative 1'!$B$28),(($H29*'Alternative 1'!$B$39)+(2*(($N$42/3)*COS($K$43)))),IF(($A29&lt;'Alternative 1'!$B$29),(($H$3*'Alternative 1'!$B$39+(($N$42/3)*COS($K$43)))),($H29*'Alternative 1'!$B$39))))</f>
        <v>372146.51651041314</v>
      </c>
      <c r="AR29" s="78">
        <f>AP29*'Alternative 1'!$K30/'Alternative 1'!$L30</f>
        <v>5486984.830327495</v>
      </c>
      <c r="AS29" s="78">
        <f>AQ29/'Alternative 1'!$M30</f>
        <v>190046.45319448735</v>
      </c>
      <c r="AT29" s="78">
        <f t="shared" si="6"/>
        <v>5.6770312835219823</v>
      </c>
      <c r="AV29" s="78">
        <f>'Alternative 1'!$B$39*$B29*$C29*COS($K$53)-($N$52/3)*$E29*SIN($K$53)-($N$52/3)*$F29*SIN($K$53)-($N$52/3)*$G29*SIN($K$53)</f>
        <v>180334.05210542775</v>
      </c>
      <c r="AW29" s="79">
        <f>IF(($A29&lt;'Alternative 1'!$B$27),(($H29*'Alternative 1'!$B$39)+(3*($N$52/3)*COS($K$53))),IF(($A29&lt;'Alternative 1'!$B$28),(($H29*'Alternative 1'!$B$39)+(2*(($N$52/3)*COS($K$53)))),IF(($A29&lt;'Alternative 1'!$B$29),(($H$3*'Alternative 1'!$B$39+(($N$52/3)*COS($K$53)))),($H29*'Alternative 1'!$B$39))))</f>
        <v>345120.30506969942</v>
      </c>
      <c r="AX29" s="78">
        <f>AV29*'Alternative 1'!$K30/'Alternative 1'!$L30</f>
        <v>4604621.8625693135</v>
      </c>
      <c r="AY29" s="78">
        <f>AW29/'Alternative 1'!$M30</f>
        <v>176244.80411349106</v>
      </c>
      <c r="AZ29" s="78">
        <f t="shared" si="7"/>
        <v>4.7808666666828046</v>
      </c>
      <c r="BB29" s="78">
        <f>'Alternative 1'!$B$39*$B29*$C29*COS($K$63)-($N$62/3)*$E29*SIN($K$63)-($N$62/3)*$F29*SIN($K$63)-($N$62/3)*$G29*SIN($K$63)</f>
        <v>139942.51632816924</v>
      </c>
      <c r="BC29" s="79">
        <f>IF(($A29&lt;'Alternative 1'!$B$27),(($H29*'Alternative 1'!$B$39)+(3*($N$62/3)*COS($K$63))),IF(($A29&lt;'Alternative 1'!$B$28),(($H29*'Alternative 1'!$B$39)+(2*(($N$62/3)*COS($K$63)))),IF(($A29&lt;'Alternative 1'!$B$29),(($H$3*'Alternative 1'!$B$39+(($N$62/3)*COS($K$63)))),($H29*'Alternative 1'!$B$39))))</f>
        <v>327089.4855322786</v>
      </c>
      <c r="BD29" s="78">
        <f>BB29*'Alternative 1'!$K30/'Alternative 1'!$L30</f>
        <v>3573270.6200763979</v>
      </c>
      <c r="BE29" s="78">
        <f>BC29/'Alternative 1'!$M30</f>
        <v>167036.88962484151</v>
      </c>
      <c r="BF29" s="78">
        <f t="shared" si="8"/>
        <v>3.7403075097012395</v>
      </c>
      <c r="BH29" s="78">
        <f>'Alternative 1'!$B$39*$B29*$C29*COS($K$73)-($N$72/3)*$E29*SIN($K$73)-($N$72/3)*$F29*SIN($K$73)-($N$72/3)*$G29*SIN($K$73)</f>
        <v>95059.152381717679</v>
      </c>
      <c r="BI29" s="79">
        <f>IF(($A29&lt;'Alternative 1'!$B$27),(($H29*'Alternative 1'!$B$39)+(3*($N$72/3)*COS($K$73))),IF(($A29&lt;'Alternative 1'!$B$28),(($H29*'Alternative 1'!$B$39)+(2*(($N$72/3)*COS($K$73)))),IF(($A29&lt;'Alternative 1'!$B$29),(($H$3*'Alternative 1'!$B$39+(($N$72/3)*COS($K$73)))),($H29*'Alternative 1'!$B$39))))</f>
        <v>315284.01606893499</v>
      </c>
      <c r="BJ29" s="78">
        <f>BH29*'Alternative 1'!$K30/'Alternative 1'!$L30</f>
        <v>2427225.7301592059</v>
      </c>
      <c r="BK29" s="78">
        <f>BI29/'Alternative 1'!$M30</f>
        <v>161008.11466587582</v>
      </c>
      <c r="BL29" s="78">
        <f t="shared" si="9"/>
        <v>2.5882338448250817</v>
      </c>
      <c r="BN29" s="78">
        <f>'Alternative 1'!$B$39*$B29*$C29*COS($K$83)-($N$82/3)*$E29*SIN($K$83)-($N$82/3)*$F29*SIN($K$83)-($N$82/3)*$G29*SIN($K$83)</f>
        <v>47103.100343348102</v>
      </c>
      <c r="BO29" s="79">
        <f>IF(($A29&lt;'Alternative 1'!$B$27),(($H29*'Alternative 1'!$B$39)+(3*($N$82/3)*COS($K$83))),IF(($A29&lt;'Alternative 1'!$B$28),(($H29*'Alternative 1'!$B$39)+(2*(($N$82/3)*COS($K$83)))),IF(($A29&lt;'Alternative 1'!$B$29),(($H$3*'Alternative 1'!$B$39+(($N$82/3)*COS($K$83)))),($H29*'Alternative 1'!$B$39))))</f>
        <v>308476.18998899439</v>
      </c>
      <c r="BP29" s="78">
        <f>BN29*'Alternative 1'!$K30/'Alternative 1'!$L30</f>
        <v>1202723.2965905764</v>
      </c>
      <c r="BQ29" s="78">
        <f>BO29/'Alternative 1'!$M30</f>
        <v>157531.51837098229</v>
      </c>
      <c r="BR29" s="78">
        <f t="shared" si="10"/>
        <v>1.3602548149615588</v>
      </c>
      <c r="BT29" s="78">
        <f>'Alternative 1'!$B$39*$B29*$C29*COS($K$93)-($K$92/3)*$E29*SIN($K$93)-($K$92/3)*$F29*SIN($K$93)-($K$92/3)*$G29*SIN($K$93)</f>
        <v>-1.0355620228239244</v>
      </c>
      <c r="BU29" s="79">
        <f>IF(($A29&lt;'Alternative 1'!$B$27),(($H29*'Alternative 1'!$B$39)+(3*($N$92/3)*COS($K$93))),IF(($A29&lt;'Alternative 1'!$B$28),(($H29*'Alternative 1'!$B$39)+(2*(($N$92/3)*COS($K$93)))),IF(($A29&lt;'Alternative 1'!$B$29),(($H$3*'Alternative 1'!$B$39+(($N$92/3)*COS($K$93)))),($H29*'Alternative 1'!$B$39))))</f>
        <v>306119.90662501159</v>
      </c>
      <c r="BV29" s="78">
        <f>BT29*'Alternative 1'!$K30/'Alternative 1'!$L30</f>
        <v>-26.441880913061482</v>
      </c>
      <c r="BW29" s="78">
        <f>BU29/'Alternative 1'!$M30</f>
        <v>156328.22000278818</v>
      </c>
      <c r="BX29" s="78">
        <f t="shared" si="11"/>
        <v>0.1563017781218751</v>
      </c>
      <c r="BZ29" s="77">
        <v>150</v>
      </c>
      <c r="CA29" s="77">
        <v>-150</v>
      </c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</row>
    <row r="30" spans="1:115" ht="15" customHeight="1" x14ac:dyDescent="0.25">
      <c r="A30" s="89">
        <f>IF('Alternative 1'!F31&gt;0,'Alternative 1'!F31,"x")</f>
        <v>28</v>
      </c>
      <c r="B30" s="89">
        <f t="shared" si="17"/>
        <v>9</v>
      </c>
      <c r="C30" s="89">
        <f t="shared" si="12"/>
        <v>4.5</v>
      </c>
      <c r="D30" s="89">
        <f t="shared" si="13"/>
        <v>28</v>
      </c>
      <c r="E30" s="74">
        <f>IF($A30&lt;='Alternative 1'!$B$27, IF($A30='Alternative 1'!$B$27,0,E31+1),0)</f>
        <v>0</v>
      </c>
      <c r="F30" s="74">
        <f>IF($A30&lt;=('Alternative 1'!$B$28), IF($A30=ROUNDDOWN('Alternative 1'!$B$28,0),0,F31+1),0)</f>
        <v>0</v>
      </c>
      <c r="G30" s="74">
        <f>IF($A30&lt;=('Alternative 1'!$B$29), IF($A30=ROUNDDOWN('Alternative 1'!$B$29,0),0,G31+1),0)</f>
        <v>1</v>
      </c>
      <c r="H30" s="89">
        <f t="shared" si="14"/>
        <v>9</v>
      </c>
      <c r="J30" s="77">
        <f t="shared" si="15"/>
        <v>27</v>
      </c>
      <c r="K30" s="77">
        <f t="shared" si="16"/>
        <v>0.47123889803846897</v>
      </c>
      <c r="L30" s="78">
        <f>'Alternative 1'!$B$27*SIN(K30)+'Alternative 1'!$B$28*SIN(K30)+'Alternative 1'!$B$29*SIN(K30)</f>
        <v>30.871353982289179</v>
      </c>
      <c r="M30" s="77">
        <f>(('Alternative 1'!$B$27)*(((('Alternative 1'!$B$28-'Alternative 1'!$B$27)/2)+'Alternative 1'!$B$27)*'Alternative 1'!$B$39)*COS('Alternative 1-Tilt Up'!K30))+(('Alternative 1'!$B$28)*((('Alternative 1'!$B$28-'Alternative 1'!$B$27)/2)+(('Alternative 1'!$B$29-'Alternative 1'!$B$28)/2))*('Alternative 1'!$B$39)*COS('Alternative 1-Tilt Up'!K30))+(('Alternative 1'!$B$29)*((('Alternative 1'!$B$12-'Alternative 1'!$B$29+(('Alternative 1'!$B$29-'Alternative 1'!$B$28)/2)*('Alternative 1'!$B$39)*COS('Alternative 1-Tilt Up'!K30)))))</f>
        <v>4228838.4562037447</v>
      </c>
      <c r="N30" s="77">
        <f t="shared" si="0"/>
        <v>410947.81187405833</v>
      </c>
      <c r="O30" s="77">
        <f>(((('Alternative 1'!$B$28-'Alternative 1'!$B$27)/2)+'Alternative 1'!$B$27)*('Alternative 1'!$B$39)*COS('Alternative 1-Tilt Up'!K30))+(((('Alternative 1'!$B$28-'Alternative 1'!$B$27)/2)+(('Alternative 1'!$B$29-'Alternative 1'!$B$28)/2))*('Alternative 1'!$B$39)*COS('Alternative 1-Tilt Up'!K30))+(((('Alternative 1'!$B$12-'Alternative 1'!$B$29)+(('Alternative 1'!$B$29-'Alternative 1'!$B$28)/2))*('Alternative 1'!$B$39)*COS('Alternative 1-Tilt Up'!K30)))</f>
        <v>272754.83398681926</v>
      </c>
      <c r="P30" s="77">
        <f t="shared" si="1"/>
        <v>366157.18148072</v>
      </c>
      <c r="R30" s="78">
        <f>'Alternative 1'!$B$39*$B30*$C30*COS($K$5)-($N$5/3)*$E30*SIN($K$5)-($N$5/3)*$F30*SIN($K$5)-($N$5/3)*$G30*SIN($K$5)</f>
        <v>274421.84999453055</v>
      </c>
      <c r="S30" s="79">
        <f>IF(($A30&lt;'Alternative 1'!$B$27),(($H30*'Alternative 1'!$B$39)+(3*($N$5/3)*COS($K$5))),IF(($A30&lt;'Alternative 1'!$B$28),(($H30*'Alternative 1'!$B$39)+(2*(($N$5/3)*COS($K$5)))),IF(($A30&lt;'Alternative 1'!$B$29),(($H$3*'Alternative 1'!$B$39+(($N$5/3)*COS($K$5)))),($H30*'Alternative 1'!$B$39))))</f>
        <v>2303591.7836996038</v>
      </c>
      <c r="T30" s="78">
        <f>R30*'Alternative 1'!$K31/'Alternative 1'!$L31</f>
        <v>7186956.9661603868</v>
      </c>
      <c r="U30" s="78">
        <f>S30/'Alternative 1'!$M31</f>
        <v>1206594.8252839653</v>
      </c>
      <c r="V30" s="78">
        <f t="shared" si="2"/>
        <v>8.3935517914443523</v>
      </c>
      <c r="X30" s="78">
        <f>'Alternative 1'!$B$39*$B30*$C30*COS($K$13)-($N$12/3)*$E30*SIN($K$13)-($N$12/3)*$F30*SIN($K$13)-($N$12/3)*$G30*SIN($K$13)</f>
        <v>262630.78503891447</v>
      </c>
      <c r="Y30" s="79">
        <f>IF(($A30&lt;'Alternative 1'!$B$27),(($H30*'Alternative 1'!$B$39)+(3*($N$12/3)*COS($K$13))),IF(($A30&lt;'Alternative 1'!$B$28),(($H30*'Alternative 1'!$B$39)+(2*(($N$12/3)*COS($K$13)))),IF(($A30&lt;'Alternative 1'!$B$29),(($H$3*'Alternative 1'!$B$39+(($N$12/3)*COS($K$13)))),($H30*'Alternative 1'!$B$39))))</f>
        <v>740098.46863391146</v>
      </c>
      <c r="Z30" s="78">
        <f>X30*'Alternative 1'!$K31/'Alternative 1'!$L31</f>
        <v>6878155.4752335399</v>
      </c>
      <c r="AA30" s="78">
        <f>Y30/'Alternative 1'!$M31</f>
        <v>387655.04755364888</v>
      </c>
      <c r="AB30" s="78">
        <f t="shared" si="3"/>
        <v>7.2658105227871888</v>
      </c>
      <c r="AD30" s="78">
        <f>'Alternative 1'!$B$39*$B30*$C30*COS($K$23)-($N$22/3)*$E30*SIN($K$23)-($N$22/3)*$F30*SIN($K$23)-($N$22/3)*$G30*SIN($K$23)</f>
        <v>254287.73684646533</v>
      </c>
      <c r="AE30" s="79">
        <f>IF(($A30&lt;'Alternative 1'!$B$27),(($H30*'Alternative 1'!$B$39)+(3*($N$22/3)*COS($K$23))),IF(($A30&lt;'Alternative 1'!$B$28),(($H30*'Alternative 1'!$B$39)+(2*(($N$22/3)*COS($K$23)))),IF(($A30&lt;'Alternative 1'!$B$29),(($H$3*'Alternative 1'!$B$39+(($N$22/3)*COS($K$23)))),($H30*'Alternative 1'!$B$39))))</f>
        <v>496597.59167774895</v>
      </c>
      <c r="AF30" s="78">
        <f>AD30*'Alternative 1'!$K31/'Alternative 1'!$L31</f>
        <v>6659655.6424872428</v>
      </c>
      <c r="AG30" s="78">
        <f>AE30/'Alternative 1'!$M31</f>
        <v>260112.09477598494</v>
      </c>
      <c r="AH30" s="78">
        <f t="shared" si="4"/>
        <v>6.9197677372632276</v>
      </c>
      <c r="AJ30" s="78">
        <f>'Alternative 1'!$B$39*$B30*$C30*COS($K$33)-($N$32/3)*$E30*SIN($K$33)-($N$32/3)*$F30*SIN($K$33)-($N$32/3)*$G30*SIN($K$33)</f>
        <v>235288.24375935085</v>
      </c>
      <c r="AK30" s="79">
        <f>IF(($A30&lt;'Alternative 1'!$B$27),(($H30*'Alternative 1'!$B$39)+(3*($N$32/3)*COS($K$33))),IF(($A30&lt;'Alternative 1'!$B$28),(($H30*'Alternative 1'!$B$39)+(2*(($N$32/3)*COS($K$33)))),IF(($A30&lt;'Alternative 1'!$B$29),(($H$3*'Alternative 1'!$B$39+(($N$32/3)*COS($K$33)))),($H30*'Alternative 1'!$B$39))))</f>
        <v>415166.05643987219</v>
      </c>
      <c r="AL30" s="78">
        <f>AJ30*'Alternative 1'!$K31/'Alternative 1'!$L31</f>
        <v>6162069.3927091183</v>
      </c>
      <c r="AM30" s="78">
        <f>AK30/'Alternative 1'!$M31</f>
        <v>217459.19519186151</v>
      </c>
      <c r="AN30" s="78">
        <f t="shared" si="5"/>
        <v>6.3795285879009791</v>
      </c>
      <c r="AP30" s="78">
        <f>'Alternative 1'!$B$39*$B30*$C30*COS($K$43)-($N$42/3)*$E30*SIN($K$43)-($N$42/3)*$F30*SIN($K$43)-($N$42/3)*$G30*SIN($K$43)</f>
        <v>208411.23107023776</v>
      </c>
      <c r="AQ30" s="79">
        <f>IF(($A30&lt;'Alternative 1'!$B$27),(($H30*'Alternative 1'!$B$39)+(3*($N$42/3)*COS($K$43))),IF(($A30&lt;'Alternative 1'!$B$28),(($H30*'Alternative 1'!$B$39)+(2*(($N$42/3)*COS($K$43)))),IF(($A30&lt;'Alternative 1'!$B$29),(($H$3*'Alternative 1'!$B$39+(($N$42/3)*COS($K$43)))),($H30*'Alternative 1'!$B$39))))</f>
        <v>372146.51651041314</v>
      </c>
      <c r="AR30" s="78">
        <f>AP30*'Alternative 1'!$K31/'Alternative 1'!$L31</f>
        <v>5458175.2473287405</v>
      </c>
      <c r="AS30" s="78">
        <f>AQ30/'Alternative 1'!$M31</f>
        <v>194926.05601664766</v>
      </c>
      <c r="AT30" s="78">
        <f t="shared" si="6"/>
        <v>5.6531013033453874</v>
      </c>
      <c r="AV30" s="78">
        <f>'Alternative 1'!$B$39*$B30*$C30*COS($K$53)-($N$52/3)*$E30*SIN($K$53)-($N$52/3)*$F30*SIN($K$53)-($N$52/3)*$G30*SIN($K$53)</f>
        <v>174887.47848001518</v>
      </c>
      <c r="AW30" s="79">
        <f>IF(($A30&lt;'Alternative 1'!$B$27),(($H30*'Alternative 1'!$B$39)+(3*($N$52/3)*COS($K$53))),IF(($A30&lt;'Alternative 1'!$B$28),(($H30*'Alternative 1'!$B$39)+(2*(($N$52/3)*COS($K$53)))),IF(($A30&lt;'Alternative 1'!$B$29),(($H$3*'Alternative 1'!$B$39+(($N$52/3)*COS($K$53)))),($H30*'Alternative 1'!$B$39))))</f>
        <v>345120.30506969942</v>
      </c>
      <c r="AX30" s="78">
        <f>AV30*'Alternative 1'!$K31/'Alternative 1'!$L31</f>
        <v>4580206.6481995555</v>
      </c>
      <c r="AY30" s="78">
        <f>AW30/'Alternative 1'!$M31</f>
        <v>180770.03796599121</v>
      </c>
      <c r="AZ30" s="78">
        <f t="shared" si="7"/>
        <v>4.7609766861655469</v>
      </c>
      <c r="BB30" s="78">
        <f>'Alternative 1'!$B$39*$B30*$C30*COS($K$63)-($N$62/3)*$E30*SIN($K$63)-($N$62/3)*$F30*SIN($K$63)-($N$62/3)*$G30*SIN($K$63)</f>
        <v>135872.07139585796</v>
      </c>
      <c r="BC30" s="79">
        <f>IF(($A30&lt;'Alternative 1'!$B$27),(($H30*'Alternative 1'!$B$39)+(3*($N$62/3)*COS($K$63))),IF(($A30&lt;'Alternative 1'!$B$28),(($H30*'Alternative 1'!$B$39)+(2*(($N$62/3)*COS($K$63)))),IF(($A30&lt;'Alternative 1'!$B$29),(($H$3*'Alternative 1'!$B$39+(($N$62/3)*COS($K$63)))),($H30*'Alternative 1'!$B$39))))</f>
        <v>327089.4855322786</v>
      </c>
      <c r="BD30" s="78">
        <f>BB30*'Alternative 1'!$K31/'Alternative 1'!$L31</f>
        <v>3558414.645351911</v>
      </c>
      <c r="BE30" s="78">
        <f>BC30/'Alternative 1'!$M31</f>
        <v>171325.70251409936</v>
      </c>
      <c r="BF30" s="78">
        <f t="shared" si="8"/>
        <v>3.7297403478660103</v>
      </c>
      <c r="BH30" s="78">
        <f>'Alternative 1'!$B$39*$B30*$C30*COS($K$73)-($N$72/3)*$E30*SIN($K$73)-($N$72/3)*$F30*SIN($K$73)-($N$72/3)*$G30*SIN($K$73)</f>
        <v>92608.387364477327</v>
      </c>
      <c r="BI30" s="79">
        <f>IF(($A30&lt;'Alternative 1'!$B$27),(($H30*'Alternative 1'!$B$39)+(3*($N$72/3)*COS($K$73))),IF(($A30&lt;'Alternative 1'!$B$28),(($H30*'Alternative 1'!$B$39)+(2*(($N$72/3)*COS($K$73)))),IF(($A30&lt;'Alternative 1'!$B$29),(($H$3*'Alternative 1'!$B$39+(($N$72/3)*COS($K$73)))),($H30*'Alternative 1'!$B$39))))</f>
        <v>315284.01606893499</v>
      </c>
      <c r="BJ30" s="78">
        <f>BH30*'Alternative 1'!$K31/'Alternative 1'!$L31</f>
        <v>2425362.6112763076</v>
      </c>
      <c r="BK30" s="78">
        <f>BI30/'Alternative 1'!$M31</f>
        <v>165142.13367811337</v>
      </c>
      <c r="BL30" s="78">
        <f t="shared" si="9"/>
        <v>2.5905047449544214</v>
      </c>
      <c r="BN30" s="78">
        <f>'Alternative 1'!$B$39*$B30*$C30*COS($K$83)-($N$82/3)*$E30*SIN($K$83)-($N$82/3)*$F30*SIN($K$83)-($N$82/3)*$G30*SIN($K$83)</f>
        <v>46438.662420606401</v>
      </c>
      <c r="BO30" s="79">
        <f>IF(($A30&lt;'Alternative 1'!$B$27),(($H30*'Alternative 1'!$B$39)+(3*($N$82/3)*COS($K$83))),IF(($A30&lt;'Alternative 1'!$B$28),(($H30*'Alternative 1'!$B$39)+(2*(($N$82/3)*COS($K$83)))),IF(($A30&lt;'Alternative 1'!$B$29),(($H$3*'Alternative 1'!$B$39+(($N$82/3)*COS($K$83)))),($H30*'Alternative 1'!$B$39))))</f>
        <v>308476.18998899439</v>
      </c>
      <c r="BP30" s="78">
        <f>BN30*'Alternative 1'!$K31/'Alternative 1'!$L31</f>
        <v>1216202.9677651387</v>
      </c>
      <c r="BQ30" s="78">
        <f>BO30/'Alternative 1'!$M31</f>
        <v>161576.27284390893</v>
      </c>
      <c r="BR30" s="78">
        <f t="shared" si="10"/>
        <v>1.3777792406090477</v>
      </c>
      <c r="BT30" s="78">
        <f>'Alternative 1'!$B$39*$B30*$C30*COS($K$93)-($K$92/3)*$E30*SIN($K$93)-($K$92/3)*$F30*SIN($K$93)-($K$92/3)*$G30*SIN($K$93)</f>
        <v>-0.51778101140388832</v>
      </c>
      <c r="BU30" s="79">
        <f>IF(($A30&lt;'Alternative 1'!$B$27),(($H30*'Alternative 1'!$B$39)+(3*($N$92/3)*COS($K$93))),IF(($A30&lt;'Alternative 1'!$B$28),(($H30*'Alternative 1'!$B$39)+(2*(($N$92/3)*COS($K$93)))),IF(($A30&lt;'Alternative 1'!$B$29),(($H$3*'Alternative 1'!$B$39+(($N$92/3)*COS($K$93)))),($H30*'Alternative 1'!$B$39))))</f>
        <v>306119.90662501159</v>
      </c>
      <c r="BV30" s="78">
        <f>BT30*'Alternative 1'!$K31/'Alternative 1'!$L31</f>
        <v>-13.560399242731268</v>
      </c>
      <c r="BW30" s="78">
        <f>BU30/'Alternative 1'!$M31</f>
        <v>160342.07877619163</v>
      </c>
      <c r="BX30" s="78">
        <f t="shared" si="11"/>
        <v>0.16032851837694889</v>
      </c>
      <c r="BZ30" s="77">
        <v>150</v>
      </c>
      <c r="CA30" s="77">
        <v>-150</v>
      </c>
      <c r="CB30" s="281"/>
      <c r="CC30" s="281"/>
      <c r="CD30" s="281"/>
      <c r="CE30" s="281"/>
      <c r="CF30" s="281"/>
      <c r="CG30" s="281"/>
      <c r="CH30" s="281"/>
      <c r="CI30" s="281"/>
      <c r="CJ30" s="281"/>
      <c r="CK30" s="281"/>
      <c r="CL30" s="281"/>
      <c r="CM30" s="281"/>
      <c r="CN30" s="281"/>
      <c r="CO30" s="281"/>
      <c r="CP30" s="281"/>
      <c r="CQ30" s="281"/>
      <c r="CR30" s="281"/>
      <c r="CS30" s="281"/>
      <c r="CT30" s="281"/>
      <c r="CU30" s="281"/>
      <c r="CV30" s="281"/>
      <c r="CW30" s="281"/>
      <c r="CX30" s="281"/>
      <c r="CY30" s="281"/>
      <c r="CZ30" s="281"/>
      <c r="DA30" s="281"/>
      <c r="DB30" s="281"/>
      <c r="DC30" s="281"/>
      <c r="DD30" s="281"/>
      <c r="DE30" s="281"/>
      <c r="DF30" s="281"/>
      <c r="DG30" s="281"/>
      <c r="DH30" s="281"/>
      <c r="DI30" s="281"/>
      <c r="DJ30" s="281"/>
      <c r="DK30" s="281"/>
    </row>
    <row r="31" spans="1:115" ht="15" customHeight="1" x14ac:dyDescent="0.25">
      <c r="A31" s="89">
        <f>IF('Alternative 1'!F32&gt;0,'Alternative 1'!F32,"x")</f>
        <v>29</v>
      </c>
      <c r="B31" s="89">
        <f t="shared" si="17"/>
        <v>8</v>
      </c>
      <c r="C31" s="89">
        <f t="shared" si="12"/>
        <v>4</v>
      </c>
      <c r="D31" s="89">
        <f t="shared" si="13"/>
        <v>29</v>
      </c>
      <c r="E31" s="74">
        <f>IF($A31&lt;='Alternative 1'!$B$27, IF($A31='Alternative 1'!$B$27,0,E32+1),0)</f>
        <v>0</v>
      </c>
      <c r="F31" s="74">
        <f>IF($A31&lt;=('Alternative 1'!$B$28), IF($A31=ROUNDDOWN('Alternative 1'!$B$28,0),0,F32+1),0)</f>
        <v>0</v>
      </c>
      <c r="G31" s="74">
        <f>IF($A31&lt;=('Alternative 1'!$B$29), IF($A31=ROUNDDOWN('Alternative 1'!$B$29,0),0,G32+1),0)</f>
        <v>0</v>
      </c>
      <c r="H31" s="89">
        <f t="shared" si="14"/>
        <v>8</v>
      </c>
      <c r="J31" s="77">
        <f t="shared" si="15"/>
        <v>28</v>
      </c>
      <c r="K31" s="77">
        <f t="shared" si="16"/>
        <v>0.48869219055841229</v>
      </c>
      <c r="L31" s="78">
        <f>'Alternative 1'!$B$27*SIN(K31)+'Alternative 1'!$B$28*SIN(K31)+'Alternative 1'!$B$29*SIN(K31)</f>
        <v>31.924066269440576</v>
      </c>
      <c r="M31" s="77">
        <f>(('Alternative 1'!$B$27)*(((('Alternative 1'!$B$28-'Alternative 1'!$B$27)/2)+'Alternative 1'!$B$27)*'Alternative 1'!$B$39)*COS('Alternative 1-Tilt Up'!K31))+(('Alternative 1'!$B$28)*((('Alternative 1'!$B$28-'Alternative 1'!$B$27)/2)+(('Alternative 1'!$B$29-'Alternative 1'!$B$28)/2))*('Alternative 1'!$B$39)*COS('Alternative 1-Tilt Up'!K31))+(('Alternative 1'!$B$29)*((('Alternative 1'!$B$12-'Alternative 1'!$B$29+(('Alternative 1'!$B$29-'Alternative 1'!$B$28)/2)*('Alternative 1'!$B$39)*COS('Alternative 1-Tilt Up'!K31)))))</f>
        <v>4190591.4386801785</v>
      </c>
      <c r="N31" s="77">
        <f t="shared" si="0"/>
        <v>393802.41257282783</v>
      </c>
      <c r="O31" s="77">
        <f>(((('Alternative 1'!$B$28-'Alternative 1'!$B$27)/2)+'Alternative 1'!$B$27)*('Alternative 1'!$B$39)*COS('Alternative 1-Tilt Up'!K31))+(((('Alternative 1'!$B$28-'Alternative 1'!$B$27)/2)+(('Alternative 1'!$B$29-'Alternative 1'!$B$28)/2))*('Alternative 1'!$B$39)*COS('Alternative 1-Tilt Up'!K31))+(((('Alternative 1'!$B$12-'Alternative 1'!$B$29)+(('Alternative 1'!$B$29-'Alternative 1'!$B$28)/2))*('Alternative 1'!$B$39)*COS('Alternative 1-Tilt Up'!K31)))</f>
        <v>270287.83468075341</v>
      </c>
      <c r="P31" s="77">
        <f t="shared" si="1"/>
        <v>347706.8922432164</v>
      </c>
      <c r="R31" s="78">
        <f>'Alternative 1'!$B$39*$B31*$C31*COS($K$5)-($N$5/3)*$E31*SIN($K$5)-($N$5/3)*$F31*SIN($K$5)-($N$5/3)*$G31*SIN($K$5)</f>
        <v>271940.82368798106</v>
      </c>
      <c r="S31" s="79">
        <f>IF(($A31&lt;'Alternative 1'!$B$27),(($H31*'Alternative 1'!$B$39)+(3*($N$5/3)*COS($K$5))),IF(($A31&lt;'Alternative 1'!$B$28),(($H31*'Alternative 1'!$B$39)+(2*(($N$5/3)*COS($K$5)))),IF(($A31&lt;'Alternative 1'!$B$29),(($H$3*'Alternative 1'!$B$39+(($N$5/3)*COS($K$5)))),($H31*'Alternative 1'!$B$39))))</f>
        <v>2303591.7836996038</v>
      </c>
      <c r="T31" s="78">
        <f>R31*'Alternative 1'!$K32/'Alternative 1'!$L32</f>
        <v>7307221.1098649828</v>
      </c>
      <c r="U31" s="78">
        <f>S31/'Alternative 1'!$M32</f>
        <v>1237978.0430087</v>
      </c>
      <c r="V31" s="78">
        <f t="shared" si="2"/>
        <v>8.5451991528736837</v>
      </c>
      <c r="X31" s="78">
        <f>'Alternative 1'!$B$39*$B31*$C31*COS($K$13)-($N$12/3)*$E31*SIN($K$13)-($N$12/3)*$F31*SIN($K$13)-($N$12/3)*$G31*SIN($K$13)</f>
        <v>267972.67324060854</v>
      </c>
      <c r="Y31" s="79">
        <f>IF(($A31&lt;'Alternative 1'!$B$27),(($H31*'Alternative 1'!$B$39)+(3*($N$12/3)*COS($K$13))),IF(($A31&lt;'Alternative 1'!$B$28),(($H31*'Alternative 1'!$B$39)+(2*(($N$12/3)*COS($K$13)))),IF(($A31&lt;'Alternative 1'!$B$29),(($H$3*'Alternative 1'!$B$39+(($N$12/3)*COS($K$13)))),($H31*'Alternative 1'!$B$39))))</f>
        <v>740098.46863391146</v>
      </c>
      <c r="Z31" s="78">
        <f>X31*'Alternative 1'!$K32/'Alternative 1'!$L32</f>
        <v>7200594.4095302438</v>
      </c>
      <c r="AA31" s="78">
        <f>Y31/'Alternative 1'!$M32</f>
        <v>397737.85456105118</v>
      </c>
      <c r="AB31" s="78">
        <f t="shared" si="3"/>
        <v>7.5983322640912956</v>
      </c>
      <c r="AD31" s="78">
        <f>'Alternative 1'!$B$39*$B31*$C31*COS($K$23)-($N$22/3)*$E31*SIN($K$23)-($N$22/3)*$F31*SIN($K$23)-($N$22/3)*$G31*SIN($K$23)</f>
        <v>255696.54873883972</v>
      </c>
      <c r="AE31" s="79">
        <f>IF(($A31&lt;'Alternative 1'!$B$27),(($H31*'Alternative 1'!$B$39)+(3*($N$22/3)*COS($K$23))),IF(($A31&lt;'Alternative 1'!$B$28),(($H31*'Alternative 1'!$B$39)+(2*(($N$22/3)*COS($K$23)))),IF(($A31&lt;'Alternative 1'!$B$29),(($H$3*'Alternative 1'!$B$39+(($N$22/3)*COS($K$23)))),($H31*'Alternative 1'!$B$39))))</f>
        <v>496597.59167774895</v>
      </c>
      <c r="AF31" s="78">
        <f>AD31*'Alternative 1'!$K32/'Alternative 1'!$L32</f>
        <v>6870727.2167707598</v>
      </c>
      <c r="AG31" s="78">
        <f>AE31/'Alternative 1'!$M32</f>
        <v>266877.54273924005</v>
      </c>
      <c r="AH31" s="78">
        <f t="shared" si="4"/>
        <v>7.1376047595100003</v>
      </c>
      <c r="AJ31" s="78">
        <f>'Alternative 1'!$B$39*$B31*$C31*COS($K$33)-($N$32/3)*$E31*SIN($K$33)-($N$32/3)*$F31*SIN($K$33)-($N$32/3)*$G31*SIN($K$33)</f>
        <v>235651.21399233805</v>
      </c>
      <c r="AK31" s="79">
        <f>IF(($A31&lt;'Alternative 1'!$B$27),(($H31*'Alternative 1'!$B$39)+(3*($N$32/3)*COS($K$33))),IF(($A31&lt;'Alternative 1'!$B$28),(($H31*'Alternative 1'!$B$39)+(2*(($N$32/3)*COS($K$33)))),IF(($A31&lt;'Alternative 1'!$B$29),(($H$3*'Alternative 1'!$B$39+(($N$32/3)*COS($K$33)))),($H31*'Alternative 1'!$B$39))))</f>
        <v>415166.05643987219</v>
      </c>
      <c r="AL31" s="78">
        <f>AJ31*'Alternative 1'!$K32/'Alternative 1'!$L32</f>
        <v>6332096.454285427</v>
      </c>
      <c r="AM31" s="78">
        <f>AK31/'Alternative 1'!$M32</f>
        <v>223115.25232549425</v>
      </c>
      <c r="AN31" s="78">
        <f t="shared" si="5"/>
        <v>6.5552117066109208</v>
      </c>
      <c r="AP31" s="78">
        <f>'Alternative 1'!$B$39*$B31*$C31*COS($K$43)-($N$42/3)*$E31*SIN($K$43)-($N$42/3)*$F31*SIN($K$43)-($N$42/3)*$G31*SIN($K$43)</f>
        <v>208445.73635394714</v>
      </c>
      <c r="AQ31" s="79">
        <f>IF(($A31&lt;'Alternative 1'!$B$27),(($H31*'Alternative 1'!$B$39)+(3*($N$42/3)*COS($K$43))),IF(($A31&lt;'Alternative 1'!$B$28),(($H31*'Alternative 1'!$B$39)+(2*(($N$42/3)*COS($K$43)))),IF(($A31&lt;'Alternative 1'!$B$29),(($H$3*'Alternative 1'!$B$39+(($N$42/3)*COS($K$43)))),($H31*'Alternative 1'!$B$39))))</f>
        <v>372146.51651041314</v>
      </c>
      <c r="AR31" s="78">
        <f>AP31*'Alternative 1'!$K32/'Alternative 1'!$L32</f>
        <v>5601068.1452320404</v>
      </c>
      <c r="AS31" s="78">
        <f>AQ31/'Alternative 1'!$M32</f>
        <v>199996.03205831899</v>
      </c>
      <c r="AT31" s="78">
        <f t="shared" si="6"/>
        <v>5.8010641772903595</v>
      </c>
      <c r="AV31" s="78">
        <f>'Alternative 1'!$B$39*$B31*$C31*COS($K$53)-($N$52/3)*$E31*SIN($K$53)-($N$52/3)*$F31*SIN($K$53)-($N$52/3)*$G31*SIN($K$53)</f>
        <v>174906.74049507361</v>
      </c>
      <c r="AW31" s="79">
        <f>IF(($A31&lt;'Alternative 1'!$B$27),(($H31*'Alternative 1'!$B$39)+(3*($N$52/3)*COS($K$53))),IF(($A31&lt;'Alternative 1'!$B$28),(($H31*'Alternative 1'!$B$39)+(2*(($N$52/3)*COS($K$53)))),IF(($A31&lt;'Alternative 1'!$B$29),(($H$3*'Alternative 1'!$B$39+(($N$52/3)*COS($K$53)))),($H31*'Alternative 1'!$B$39))))</f>
        <v>345120.30506969942</v>
      </c>
      <c r="AX31" s="78">
        <f>AV31*'Alternative 1'!$K32/'Alternative 1'!$L32</f>
        <v>4699854.2148630172</v>
      </c>
      <c r="AY31" s="78">
        <f>AW31/'Alternative 1'!$M32</f>
        <v>185471.81965833364</v>
      </c>
      <c r="AZ31" s="78">
        <f t="shared" si="7"/>
        <v>4.8853260345213503</v>
      </c>
      <c r="BB31" s="78">
        <f>'Alternative 1'!$B$39*$B31*$C31*COS($K$63)-($N$62/3)*$E31*SIN($K$63)-($N$62/3)*$F31*SIN($K$63)-($N$62/3)*$G31*SIN($K$63)</f>
        <v>136053.2918333385</v>
      </c>
      <c r="BC31" s="79">
        <f>IF(($A31&lt;'Alternative 1'!$B$27),(($H31*'Alternative 1'!$B$39)+(3*($N$62/3)*COS($K$63))),IF(($A31&lt;'Alternative 1'!$B$28),(($H31*'Alternative 1'!$B$39)+(2*(($N$62/3)*COS($K$63)))),IF(($A31&lt;'Alternative 1'!$B$29),(($H$3*'Alternative 1'!$B$39+(($N$62/3)*COS($K$63)))),($H31*'Alternative 1'!$B$39))))</f>
        <v>327089.4855322786</v>
      </c>
      <c r="BD31" s="78">
        <f>BB31*'Alternative 1'!$K32/'Alternative 1'!$L32</f>
        <v>3655837.5924163666</v>
      </c>
      <c r="BE31" s="78">
        <f>BC31/'Alternative 1'!$M32</f>
        <v>175781.83949660108</v>
      </c>
      <c r="BF31" s="78">
        <f t="shared" si="8"/>
        <v>3.8316194319129675</v>
      </c>
      <c r="BH31" s="78">
        <f>'Alternative 1'!$B$39*$B31*$C31*COS($K$73)-($N$72/3)*$E31*SIN($K$73)-($N$72/3)*$F31*SIN($K$73)-($N$72/3)*$G31*SIN($K$73)</f>
        <v>93065.932745534941</v>
      </c>
      <c r="BI31" s="79">
        <f>IF(($A31&lt;'Alternative 1'!$B$27),(($H31*'Alternative 1'!$B$39)+(3*($N$72/3)*COS($K$73))),IF(($A31&lt;'Alternative 1'!$B$28),(($H31*'Alternative 1'!$B$39)+(2*(($N$72/3)*COS($K$73)))),IF(($A31&lt;'Alternative 1'!$B$29),(($H$3*'Alternative 1'!$B$39+(($N$72/3)*COS($K$73)))),($H31*'Alternative 1'!$B$39))))</f>
        <v>315284.01606893499</v>
      </c>
      <c r="BJ31" s="78">
        <f>BH31*'Alternative 1'!$K32/'Alternative 1'!$L32</f>
        <v>2500740.1946672266</v>
      </c>
      <c r="BK31" s="78">
        <f>BI31/'Alternative 1'!$M32</f>
        <v>169437.43764274602</v>
      </c>
      <c r="BL31" s="78">
        <f t="shared" si="9"/>
        <v>2.6701776323099726</v>
      </c>
      <c r="BN31" s="78">
        <f>'Alternative 1'!$B$39*$B31*$C31*COS($K$83)-($N$82/3)*$E31*SIN($K$83)-($N$82/3)*$F31*SIN($K$83)-($N$82/3)*$G31*SIN($K$83)</f>
        <v>47250.812384892582</v>
      </c>
      <c r="BO31" s="79">
        <f>IF(($A31&lt;'Alternative 1'!$B$27),(($H31*'Alternative 1'!$B$39)+(3*($N$82/3)*COS($K$83))),IF(($A31&lt;'Alternative 1'!$B$28),(($H31*'Alternative 1'!$B$39)+(2*(($N$82/3)*COS($K$83)))),IF(($A31&lt;'Alternative 1'!$B$29),(($H$3*'Alternative 1'!$B$39+(($N$82/3)*COS($K$83)))),($H31*'Alternative 1'!$B$39))))</f>
        <v>308476.18998899439</v>
      </c>
      <c r="BP31" s="78">
        <f>BN31*'Alternative 1'!$K32/'Alternative 1'!$L32</f>
        <v>1269659.0715387203</v>
      </c>
      <c r="BQ31" s="78">
        <f>BO31/'Alternative 1'!$M32</f>
        <v>165778.82969526798</v>
      </c>
      <c r="BR31" s="78">
        <f t="shared" si="10"/>
        <v>1.4354379012339884</v>
      </c>
      <c r="BT31" s="78">
        <f>'Alternative 1'!$B$39*$B31*$C31*COS($K$93)-($K$92/3)*$E31*SIN($K$93)-($K$92/3)*$F31*SIN($K$93)-($K$92/3)*$G31*SIN($K$93)</f>
        <v>1.6668548027484621E-11</v>
      </c>
      <c r="BU31" s="79">
        <f>IF(($A31&lt;'Alternative 1'!$B$27),(($H31*'Alternative 1'!$B$39)+(3*($N$92/3)*COS($K$93))),IF(($A31&lt;'Alternative 1'!$B$28),(($H31*'Alternative 1'!$B$39)+(2*(($N$92/3)*COS($K$93)))),IF(($A31&lt;'Alternative 1'!$B$29),(($H$3*'Alternative 1'!$B$39+(($N$92/3)*COS($K$93)))),($H31*'Alternative 1'!$B$39))))</f>
        <v>306119.90662501159</v>
      </c>
      <c r="BV31" s="78">
        <f>BT31*'Alternative 1'!$K32/'Alternative 1'!$L32</f>
        <v>4.4789437777457599E-10</v>
      </c>
      <c r="BW31" s="78">
        <f>BU31/'Alternative 1'!$M32</f>
        <v>164512.5345607053</v>
      </c>
      <c r="BX31" s="78">
        <f t="shared" si="11"/>
        <v>0.16451253456070575</v>
      </c>
      <c r="BZ31" s="77">
        <v>150</v>
      </c>
      <c r="CA31" s="77">
        <v>-150</v>
      </c>
      <c r="CB31" s="281"/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281"/>
      <c r="CN31" s="281"/>
      <c r="CO31" s="281"/>
      <c r="CP31" s="281"/>
      <c r="CQ31" s="281"/>
      <c r="CR31" s="281"/>
      <c r="CS31" s="281"/>
      <c r="CT31" s="281"/>
      <c r="CU31" s="281"/>
      <c r="CV31" s="281"/>
      <c r="CW31" s="281"/>
      <c r="CX31" s="281"/>
      <c r="CY31" s="281"/>
      <c r="CZ31" s="281"/>
      <c r="DA31" s="281"/>
      <c r="DB31" s="281"/>
      <c r="DC31" s="281"/>
      <c r="DD31" s="281"/>
      <c r="DE31" s="281"/>
      <c r="DF31" s="281"/>
      <c r="DG31" s="281"/>
      <c r="DH31" s="281"/>
      <c r="DI31" s="281"/>
      <c r="DJ31" s="281"/>
      <c r="DK31" s="281"/>
    </row>
    <row r="32" spans="1:115" ht="15" customHeight="1" x14ac:dyDescent="0.25">
      <c r="A32" s="89">
        <f>IF('Alternative 1'!F33&gt;0,'Alternative 1'!F33,"x")</f>
        <v>30</v>
      </c>
      <c r="B32" s="89">
        <f t="shared" si="17"/>
        <v>7</v>
      </c>
      <c r="C32" s="89">
        <f t="shared" si="12"/>
        <v>3.5</v>
      </c>
      <c r="D32" s="89">
        <f t="shared" si="13"/>
        <v>30</v>
      </c>
      <c r="E32" s="74">
        <f>IF($A32&lt;='Alternative 1'!$B$27, IF($A32='Alternative 1'!$B$27,0,E33+1),0)</f>
        <v>0</v>
      </c>
      <c r="F32" s="74">
        <f>IF($A32&lt;=('Alternative 1'!$B$28), IF($A32=ROUNDDOWN('Alternative 1'!$B$28,0),0,F33+1),0)</f>
        <v>0</v>
      </c>
      <c r="G32" s="74">
        <f>IF($A32&lt;=('Alternative 1'!$B$29), IF($A32=ROUNDDOWN('Alternative 1'!$B$29,0),0,G33+1),0)</f>
        <v>0</v>
      </c>
      <c r="H32" s="89">
        <f t="shared" si="14"/>
        <v>7</v>
      </c>
      <c r="J32" s="77">
        <f t="shared" si="15"/>
        <v>29</v>
      </c>
      <c r="K32" s="77">
        <f t="shared" si="16"/>
        <v>0.50614548307835561</v>
      </c>
      <c r="L32" s="78">
        <f>'Alternative 1'!$B$27*SIN(K32)+'Alternative 1'!$B$28*SIN(K32)+'Alternative 1'!$B$29*SIN(K32)</f>
        <v>32.967054176750921</v>
      </c>
      <c r="M32" s="77">
        <f>(('Alternative 1'!$B$27)*(((('Alternative 1'!$B$28-'Alternative 1'!$B$27)/2)+'Alternative 1'!$B$27)*'Alternative 1'!$B$39)*COS('Alternative 1-Tilt Up'!K32))+(('Alternative 1'!$B$28)*((('Alternative 1'!$B$28-'Alternative 1'!$B$27)/2)+(('Alternative 1'!$B$29-'Alternative 1'!$B$28)/2))*('Alternative 1'!$B$39)*COS('Alternative 1-Tilt Up'!K32))+(('Alternative 1'!$B$29)*((('Alternative 1'!$B$12-'Alternative 1'!$B$29+(('Alternative 1'!$B$29-'Alternative 1'!$B$28)/2)*('Alternative 1'!$B$39)*COS('Alternative 1-Tilt Up'!K32)))))</f>
        <v>4151067.9860003474</v>
      </c>
      <c r="N32" s="82">
        <f t="shared" si="0"/>
        <v>377746.94369821221</v>
      </c>
      <c r="O32" s="77">
        <f>(((('Alternative 1'!$B$28-'Alternative 1'!$B$27)/2)+'Alternative 1'!$B$27)*('Alternative 1'!$B$39)*COS('Alternative 1-Tilt Up'!K32))+(((('Alternative 1'!$B$28-'Alternative 1'!$B$27)/2)+(('Alternative 1'!$B$29-'Alternative 1'!$B$28)/2))*('Alternative 1'!$B$39)*COS('Alternative 1-Tilt Up'!K32))+(((('Alternative 1'!$B$12-'Alternative 1'!$B$29)+(('Alternative 1'!$B$29-'Alternative 1'!$B$28)/2))*('Alternative 1'!$B$39)*COS('Alternative 1-Tilt Up'!K32)))</f>
        <v>267738.50308190676</v>
      </c>
      <c r="P32" s="77">
        <f t="shared" si="1"/>
        <v>330384.92127013218</v>
      </c>
      <c r="R32" s="78">
        <f>'Alternative 1'!$B$39*$B32*$C32*COS($K$5)-($N$5/3)*$E32*SIN($K$5)-($N$5/3)*$F32*SIN($K$5)-($N$5/3)*$G32*SIN($K$5)</f>
        <v>208204.69313611049</v>
      </c>
      <c r="S32" s="79">
        <f>IF(($A32&lt;'Alternative 1'!$B$27),(($H32*'Alternative 1'!$B$39)+(3*($N$5/3)*COS($K$5))),IF(($A32&lt;'Alternative 1'!$B$28),(($H32*'Alternative 1'!$B$39)+(2*(($N$5/3)*COS($K$5)))),IF(($A32&lt;'Alternative 1'!$B$29),(($H$3*'Alternative 1'!$B$39+(($N$5/3)*COS($K$5)))),($H32*'Alternative 1'!$B$39))))</f>
        <v>59523.315177085584</v>
      </c>
      <c r="T32" s="78">
        <f>R32*'Alternative 1'!$K33/'Alternative 1'!$L33</f>
        <v>5742022.2662431486</v>
      </c>
      <c r="U32" s="78">
        <f>S32/'Alternative 1'!$M33</f>
        <v>32831.524552058392</v>
      </c>
      <c r="V32" s="78">
        <f t="shared" si="2"/>
        <v>5.7748537907952073</v>
      </c>
      <c r="X32" s="78">
        <f>'Alternative 1'!$B$39*$B32*$C32*COS($K$13)-($N$12/3)*$E32*SIN($K$13)-($N$12/3)*$F32*SIN($K$13)-($N$12/3)*$G32*SIN($K$13)</f>
        <v>205166.5779498409</v>
      </c>
      <c r="Y32" s="79">
        <f>IF(($A32&lt;'Alternative 1'!$B$27),(($H32*'Alternative 1'!$B$39)+(3*($N$12/3)*COS($K$13))),IF(($A32&lt;'Alternative 1'!$B$28),(($H32*'Alternative 1'!$B$39)+(2*(($N$12/3)*COS($K$13)))),IF(($A32&lt;'Alternative 1'!$B$29),(($H$3*'Alternative 1'!$B$39+(($N$12/3)*COS($K$13)))),($H32*'Alternative 1'!$B$39))))</f>
        <v>59523.315177085584</v>
      </c>
      <c r="Z32" s="78">
        <f>X32*'Alternative 1'!$K33/'Alternative 1'!$L33</f>
        <v>5658234.8895793241</v>
      </c>
      <c r="AA32" s="78">
        <f>Y32/'Alternative 1'!$M33</f>
        <v>32831.524552058392</v>
      </c>
      <c r="AB32" s="78">
        <f t="shared" si="3"/>
        <v>5.6910664141313827</v>
      </c>
      <c r="AD32" s="78">
        <f>'Alternative 1'!$B$39*$B32*$C32*COS($K$23)-($N$22/3)*$E32*SIN($K$23)-($N$22/3)*$F32*SIN($K$23)-($N$22/3)*$G32*SIN($K$23)</f>
        <v>195767.67012817418</v>
      </c>
      <c r="AE32" s="79">
        <f>IF(($A32&lt;'Alternative 1'!$B$27),(($H32*'Alternative 1'!$B$39)+(3*($N$22/3)*COS($K$23))),IF(($A32&lt;'Alternative 1'!$B$28),(($H32*'Alternative 1'!$B$39)+(2*(($N$22/3)*COS($K$23)))),IF(($A32&lt;'Alternative 1'!$B$29),(($H$3*'Alternative 1'!$B$39+(($N$22/3)*COS($K$23)))),($H32*'Alternative 1'!$B$39))))</f>
        <v>59523.315177085584</v>
      </c>
      <c r="AF32" s="78">
        <f>AD32*'Alternative 1'!$K33/'Alternative 1'!$L33</f>
        <v>5399024.8920645416</v>
      </c>
      <c r="AG32" s="78">
        <f>AE32/'Alternative 1'!$M33</f>
        <v>32831.524552058392</v>
      </c>
      <c r="AH32" s="78">
        <f t="shared" si="4"/>
        <v>5.4318564166165997</v>
      </c>
      <c r="AJ32" s="78">
        <f>'Alternative 1'!$B$39*$B32*$C32*COS($K$33)-($N$32/3)*$E32*SIN($K$33)-($N$32/3)*$F32*SIN($K$33)-($N$32/3)*$G32*SIN($K$33)</f>
        <v>180420.46071288383</v>
      </c>
      <c r="AK32" s="79">
        <f>IF(($A32&lt;'Alternative 1'!$B$27),(($H32*'Alternative 1'!$B$39)+(3*($N$32/3)*COS($K$33))),IF(($A32&lt;'Alternative 1'!$B$28),(($H32*'Alternative 1'!$B$39)+(2*(($N$32/3)*COS($K$33)))),IF(($A32&lt;'Alternative 1'!$B$29),(($H$3*'Alternative 1'!$B$39+(($N$32/3)*COS($K$33)))),($H32*'Alternative 1'!$B$39))))</f>
        <v>59523.315177085584</v>
      </c>
      <c r="AL32" s="78">
        <f>AJ32*'Alternative 1'!$K33/'Alternative 1'!$L33</f>
        <v>4975768.2552427957</v>
      </c>
      <c r="AM32" s="78">
        <f>AK32/'Alternative 1'!$M33</f>
        <v>32831.524552058392</v>
      </c>
      <c r="AN32" s="78">
        <f t="shared" si="5"/>
        <v>5.0085997797948538</v>
      </c>
      <c r="AP32" s="78">
        <f>'Alternative 1'!$B$39*$B32*$C32*COS($K$43)-($N$42/3)*$E32*SIN($K$43)-($N$42/3)*$F32*SIN($K$43)-($N$42/3)*$G32*SIN($K$43)</f>
        <v>159591.26689599079</v>
      </c>
      <c r="AQ32" s="79">
        <f>IF(($A32&lt;'Alternative 1'!$B$27),(($H32*'Alternative 1'!$B$39)+(3*($N$42/3)*COS($K$43))),IF(($A32&lt;'Alternative 1'!$B$28),(($H32*'Alternative 1'!$B$39)+(2*(($N$42/3)*COS($K$43)))),IF(($A32&lt;'Alternative 1'!$B$29),(($H$3*'Alternative 1'!$B$39+(($N$42/3)*COS($K$43)))),($H32*'Alternative 1'!$B$39))))</f>
        <v>59523.315177085584</v>
      </c>
      <c r="AR32" s="78">
        <f>AP32*'Alternative 1'!$K33/'Alternative 1'!$L33</f>
        <v>4401325.4178457242</v>
      </c>
      <c r="AS32" s="78">
        <f>AQ32/'Alternative 1'!$M33</f>
        <v>32831.524552058392</v>
      </c>
      <c r="AT32" s="78">
        <f t="shared" si="6"/>
        <v>4.4341569423977827</v>
      </c>
      <c r="AV32" s="78">
        <f>'Alternative 1'!$B$39*$B32*$C32*COS($K$53)-($N$52/3)*$E32*SIN($K$53)-($N$52/3)*$F32*SIN($K$53)-($N$52/3)*$G32*SIN($K$53)</f>
        <v>133912.97319154075</v>
      </c>
      <c r="AW32" s="79">
        <f>IF(($A32&lt;'Alternative 1'!$B$27),(($H32*'Alternative 1'!$B$39)+(3*($N$52/3)*COS($K$53))),IF(($A32&lt;'Alternative 1'!$B$28),(($H32*'Alternative 1'!$B$39)+(2*(($N$52/3)*COS($K$53)))),IF(($A32&lt;'Alternative 1'!$B$29),(($H$3*'Alternative 1'!$B$39+(($N$52/3)*COS($K$53)))),($H32*'Alternative 1'!$B$39))))</f>
        <v>59523.315177085584</v>
      </c>
      <c r="AX32" s="78">
        <f>AV32*'Alternative 1'!$K33/'Alternative 1'!$L33</f>
        <v>3693150.5348055358</v>
      </c>
      <c r="AY32" s="78">
        <f>AW32/'Alternative 1'!$M33</f>
        <v>32831.524552058392</v>
      </c>
      <c r="AZ32" s="78">
        <f t="shared" si="7"/>
        <v>3.7259820593575941</v>
      </c>
      <c r="BB32" s="78">
        <f>'Alternative 1'!$B$39*$B32*$C32*COS($K$63)-($N$62/3)*$E32*SIN($K$63)-($N$62/3)*$F32*SIN($K$63)-($N$62/3)*$G32*SIN($K$63)</f>
        <v>104165.8015598998</v>
      </c>
      <c r="BC32" s="79">
        <f>IF(($A32&lt;'Alternative 1'!$B$27),(($H32*'Alternative 1'!$B$39)+(3*($N$62/3)*COS($K$63))),IF(($A32&lt;'Alternative 1'!$B$28),(($H32*'Alternative 1'!$B$39)+(2*(($N$62/3)*COS($K$63)))),IF(($A32&lt;'Alternative 1'!$B$29),(($H$3*'Alternative 1'!$B$39+(($N$62/3)*COS($K$63)))),($H32*'Alternative 1'!$B$39))))</f>
        <v>59523.315177085584</v>
      </c>
      <c r="BD32" s="78">
        <f>BB32*'Alternative 1'!$K33/'Alternative 1'!$L33</f>
        <v>2872761.1415896234</v>
      </c>
      <c r="BE32" s="78">
        <f>BC32/'Alternative 1'!$M33</f>
        <v>32831.524552058392</v>
      </c>
      <c r="BF32" s="78">
        <f t="shared" si="8"/>
        <v>2.9055926661416818</v>
      </c>
      <c r="BH32" s="78">
        <f>'Alternative 1'!$B$39*$B32*$C32*COS($K$73)-($N$72/3)*$E32*SIN($K$73)-($N$72/3)*$F32*SIN($K$73)-($N$72/3)*$G32*SIN($K$73)</f>
        <v>71253.604758300193</v>
      </c>
      <c r="BI32" s="79">
        <f>IF(($A32&lt;'Alternative 1'!$B$27),(($H32*'Alternative 1'!$B$39)+(3*($N$72/3)*COS($K$73))),IF(($A32&lt;'Alternative 1'!$B$28),(($H32*'Alternative 1'!$B$39)+(2*(($N$72/3)*COS($K$73)))),IF(($A32&lt;'Alternative 1'!$B$29),(($H$3*'Alternative 1'!$B$39+(($N$72/3)*COS($K$73)))),($H32*'Alternative 1'!$B$39))))</f>
        <v>59523.315177085584</v>
      </c>
      <c r="BJ32" s="78">
        <f>BH32*'Alternative 1'!$K33/'Alternative 1'!$L33</f>
        <v>1965084.3547737894</v>
      </c>
      <c r="BK32" s="78">
        <f>BI32/'Alternative 1'!$M33</f>
        <v>32831.524552058392</v>
      </c>
      <c r="BL32" s="78">
        <f t="shared" si="9"/>
        <v>1.9979158793258478</v>
      </c>
      <c r="BN32" s="78">
        <f>'Alternative 1'!$B$39*$B32*$C32*COS($K$83)-($N$82/3)*$E32*SIN($K$83)-($N$82/3)*$F32*SIN($K$83)-($N$82/3)*$G32*SIN($K$83)</f>
        <v>36176.403232183387</v>
      </c>
      <c r="BO32" s="79">
        <f>IF(($A32&lt;'Alternative 1'!$B$27),(($H32*'Alternative 1'!$B$39)+(3*($N$82/3)*COS($K$83))),IF(($A32&lt;'Alternative 1'!$B$28),(($H32*'Alternative 1'!$B$39)+(2*(($N$82/3)*COS($K$83)))),IF(($A32&lt;'Alternative 1'!$B$29),(($H$3*'Alternative 1'!$B$39+(($N$82/3)*COS($K$83)))),($H32*'Alternative 1'!$B$39))))</f>
        <v>59523.315177085584</v>
      </c>
      <c r="BP32" s="78">
        <f>BN32*'Alternative 1'!$K33/'Alternative 1'!$L33</f>
        <v>997699.47421881731</v>
      </c>
      <c r="BQ32" s="78">
        <f>BO32/'Alternative 1'!$M33</f>
        <v>32831.524552058392</v>
      </c>
      <c r="BR32" s="78">
        <f t="shared" si="10"/>
        <v>1.0305309987708757</v>
      </c>
      <c r="BT32" s="78">
        <f>'Alternative 1'!$B$39*$B32*$C32*COS($K$93)-($K$92/3)*$E32*SIN($K$93)-($K$92/3)*$F32*SIN($K$93)-($K$92/3)*$G32*SIN($K$93)</f>
        <v>1.2761857083542913E-11</v>
      </c>
      <c r="BU32" s="79">
        <f>IF(($A32&lt;'Alternative 1'!$B$27),(($H32*'Alternative 1'!$B$39)+(3*($N$92/3)*COS($K$93))),IF(($A32&lt;'Alternative 1'!$B$28),(($H32*'Alternative 1'!$B$39)+(2*(($N$92/3)*COS($K$93)))),IF(($A32&lt;'Alternative 1'!$B$29),(($H$3*'Alternative 1'!$B$39+(($N$92/3)*COS($K$93)))),($H32*'Alternative 1'!$B$39))))</f>
        <v>59523.315177085584</v>
      </c>
      <c r="BV32" s="78">
        <f>BT32*'Alternative 1'!$K33/'Alternative 1'!$L33</f>
        <v>3.5195588739400495E-10</v>
      </c>
      <c r="BW32" s="78">
        <f>BU32/'Alternative 1'!$M33</f>
        <v>32831.524552058392</v>
      </c>
      <c r="BX32" s="78">
        <f t="shared" si="11"/>
        <v>3.283152455205874E-2</v>
      </c>
      <c r="BZ32" s="77">
        <v>150</v>
      </c>
      <c r="CA32" s="77">
        <v>-150</v>
      </c>
      <c r="CB32" s="281"/>
      <c r="CC32" s="281"/>
      <c r="CD32" s="281"/>
      <c r="CE32" s="281"/>
      <c r="CF32" s="281"/>
      <c r="CG32" s="281"/>
      <c r="CH32" s="281"/>
      <c r="CI32" s="281"/>
      <c r="CJ32" s="281"/>
      <c r="CK32" s="281"/>
      <c r="CL32" s="281"/>
      <c r="CM32" s="281"/>
      <c r="CN32" s="281"/>
      <c r="CO32" s="281"/>
      <c r="CP32" s="281"/>
      <c r="CQ32" s="281"/>
      <c r="CR32" s="281"/>
      <c r="CS32" s="281"/>
      <c r="CT32" s="281"/>
      <c r="CU32" s="281"/>
      <c r="CV32" s="281"/>
      <c r="CW32" s="281"/>
      <c r="CX32" s="281"/>
      <c r="CY32" s="281"/>
      <c r="CZ32" s="281"/>
      <c r="DA32" s="281"/>
      <c r="DB32" s="281"/>
      <c r="DC32" s="281"/>
      <c r="DD32" s="281"/>
      <c r="DE32" s="281"/>
      <c r="DF32" s="281"/>
      <c r="DG32" s="281"/>
      <c r="DH32" s="281"/>
      <c r="DI32" s="281"/>
      <c r="DJ32" s="281"/>
      <c r="DK32" s="281"/>
    </row>
    <row r="33" spans="1:115" ht="15" customHeight="1" x14ac:dyDescent="0.25">
      <c r="A33" s="89">
        <f>IF('Alternative 1'!F34&gt;0,'Alternative 1'!F34,"x")</f>
        <v>31</v>
      </c>
      <c r="B33" s="89">
        <f t="shared" si="17"/>
        <v>6</v>
      </c>
      <c r="C33" s="89">
        <f t="shared" si="12"/>
        <v>3</v>
      </c>
      <c r="D33" s="89">
        <f t="shared" si="13"/>
        <v>31</v>
      </c>
      <c r="E33" s="74">
        <f>IF($A33&lt;='Alternative 1'!$B$27, IF($A33='Alternative 1'!$B$27,0,E34+1),0)</f>
        <v>0</v>
      </c>
      <c r="F33" s="74">
        <f>IF($A33&lt;=('Alternative 1'!$B$28), IF($A33=ROUNDDOWN('Alternative 1'!$B$28,0),0,F34+1),0)</f>
        <v>0</v>
      </c>
      <c r="G33" s="74">
        <f>IF($A33&lt;=('Alternative 1'!$B$29), IF($A33=ROUNDDOWN('Alternative 1'!$B$29,0),0,G34+1),0)</f>
        <v>0</v>
      </c>
      <c r="H33" s="89">
        <f t="shared" si="14"/>
        <v>6</v>
      </c>
      <c r="J33" s="77">
        <f t="shared" si="15"/>
        <v>30</v>
      </c>
      <c r="K33" s="82">
        <f t="shared" si="16"/>
        <v>0.52359877559829882</v>
      </c>
      <c r="L33" s="78">
        <f>'Alternative 1'!$B$27*SIN(K33)+'Alternative 1'!$B$28*SIN(K33)+'Alternative 1'!$B$29*SIN(K33)</f>
        <v>33.999999999999993</v>
      </c>
      <c r="M33" s="77">
        <f>(('Alternative 1'!$B$27)*(((('Alternative 1'!$B$28-'Alternative 1'!$B$27)/2)+'Alternative 1'!$B$27)*'Alternative 1'!$B$39)*COS('Alternative 1-Tilt Up'!K33))+(('Alternative 1'!$B$28)*((('Alternative 1'!$B$28-'Alternative 1'!$B$27)/2)+(('Alternative 1'!$B$29-'Alternative 1'!$B$28)/2))*('Alternative 1'!$B$39)*COS('Alternative 1-Tilt Up'!K33))+(('Alternative 1'!$B$29)*((('Alternative 1'!$B$12-'Alternative 1'!$B$29+(('Alternative 1'!$B$29-'Alternative 1'!$B$28)/2)*('Alternative 1'!$B$39)*COS('Alternative 1-Tilt Up'!K33)))))</f>
        <v>4110280.1373908115</v>
      </c>
      <c r="N33" s="77">
        <f t="shared" si="0"/>
        <v>362671.77682860108</v>
      </c>
      <c r="O33" s="77">
        <f>(((('Alternative 1'!$B$28-'Alternative 1'!$B$27)/2)+'Alternative 1'!$B$27)*('Alternative 1'!$B$39)*COS('Alternative 1-Tilt Up'!K33))+(((('Alternative 1'!$B$28-'Alternative 1'!$B$27)/2)+(('Alternative 1'!$B$29-'Alternative 1'!$B$28)/2))*('Alternative 1'!$B$39)*COS('Alternative 1-Tilt Up'!K33))+(((('Alternative 1'!$B$12-'Alternative 1'!$B$29)+(('Alternative 1'!$B$29-'Alternative 1'!$B$28)/2))*('Alternative 1'!$B$39)*COS('Alternative 1-Tilt Up'!K33)))</f>
        <v>265107.61574138032</v>
      </c>
      <c r="P33" s="82">
        <f t="shared" si="1"/>
        <v>314082.97196920909</v>
      </c>
      <c r="R33" s="78">
        <f>'Alternative 1'!$B$39*$B33*$C33*COS($K$5)-($N$5/3)*$E33*SIN($K$5)-($N$5/3)*$F33*SIN($K$5)-($N$5/3)*$G33*SIN($K$5)</f>
        <v>152966.71332448936</v>
      </c>
      <c r="S33" s="79">
        <f>IF(($A33&lt;'Alternative 1'!$B$27),(($H33*'Alternative 1'!$B$39)+(3*($N$5/3)*COS($K$5))),IF(($A33&lt;'Alternative 1'!$B$28),(($H33*'Alternative 1'!$B$39)+(2*(($N$5/3)*COS($K$5)))),IF(($A33&lt;'Alternative 1'!$B$29),(($H$3*'Alternative 1'!$B$39+(($N$5/3)*COS($K$5)))),($H33*'Alternative 1'!$B$39))))</f>
        <v>51019.984437501931</v>
      </c>
      <c r="T33" s="78">
        <f>R33*'Alternative 1'!$K34/'Alternative 1'!$L34</f>
        <v>4331284.0520286094</v>
      </c>
      <c r="U33" s="78">
        <f>S33/'Alternative 1'!$M34</f>
        <v>28892.800152912245</v>
      </c>
      <c r="V33" s="78">
        <f t="shared" si="2"/>
        <v>4.360176852181521</v>
      </c>
      <c r="X33" s="78">
        <f>'Alternative 1'!$B$39*$B33*$C33*COS($K$13)-($N$12/3)*$E33*SIN($K$13)-($N$12/3)*$F33*SIN($K$13)-($N$12/3)*$G33*SIN($K$13)</f>
        <v>150734.6286978423</v>
      </c>
      <c r="Y33" s="79">
        <f>IF(($A33&lt;'Alternative 1'!$B$27),(($H33*'Alternative 1'!$B$39)+(3*($N$12/3)*COS($K$13))),IF(($A33&lt;'Alternative 1'!$B$28),(($H33*'Alternative 1'!$B$39)+(2*(($N$12/3)*COS($K$13)))),IF(($A33&lt;'Alternative 1'!$B$29),(($H$3*'Alternative 1'!$B$39+(($N$12/3)*COS($K$13)))),($H33*'Alternative 1'!$B$39))))</f>
        <v>51019.984437501931</v>
      </c>
      <c r="Z33" s="78">
        <f>X33*'Alternative 1'!$K34/'Alternative 1'!$L34</f>
        <v>4268082.1152407909</v>
      </c>
      <c r="AA33" s="78">
        <f>Y33/'Alternative 1'!$M34</f>
        <v>28892.800152912245</v>
      </c>
      <c r="AB33" s="78">
        <f t="shared" si="3"/>
        <v>4.2969749153937027</v>
      </c>
      <c r="AD33" s="78">
        <f>'Alternative 1'!$B$39*$B33*$C33*COS($K$23)-($N$22/3)*$E33*SIN($K$23)-($N$22/3)*$F33*SIN($K$23)-($N$22/3)*$G33*SIN($K$23)</f>
        <v>143829.30866559735</v>
      </c>
      <c r="AE33" s="79">
        <f>IF(($A33&lt;'Alternative 1'!$B$27),(($H33*'Alternative 1'!$B$39)+(3*($N$22/3)*COS($K$23))),IF(($A33&lt;'Alternative 1'!$B$28),(($H33*'Alternative 1'!$B$39)+(2*(($N$22/3)*COS($K$23)))),IF(($A33&lt;'Alternative 1'!$B$29),(($H$3*'Alternative 1'!$B$39+(($N$22/3)*COS($K$23)))),($H33*'Alternative 1'!$B$39))))</f>
        <v>51019.984437501931</v>
      </c>
      <c r="AF33" s="78">
        <f>AD33*'Alternative 1'!$K34/'Alternative 1'!$L34</f>
        <v>4072556.5536346505</v>
      </c>
      <c r="AG33" s="78">
        <f>AE33/'Alternative 1'!$M34</f>
        <v>28892.800152912245</v>
      </c>
      <c r="AH33" s="78">
        <f t="shared" si="4"/>
        <v>4.1014493537875625</v>
      </c>
      <c r="AJ33" s="78">
        <f>'Alternative 1'!$B$39*$B33*$C33*COS($K$33)-($N$32/3)*$E33*SIN($K$33)-($N$32/3)*$F33*SIN($K$33)-($N$32/3)*$G33*SIN($K$33)</f>
        <v>132553.80787069016</v>
      </c>
      <c r="AK33" s="79">
        <f>IF(($A33&lt;'Alternative 1'!$B$27),(($H33*'Alternative 1'!$B$39)+(3*($N$32/3)*COS($K$33))),IF(($A33&lt;'Alternative 1'!$B$28),(($H33*'Alternative 1'!$B$39)+(2*(($N$32/3)*COS($K$33)))),IF(($A33&lt;'Alternative 1'!$B$29),(($H$3*'Alternative 1'!$B$39+(($N$32/3)*COS($K$33)))),($H33*'Alternative 1'!$B$39))))</f>
        <v>51019.984437501931</v>
      </c>
      <c r="AL33" s="78">
        <f>AJ33*'Alternative 1'!$K34/'Alternative 1'!$L34</f>
        <v>3753288.4219593736</v>
      </c>
      <c r="AM33" s="78">
        <f>AK33/'Alternative 1'!$M34</f>
        <v>28892.800152912245</v>
      </c>
      <c r="AN33" s="78">
        <f t="shared" si="5"/>
        <v>3.7821812221122859</v>
      </c>
      <c r="AP33" s="78">
        <f>'Alternative 1'!$B$39*$B33*$C33*COS($K$43)-($N$42/3)*$E33*SIN($K$43)-($N$42/3)*$F33*SIN($K$43)-($N$42/3)*$G33*SIN($K$43)</f>
        <v>117250.72669909528</v>
      </c>
      <c r="AQ33" s="79">
        <f>IF(($A33&lt;'Alternative 1'!$B$27),(($H33*'Alternative 1'!$B$39)+(3*($N$42/3)*COS($K$43))),IF(($A33&lt;'Alternative 1'!$B$28),(($H33*'Alternative 1'!$B$39)+(2*(($N$42/3)*COS($K$43)))),IF(($A33&lt;'Alternative 1'!$B$29),(($H$3*'Alternative 1'!$B$39+(($N$42/3)*COS($K$43)))),($H33*'Alternative 1'!$B$39))))</f>
        <v>51019.984437501931</v>
      </c>
      <c r="AR33" s="78">
        <f>AP33*'Alternative 1'!$K34/'Alternative 1'!$L34</f>
        <v>3319978.5208384437</v>
      </c>
      <c r="AS33" s="78">
        <f>AQ33/'Alternative 1'!$M34</f>
        <v>28892.800152912245</v>
      </c>
      <c r="AT33" s="78">
        <f t="shared" si="6"/>
        <v>3.3488713209913561</v>
      </c>
      <c r="AV33" s="78">
        <f>'Alternative 1'!$B$39*$B33*$C33*COS($K$53)-($N$52/3)*$E33*SIN($K$53)-($N$52/3)*$F33*SIN($K$53)-($N$52/3)*$G33*SIN($K$53)</f>
        <v>98385.041528478905</v>
      </c>
      <c r="AW33" s="79">
        <f>IF(($A33&lt;'Alternative 1'!$B$27),(($H33*'Alternative 1'!$B$39)+(3*($N$52/3)*COS($K$53))),IF(($A33&lt;'Alternative 1'!$B$28),(($H33*'Alternative 1'!$B$39)+(2*(($N$52/3)*COS($K$53)))),IF(($A33&lt;'Alternative 1'!$B$29),(($H$3*'Alternative 1'!$B$39+(($N$52/3)*COS($K$53)))),($H33*'Alternative 1'!$B$39))))</f>
        <v>51019.984437501931</v>
      </c>
      <c r="AX33" s="78">
        <f>AV33*'Alternative 1'!$K34/'Alternative 1'!$L34</f>
        <v>2785792.7523520296</v>
      </c>
      <c r="AY33" s="78">
        <f>AW33/'Alternative 1'!$M34</f>
        <v>28892.800152912245</v>
      </c>
      <c r="AZ33" s="78">
        <f t="shared" si="7"/>
        <v>2.8146855525049417</v>
      </c>
      <c r="BB33" s="78">
        <f>'Alternative 1'!$B$39*$B33*$C33*COS($K$63)-($N$62/3)*$E33*SIN($K$63)-($N$62/3)*$F33*SIN($K$63)-($N$62/3)*$G33*SIN($K$63)</f>
        <v>76529.976656252911</v>
      </c>
      <c r="BC33" s="79">
        <f>IF(($A33&lt;'Alternative 1'!$B$27),(($H33*'Alternative 1'!$B$39)+(3*($N$62/3)*COS($K$63))),IF(($A33&lt;'Alternative 1'!$B$28),(($H33*'Alternative 1'!$B$39)+(2*(($N$62/3)*COS($K$63)))),IF(($A33&lt;'Alternative 1'!$B$29),(($H$3*'Alternative 1'!$B$39+(($N$62/3)*COS($K$63)))),($H33*'Alternative 1'!$B$39))))</f>
        <v>51019.984437501931</v>
      </c>
      <c r="BD33" s="78">
        <f>BB33*'Alternative 1'!$K34/'Alternative 1'!$L34</f>
        <v>2166962.0807645503</v>
      </c>
      <c r="BE33" s="78">
        <f>BC33/'Alternative 1'!$M34</f>
        <v>28892.800152912245</v>
      </c>
      <c r="BF33" s="78">
        <f t="shared" si="8"/>
        <v>2.1958548809174627</v>
      </c>
      <c r="BH33" s="78">
        <f>'Alternative 1'!$B$39*$B33*$C33*COS($K$73)-($N$72/3)*$E33*SIN($K$73)-($N$72/3)*$F33*SIN($K$73)-($N$72/3)*$G33*SIN($K$73)</f>
        <v>52349.587169363411</v>
      </c>
      <c r="BI33" s="79">
        <f>IF(($A33&lt;'Alternative 1'!$B$27),(($H33*'Alternative 1'!$B$39)+(3*($N$72/3)*COS($K$73))),IF(($A33&lt;'Alternative 1'!$B$28),(($H33*'Alternative 1'!$B$39)+(2*(($N$72/3)*COS($K$73)))),IF(($A33&lt;'Alternative 1'!$B$29),(($H$3*'Alternative 1'!$B$39+(($N$72/3)*COS($K$73)))),($H33*'Alternative 1'!$B$39))))</f>
        <v>51019.984437501931</v>
      </c>
      <c r="BJ33" s="78">
        <f>BH33*'Alternative 1'!$K34/'Alternative 1'!$L34</f>
        <v>1482289.3628887618</v>
      </c>
      <c r="BK33" s="78">
        <f>BI33/'Alternative 1'!$M34</f>
        <v>28892.800152912245</v>
      </c>
      <c r="BL33" s="78">
        <f t="shared" si="9"/>
        <v>1.511182163041674</v>
      </c>
      <c r="BN33" s="78">
        <f>'Alternative 1'!$B$39*$B33*$C33*COS($K$83)-($N$82/3)*$E33*SIN($K$83)-($N$82/3)*$F33*SIN($K$83)-($N$82/3)*$G33*SIN($K$83)</f>
        <v>26578.581966502079</v>
      </c>
      <c r="BO33" s="79">
        <f>IF(($A33&lt;'Alternative 1'!$B$27),(($H33*'Alternative 1'!$B$39)+(3*($N$82/3)*COS($K$83))),IF(($A33&lt;'Alternative 1'!$B$28),(($H33*'Alternative 1'!$B$39)+(2*(($N$82/3)*COS($K$83)))),IF(($A33&lt;'Alternative 1'!$B$29),(($H$3*'Alternative 1'!$B$39+(($N$82/3)*COS($K$83)))),($H33*'Alternative 1'!$B$39))))</f>
        <v>51019.984437501931</v>
      </c>
      <c r="BP33" s="78">
        <f>BN33*'Alternative 1'!$K34/'Alternative 1'!$L34</f>
        <v>752578.03279620747</v>
      </c>
      <c r="BQ33" s="78">
        <f>BO33/'Alternative 1'!$M34</f>
        <v>28892.800152912245</v>
      </c>
      <c r="BR33" s="78">
        <f t="shared" si="10"/>
        <v>0.78147083294911979</v>
      </c>
      <c r="BT33" s="78">
        <f>'Alternative 1'!$B$39*$B33*$C33*COS($K$93)-($K$92/3)*$E33*SIN($K$93)-($K$92/3)*$F33*SIN($K$93)-($K$92/3)*$G33*SIN($K$93)</f>
        <v>9.3760582654600995E-12</v>
      </c>
      <c r="BU33" s="79">
        <f>IF(($A33&lt;'Alternative 1'!$B$27),(($H33*'Alternative 1'!$B$39)+(3*($N$92/3)*COS($K$93))),IF(($A33&lt;'Alternative 1'!$B$28),(($H33*'Alternative 1'!$B$39)+(2*(($N$92/3)*COS($K$93)))),IF(($A33&lt;'Alternative 1'!$B$29),(($H$3*'Alternative 1'!$B$39+(($N$92/3)*COS($K$93)))),($H33*'Alternative 1'!$B$39))))</f>
        <v>51019.984437501931</v>
      </c>
      <c r="BV33" s="78">
        <f>BT33*'Alternative 1'!$K34/'Alternative 1'!$L34</f>
        <v>2.654850245094257E-10</v>
      </c>
      <c r="BW33" s="78">
        <f>BU33/'Alternative 1'!$M34</f>
        <v>28892.800152912245</v>
      </c>
      <c r="BX33" s="78">
        <f t="shared" si="11"/>
        <v>2.8892800152912509E-2</v>
      </c>
      <c r="BZ33" s="77">
        <v>150</v>
      </c>
      <c r="CA33" s="77">
        <v>-150</v>
      </c>
      <c r="CB33" s="281"/>
      <c r="CC33" s="281"/>
      <c r="CD33" s="281"/>
      <c r="CE33" s="281"/>
      <c r="CF33" s="281"/>
      <c r="CG33" s="281"/>
      <c r="CH33" s="281"/>
      <c r="CI33" s="281"/>
      <c r="CJ33" s="281"/>
      <c r="CK33" s="281"/>
      <c r="CL33" s="281"/>
      <c r="CM33" s="281"/>
      <c r="CN33" s="281"/>
      <c r="CO33" s="281"/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1"/>
      <c r="DA33" s="281"/>
      <c r="DB33" s="281"/>
      <c r="DC33" s="281"/>
      <c r="DD33" s="281"/>
      <c r="DE33" s="281"/>
      <c r="DF33" s="281"/>
      <c r="DG33" s="281"/>
      <c r="DH33" s="281"/>
      <c r="DI33" s="281"/>
      <c r="DJ33" s="281"/>
      <c r="DK33" s="281"/>
    </row>
    <row r="34" spans="1:115" ht="15" customHeight="1" x14ac:dyDescent="0.25">
      <c r="A34" s="89">
        <f>IF('Alternative 1'!F35&gt;0,'Alternative 1'!F35,"x")</f>
        <v>32</v>
      </c>
      <c r="B34" s="89">
        <f t="shared" si="17"/>
        <v>5</v>
      </c>
      <c r="C34" s="89">
        <f t="shared" si="12"/>
        <v>2.5</v>
      </c>
      <c r="D34" s="89">
        <f t="shared" si="13"/>
        <v>32</v>
      </c>
      <c r="E34" s="74">
        <f>IF($A34&lt;='Alternative 1'!$B$27, IF($A34='Alternative 1'!$B$27,0,E35+1),0)</f>
        <v>0</v>
      </c>
      <c r="F34" s="74">
        <f>IF($A34&lt;=('Alternative 1'!$B$28), IF($A34=ROUNDDOWN('Alternative 1'!$B$28,0),0,F35+1),0)</f>
        <v>0</v>
      </c>
      <c r="G34" s="74">
        <f>IF($A34&lt;=('Alternative 1'!$B$29), IF($A34=ROUNDDOWN('Alternative 1'!$B$29,0),0,G35+1),0)</f>
        <v>0</v>
      </c>
      <c r="H34" s="89">
        <f t="shared" si="14"/>
        <v>5</v>
      </c>
      <c r="J34" s="77">
        <f t="shared" si="15"/>
        <v>31</v>
      </c>
      <c r="K34" s="77">
        <f t="shared" si="16"/>
        <v>0.54105206811824214</v>
      </c>
      <c r="L34" s="78">
        <f>'Alternative 1'!$B$27*SIN(K34)+'Alternative 1'!$B$28*SIN(K34)+'Alternative 1'!$B$29*SIN(K34)</f>
        <v>35.022589093883681</v>
      </c>
      <c r="M34" s="77">
        <f>(('Alternative 1'!$B$27)*(((('Alternative 1'!$B$28-'Alternative 1'!$B$27)/2)+'Alternative 1'!$B$27)*'Alternative 1'!$B$39)*COS('Alternative 1-Tilt Up'!K34))+(('Alternative 1'!$B$28)*((('Alternative 1'!$B$28-'Alternative 1'!$B$27)/2)+(('Alternative 1'!$B$29-'Alternative 1'!$B$28)/2))*('Alternative 1'!$B$39)*COS('Alternative 1-Tilt Up'!K34))+(('Alternative 1'!$B$29)*((('Alternative 1'!$B$12-'Alternative 1'!$B$29+(('Alternative 1'!$B$29-'Alternative 1'!$B$28)/2)*('Alternative 1'!$B$39)*COS('Alternative 1-Tilt Up'!K34)))))</f>
        <v>4068240.3172253761</v>
      </c>
      <c r="N34" s="77">
        <f t="shared" si="0"/>
        <v>348481.40207337076</v>
      </c>
      <c r="O34" s="77">
        <f>(((('Alternative 1'!$B$28-'Alternative 1'!$B$27)/2)+'Alternative 1'!$B$27)*('Alternative 1'!$B$39)*COS('Alternative 1-Tilt Up'!K34))+(((('Alternative 1'!$B$28-'Alternative 1'!$B$27)/2)+(('Alternative 1'!$B$29-'Alternative 1'!$B$28)/2))*('Alternative 1'!$B$39)*COS('Alternative 1-Tilt Up'!K34))+(((('Alternative 1'!$B$12-'Alternative 1'!$B$29)+(('Alternative 1'!$B$29-'Alternative 1'!$B$28)/2))*('Alternative 1'!$B$39)*COS('Alternative 1-Tilt Up'!K34)))</f>
        <v>262395.97405294381</v>
      </c>
      <c r="P34" s="77">
        <f t="shared" si="1"/>
        <v>298706.86276011873</v>
      </c>
      <c r="R34" s="78">
        <f>'Alternative 1'!$B$39*$B34*$C34*COS($K$5)-($N$5/3)*$E34*SIN($K$5)-($N$5/3)*$F34*SIN($K$5)-($N$5/3)*$G34*SIN($K$5)</f>
        <v>106226.88425311761</v>
      </c>
      <c r="S34" s="79">
        <f>IF(($A34&lt;'Alternative 1'!$B$27),(($H34*'Alternative 1'!$B$39)+(3*($N$5/3)*COS($K$5))),IF(($A34&lt;'Alternative 1'!$B$28),(($H34*'Alternative 1'!$B$39)+(2*(($N$5/3)*COS($K$5)))),IF(($A34&lt;'Alternative 1'!$B$29),(($H$3*'Alternative 1'!$B$39+(($N$5/3)*COS($K$5)))),($H34*'Alternative 1'!$B$39))))</f>
        <v>42516.653697918271</v>
      </c>
      <c r="T34" s="78">
        <f>R34*'Alternative 1'!$K35/'Alternative 1'!$L35</f>
        <v>3089245.1893918416</v>
      </c>
      <c r="U34" s="78">
        <f>S34/'Alternative 1'!$M35</f>
        <v>24729.002155000053</v>
      </c>
      <c r="V34" s="78">
        <f t="shared" si="2"/>
        <v>3.1139741915468417</v>
      </c>
      <c r="X34" s="78">
        <f>'Alternative 1'!$B$39*$B34*$C34*COS($K$13)-($N$12/3)*$E34*SIN($K$13)-($N$12/3)*$F34*SIN($K$13)-($N$12/3)*$G34*SIN($K$13)</f>
        <v>104676.82548461269</v>
      </c>
      <c r="Y34" s="79">
        <f>IF(($A34&lt;'Alternative 1'!$B$27),(($H34*'Alternative 1'!$B$39)+(3*($N$12/3)*COS($K$13))),IF(($A34&lt;'Alternative 1'!$B$28),(($H34*'Alternative 1'!$B$39)+(2*(($N$12/3)*COS($K$13)))),IF(($A34&lt;'Alternative 1'!$B$29),(($H$3*'Alternative 1'!$B$39+(($N$12/3)*COS($K$13)))),($H34*'Alternative 1'!$B$39))))</f>
        <v>42516.653697918271</v>
      </c>
      <c r="Z34" s="78">
        <f>X34*'Alternative 1'!$K35/'Alternative 1'!$L35</f>
        <v>3044167.0377775254</v>
      </c>
      <c r="AA34" s="78">
        <f>Y34/'Alternative 1'!$M35</f>
        <v>24729.002155000053</v>
      </c>
      <c r="AB34" s="78">
        <f t="shared" si="3"/>
        <v>3.0688960399325254</v>
      </c>
      <c r="AD34" s="78">
        <f>'Alternative 1'!$B$39*$B34*$C34*COS($K$23)-($N$22/3)*$E34*SIN($K$23)-($N$22/3)*$F34*SIN($K$23)-($N$22/3)*$G34*SIN($K$23)</f>
        <v>99881.464351109273</v>
      </c>
      <c r="AE34" s="79">
        <f>IF(($A34&lt;'Alternative 1'!$B$27),(($H34*'Alternative 1'!$B$39)+(3*($N$22/3)*COS($K$23))),IF(($A34&lt;'Alternative 1'!$B$28),(($H34*'Alternative 1'!$B$39)+(2*(($N$22/3)*COS($K$23)))),IF(($A34&lt;'Alternative 1'!$B$29),(($H$3*'Alternative 1'!$B$39+(($N$22/3)*COS($K$23)))),($H34*'Alternative 1'!$B$39))))</f>
        <v>42516.653697918271</v>
      </c>
      <c r="AF34" s="78">
        <f>AD34*'Alternative 1'!$K35/'Alternative 1'!$L35</f>
        <v>2904710.3793503321</v>
      </c>
      <c r="AG34" s="78">
        <f>AE34/'Alternative 1'!$M35</f>
        <v>24729.002155000053</v>
      </c>
      <c r="AH34" s="78">
        <f t="shared" si="4"/>
        <v>2.9294393815053321</v>
      </c>
      <c r="AJ34" s="78">
        <f>'Alternative 1'!$B$39*$B34*$C34*COS($K$33)-($N$32/3)*$E34*SIN($K$33)-($N$32/3)*$F34*SIN($K$33)-($N$32/3)*$G34*SIN($K$33)</f>
        <v>92051.255465757058</v>
      </c>
      <c r="AK34" s="79">
        <f>IF(($A34&lt;'Alternative 1'!$B$27),(($H34*'Alternative 1'!$B$39)+(3*($N$32/3)*COS($K$33))),IF(($A34&lt;'Alternative 1'!$B$28),(($H34*'Alternative 1'!$B$39)+(2*(($N$32/3)*COS($K$33)))),IF(($A34&lt;'Alternative 1'!$B$29),(($H$3*'Alternative 1'!$B$39+(($N$32/3)*COS($K$33)))),($H34*'Alternative 1'!$B$39))))</f>
        <v>42516.653697918271</v>
      </c>
      <c r="AL34" s="78">
        <f>AJ34*'Alternative 1'!$K35/'Alternative 1'!$L35</f>
        <v>2676995.5659009516</v>
      </c>
      <c r="AM34" s="78">
        <f>AK34/'Alternative 1'!$M35</f>
        <v>24729.002155000053</v>
      </c>
      <c r="AN34" s="78">
        <f t="shared" si="5"/>
        <v>2.7017245680559516</v>
      </c>
      <c r="AP34" s="78">
        <f>'Alternative 1'!$B$39*$B34*$C34*COS($K$43)-($N$42/3)*$E34*SIN($K$43)-($N$42/3)*$F34*SIN($K$43)-($N$42/3)*$G34*SIN($K$43)</f>
        <v>81424.115763260605</v>
      </c>
      <c r="AQ34" s="79">
        <f>IF(($A34&lt;'Alternative 1'!$B$27),(($H34*'Alternative 1'!$B$39)+(3*($N$42/3)*COS($K$43))),IF(($A34&lt;'Alternative 1'!$B$28),(($H34*'Alternative 1'!$B$39)+(2*(($N$42/3)*COS($K$43)))),IF(($A34&lt;'Alternative 1'!$B$29),(($H$3*'Alternative 1'!$B$39+(($N$42/3)*COS($K$43)))),($H34*'Alternative 1'!$B$39))))</f>
        <v>42516.653697918271</v>
      </c>
      <c r="AR34" s="78">
        <f>AP34*'Alternative 1'!$K35/'Alternative 1'!$L35</f>
        <v>2367941.5968067888</v>
      </c>
      <c r="AS34" s="78">
        <f>AQ34/'Alternative 1'!$M35</f>
        <v>24729.002155000053</v>
      </c>
      <c r="AT34" s="78">
        <f t="shared" si="6"/>
        <v>2.3926705989617889</v>
      </c>
      <c r="AV34" s="78">
        <f>'Alternative 1'!$B$39*$B34*$C34*COS($K$53)-($N$52/3)*$E34*SIN($K$53)-($N$52/3)*$F34*SIN($K$53)-($N$52/3)*$G34*SIN($K$53)</f>
        <v>68322.945505888129</v>
      </c>
      <c r="AW34" s="79">
        <f>IF(($A34&lt;'Alternative 1'!$B$27),(($H34*'Alternative 1'!$B$39)+(3*($N$52/3)*COS($K$53))),IF(($A34&lt;'Alternative 1'!$B$28),(($H34*'Alternative 1'!$B$39)+(2*(($N$52/3)*COS($K$53)))),IF(($A34&lt;'Alternative 1'!$B$29),(($H$3*'Alternative 1'!$B$39+(($N$52/3)*COS($K$53)))),($H34*'Alternative 1'!$B$39))))</f>
        <v>42516.653697918271</v>
      </c>
      <c r="AX34" s="78">
        <f>AV34*'Alternative 1'!$K35/'Alternative 1'!$L35</f>
        <v>1986938.9205299162</v>
      </c>
      <c r="AY34" s="78">
        <f>AW34/'Alternative 1'!$M35</f>
        <v>24729.002155000053</v>
      </c>
      <c r="AZ34" s="78">
        <f t="shared" si="7"/>
        <v>2.0116679226849161</v>
      </c>
      <c r="BB34" s="78">
        <f>'Alternative 1'!$B$39*$B34*$C34*COS($K$63)-($N$62/3)*$E34*SIN($K$63)-($N$62/3)*$F34*SIN($K$63)-($N$62/3)*$G34*SIN($K$63)</f>
        <v>53145.817122397857</v>
      </c>
      <c r="BC34" s="79">
        <f>IF(($A34&lt;'Alternative 1'!$B$27),(($H34*'Alternative 1'!$B$39)+(3*($N$62/3)*COS($K$63))),IF(($A34&lt;'Alternative 1'!$B$28),(($H34*'Alternative 1'!$B$39)+(2*(($N$62/3)*COS($K$63)))),IF(($A34&lt;'Alternative 1'!$B$29),(($H$3*'Alternative 1'!$B$39+(($N$62/3)*COS($K$63)))),($H34*'Alternative 1'!$B$39))))</f>
        <v>42516.653697918271</v>
      </c>
      <c r="BD34" s="78">
        <f>BB34*'Alternative 1'!$K35/'Alternative 1'!$L35</f>
        <v>1545564.1105923492</v>
      </c>
      <c r="BE34" s="78">
        <f>BC34/'Alternative 1'!$M35</f>
        <v>24729.002155000053</v>
      </c>
      <c r="BF34" s="78">
        <f t="shared" si="8"/>
        <v>1.5702931127473494</v>
      </c>
      <c r="BH34" s="78">
        <f>'Alternative 1'!$B$39*$B34*$C34*COS($K$73)-($N$72/3)*$E34*SIN($K$73)-($N$72/3)*$F34*SIN($K$73)-($N$72/3)*$G34*SIN($K$73)</f>
        <v>36353.879978724588</v>
      </c>
      <c r="BI34" s="79">
        <f>IF(($A34&lt;'Alternative 1'!$B$27),(($H34*'Alternative 1'!$B$39)+(3*($N$72/3)*COS($K$73))),IF(($A34&lt;'Alternative 1'!$B$28),(($H34*'Alternative 1'!$B$39)+(2*(($N$72/3)*COS($K$73)))),IF(($A34&lt;'Alternative 1'!$B$29),(($H$3*'Alternative 1'!$B$39+(($N$72/3)*COS($K$73)))),($H34*'Alternative 1'!$B$39))))</f>
        <v>42516.653697918271</v>
      </c>
      <c r="BJ34" s="78">
        <f>BH34*'Alternative 1'!$K35/'Alternative 1'!$L35</f>
        <v>1057228.1172476101</v>
      </c>
      <c r="BK34" s="78">
        <f>BI34/'Alternative 1'!$M35</f>
        <v>24729.002155000053</v>
      </c>
      <c r="BL34" s="78">
        <f t="shared" si="9"/>
        <v>1.0819571194026103</v>
      </c>
      <c r="BN34" s="78">
        <f>'Alternative 1'!$B$39*$B34*$C34*COS($K$83)-($N$82/3)*$E34*SIN($K$83)-($N$82/3)*$F34*SIN($K$83)-($N$82/3)*$G34*SIN($K$83)</f>
        <v>18457.348587848664</v>
      </c>
      <c r="BO34" s="79">
        <f>IF(($A34&lt;'Alternative 1'!$B$27),(($H34*'Alternative 1'!$B$39)+(3*($N$82/3)*COS($K$83))),IF(($A34&lt;'Alternative 1'!$B$28),(($H34*'Alternative 1'!$B$39)+(2*(($N$82/3)*COS($K$83)))),IF(($A34&lt;'Alternative 1'!$B$29),(($H$3*'Alternative 1'!$B$39+(($N$82/3)*COS($K$83)))),($H34*'Alternative 1'!$B$39))))</f>
        <v>42516.653697918271</v>
      </c>
      <c r="BP34" s="78">
        <f>BN34*'Alternative 1'!$K35/'Alternative 1'!$L35</f>
        <v>536768.78254354291</v>
      </c>
      <c r="BQ34" s="78">
        <f>BO34/'Alternative 1'!$M35</f>
        <v>24729.002155000053</v>
      </c>
      <c r="BR34" s="78">
        <f t="shared" si="10"/>
        <v>0.56149778469854295</v>
      </c>
      <c r="BT34" s="78">
        <f>'Alternative 1'!$B$39*$B34*$C34*COS($K$93)-($K$92/3)*$E34*SIN($K$93)-($K$92/3)*$F34*SIN($K$93)-($K$92/3)*$G34*SIN($K$93)</f>
        <v>6.5111515732361798E-12</v>
      </c>
      <c r="BU34" s="79">
        <f>IF(($A34&lt;'Alternative 1'!$B$27),(($H34*'Alternative 1'!$B$39)+(3*($N$92/3)*COS($K$93))),IF(($A34&lt;'Alternative 1'!$B$28),(($H34*'Alternative 1'!$B$39)+(2*(($N$92/3)*COS($K$93)))),IF(($A34&lt;'Alternative 1'!$B$29),(($H$3*'Alternative 1'!$B$39+(($N$92/3)*COS($K$93)))),($H34*'Alternative 1'!$B$39))))</f>
        <v>42516.653697918271</v>
      </c>
      <c r="BV34" s="78">
        <f>BT34*'Alternative 1'!$K35/'Alternative 1'!$L35</f>
        <v>1.8935454820544316E-10</v>
      </c>
      <c r="BW34" s="78">
        <f>BU34/'Alternative 1'!$M35</f>
        <v>24729.002155000053</v>
      </c>
      <c r="BX34" s="78">
        <f t="shared" si="11"/>
        <v>2.4729002155000242E-2</v>
      </c>
      <c r="BZ34" s="77">
        <v>150</v>
      </c>
      <c r="CA34" s="77">
        <v>-150</v>
      </c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1"/>
      <c r="DA34" s="281"/>
      <c r="DB34" s="281"/>
      <c r="DC34" s="281"/>
      <c r="DD34" s="281"/>
      <c r="DE34" s="281"/>
      <c r="DF34" s="281"/>
      <c r="DG34" s="281"/>
      <c r="DH34" s="281"/>
      <c r="DI34" s="281"/>
      <c r="DJ34" s="281"/>
      <c r="DK34" s="281"/>
    </row>
    <row r="35" spans="1:115" ht="15" customHeight="1" x14ac:dyDescent="0.25">
      <c r="A35" s="89">
        <f>IF('Alternative 1'!F36&gt;0,'Alternative 1'!F36,"x")</f>
        <v>33</v>
      </c>
      <c r="B35" s="89">
        <f t="shared" si="17"/>
        <v>4</v>
      </c>
      <c r="C35" s="89">
        <f t="shared" si="12"/>
        <v>2</v>
      </c>
      <c r="D35" s="89">
        <f t="shared" si="13"/>
        <v>33</v>
      </c>
      <c r="E35" s="74">
        <f>IF($A35&lt;='Alternative 1'!$B$27, IF($A35='Alternative 1'!$B$27,0,E36+1),0)</f>
        <v>0</v>
      </c>
      <c r="F35" s="74">
        <f>IF($A35&lt;=('Alternative 1'!$B$28), IF($A35=ROUNDDOWN('Alternative 1'!$B$28,0),0,F36+1),0)</f>
        <v>0</v>
      </c>
      <c r="G35" s="74">
        <f>IF($A35&lt;=('Alternative 1'!$B$29), IF($A35=ROUNDDOWN('Alternative 1'!$B$29,0),0,G36+1),0)</f>
        <v>0</v>
      </c>
      <c r="H35" s="89">
        <f t="shared" si="14"/>
        <v>4</v>
      </c>
      <c r="J35" s="77">
        <f t="shared" si="15"/>
        <v>32</v>
      </c>
      <c r="K35" s="77">
        <f t="shared" si="16"/>
        <v>0.55850536063818546</v>
      </c>
      <c r="L35" s="78">
        <f>'Alternative 1'!$B$27*SIN(K35)+'Alternative 1'!$B$28*SIN(K35)+'Alternative 1'!$B$29*SIN(K35)</f>
        <v>36.034509967857936</v>
      </c>
      <c r="M35" s="77">
        <f>(('Alternative 1'!$B$27)*(((('Alternative 1'!$B$28-'Alternative 1'!$B$27)/2)+'Alternative 1'!$B$27)*'Alternative 1'!$B$39)*COS('Alternative 1-Tilt Up'!K35))+(('Alternative 1'!$B$28)*((('Alternative 1'!$B$28-'Alternative 1'!$B$27)/2)+(('Alternative 1'!$B$29-'Alternative 1'!$B$28)/2))*('Alternative 1'!$B$39)*COS('Alternative 1-Tilt Up'!K35))+(('Alternative 1'!$B$29)*((('Alternative 1'!$B$12-'Alternative 1'!$B$29+(('Alternative 1'!$B$29-'Alternative 1'!$B$28)/2)*('Alternative 1'!$B$39)*COS('Alternative 1-Tilt Up'!K35)))))</f>
        <v>4024961.3312405124</v>
      </c>
      <c r="N35" s="77">
        <f t="shared" si="0"/>
        <v>335092.2214425031</v>
      </c>
      <c r="O35" s="77">
        <f>(((('Alternative 1'!$B$28-'Alternative 1'!$B$27)/2)+'Alternative 1'!$B$27)*('Alternative 1'!$B$39)*COS('Alternative 1-Tilt Up'!K35))+(((('Alternative 1'!$B$28-'Alternative 1'!$B$27)/2)+(('Alternative 1'!$B$29-'Alternative 1'!$B$28)/2))*('Alternative 1'!$B$39)*COS('Alternative 1-Tilt Up'!K35))+(((('Alternative 1'!$B$12-'Alternative 1'!$B$29)+(('Alternative 1'!$B$29-'Alternative 1'!$B$28)/2))*('Alternative 1'!$B$39)*COS('Alternative 1-Tilt Up'!K35)))</f>
        <v>259604.40400892391</v>
      </c>
      <c r="P35" s="77">
        <f t="shared" si="1"/>
        <v>284174.32043114223</v>
      </c>
      <c r="R35" s="78">
        <f>'Alternative 1'!$B$39*$B35*$C35*COS($K$5)-($N$5/3)*$E35*SIN($K$5)-($N$5/3)*$F35*SIN($K$5)-($N$5/3)*$G35*SIN($K$5)</f>
        <v>67985.205921995264</v>
      </c>
      <c r="S35" s="79">
        <f>IF(($A35&lt;'Alternative 1'!$B$27),(($H35*'Alternative 1'!$B$39)+(3*($N$5/3)*COS($K$5))),IF(($A35&lt;'Alternative 1'!$B$28),(($H35*'Alternative 1'!$B$39)+(2*(($N$5/3)*COS($K$5)))),IF(($A35&lt;'Alternative 1'!$B$29),(($H$3*'Alternative 1'!$B$39+(($N$5/3)*COS($K$5)))),($H35*'Alternative 1'!$B$39))))</f>
        <v>34013.322958334618</v>
      </c>
      <c r="T35" s="78">
        <f>R35*'Alternative 1'!$K36/'Alternative 1'!$L36</f>
        <v>2031362.9457554095</v>
      </c>
      <c r="U35" s="78">
        <f>S35/'Alternative 1'!$M36</f>
        <v>20325.992104669225</v>
      </c>
      <c r="V35" s="78">
        <f t="shared" si="2"/>
        <v>2.0516889378600789</v>
      </c>
      <c r="X35" s="78">
        <f>'Alternative 1'!$B$39*$B35*$C35*COS($K$13)-($N$12/3)*$E35*SIN($K$13)-($N$12/3)*$F35*SIN($K$13)-($N$12/3)*$G35*SIN($K$13)</f>
        <v>66993.168310152134</v>
      </c>
      <c r="Y35" s="79">
        <f>IF(($A35&lt;'Alternative 1'!$B$27),(($H35*'Alternative 1'!$B$39)+(3*($N$12/3)*COS($K$13))),IF(($A35&lt;'Alternative 1'!$B$28),(($H35*'Alternative 1'!$B$39)+(2*(($N$12/3)*COS($K$13)))),IF(($A35&lt;'Alternative 1'!$B$29),(($H$3*'Alternative 1'!$B$39+(($N$12/3)*COS($K$13)))),($H35*'Alternative 1'!$B$39))))</f>
        <v>34013.322958334618</v>
      </c>
      <c r="Z35" s="78">
        <f>X35*'Alternative 1'!$K36/'Alternative 1'!$L36</f>
        <v>2001721.3727372149</v>
      </c>
      <c r="AA35" s="78">
        <f>Y35/'Alternative 1'!$M36</f>
        <v>20325.992104669225</v>
      </c>
      <c r="AB35" s="78">
        <f t="shared" si="3"/>
        <v>2.0220473648418844</v>
      </c>
      <c r="AD35" s="78">
        <f>'Alternative 1'!$B$39*$B35*$C35*COS($K$23)-($N$22/3)*$E35*SIN($K$23)-($N$22/3)*$F35*SIN($K$23)-($N$22/3)*$G35*SIN($K$23)</f>
        <v>63924.137184709929</v>
      </c>
      <c r="AE35" s="79">
        <f>IF(($A35&lt;'Alternative 1'!$B$27),(($H35*'Alternative 1'!$B$39)+(3*($N$22/3)*COS($K$23))),IF(($A35&lt;'Alternative 1'!$B$28),(($H35*'Alternative 1'!$B$39)+(2*(($N$22/3)*COS($K$23)))),IF(($A35&lt;'Alternative 1'!$B$29),(($H$3*'Alternative 1'!$B$39+(($N$22/3)*COS($K$23)))),($H35*'Alternative 1'!$B$39))))</f>
        <v>34013.322958334618</v>
      </c>
      <c r="AF35" s="78">
        <f>AD35*'Alternative 1'!$K36/'Alternative 1'!$L36</f>
        <v>1910020.3030258657</v>
      </c>
      <c r="AG35" s="78">
        <f>AE35/'Alternative 1'!$M36</f>
        <v>20325.992104669225</v>
      </c>
      <c r="AH35" s="78">
        <f t="shared" si="4"/>
        <v>1.930346295130535</v>
      </c>
      <c r="AJ35" s="78">
        <f>'Alternative 1'!$B$39*$B35*$C35*COS($K$33)-($N$32/3)*$E35*SIN($K$33)-($N$32/3)*$F35*SIN($K$33)-($N$32/3)*$G35*SIN($K$33)</f>
        <v>58912.803498084511</v>
      </c>
      <c r="AK35" s="79">
        <f>IF(($A35&lt;'Alternative 1'!$B$27),(($H35*'Alternative 1'!$B$39)+(3*($N$32/3)*COS($K$33))),IF(($A35&lt;'Alternative 1'!$B$28),(($H35*'Alternative 1'!$B$39)+(2*(($N$32/3)*COS($K$33)))),IF(($A35&lt;'Alternative 1'!$B$29),(($H$3*'Alternative 1'!$B$39+(($N$32/3)*COS($K$33)))),($H35*'Alternative 1'!$B$39))))</f>
        <v>34013.322958334618</v>
      </c>
      <c r="AL35" s="78">
        <f>AJ35*'Alternative 1'!$K36/'Alternative 1'!$L36</f>
        <v>1760284.2329239843</v>
      </c>
      <c r="AM35" s="78">
        <f>AK35/'Alternative 1'!$M36</f>
        <v>20325.992104669225</v>
      </c>
      <c r="AN35" s="78">
        <f t="shared" si="5"/>
        <v>1.7806102250286537</v>
      </c>
      <c r="AP35" s="78">
        <f>'Alternative 1'!$B$39*$B35*$C35*COS($K$43)-($N$42/3)*$E35*SIN($K$43)-($N$42/3)*$F35*SIN($K$43)-($N$42/3)*$G35*SIN($K$43)</f>
        <v>52111.434088486785</v>
      </c>
      <c r="AQ35" s="79">
        <f>IF(($A35&lt;'Alternative 1'!$B$27),(($H35*'Alternative 1'!$B$39)+(3*($N$42/3)*COS($K$43))),IF(($A35&lt;'Alternative 1'!$B$28),(($H35*'Alternative 1'!$B$39)+(2*(($N$42/3)*COS($K$43)))),IF(($A35&lt;'Alternative 1'!$B$29),(($H$3*'Alternative 1'!$B$39+(($N$42/3)*COS($K$43)))),($H35*'Alternative 1'!$B$39))))</f>
        <v>34013.322958334618</v>
      </c>
      <c r="AR35" s="78">
        <f>AP35*'Alternative 1'!$K36/'Alternative 1'!$L36</f>
        <v>1557062.8171515088</v>
      </c>
      <c r="AS35" s="78">
        <f>AQ35/'Alternative 1'!$M36</f>
        <v>20325.992104669225</v>
      </c>
      <c r="AT35" s="78">
        <f t="shared" si="6"/>
        <v>1.5773888092561781</v>
      </c>
      <c r="AV35" s="78">
        <f>'Alternative 1'!$B$39*$B35*$C35*COS($K$53)-($N$52/3)*$E35*SIN($K$53)-($N$52/3)*$F35*SIN($K$53)-($N$52/3)*$G35*SIN($K$53)</f>
        <v>43726.685123768402</v>
      </c>
      <c r="AW35" s="79">
        <f>IF(($A35&lt;'Alternative 1'!$B$27),(($H35*'Alternative 1'!$B$39)+(3*($N$52/3)*COS($K$53))),IF(($A35&lt;'Alternative 1'!$B$28),(($H35*'Alternative 1'!$B$39)+(2*(($N$52/3)*COS($K$53)))),IF(($A35&lt;'Alternative 1'!$B$29),(($H$3*'Alternative 1'!$B$39+(($N$52/3)*COS($K$53)))),($H35*'Alternative 1'!$B$39))))</f>
        <v>34013.322958334618</v>
      </c>
      <c r="AX35" s="78">
        <f>AV35*'Alternative 1'!$K36/'Alternative 1'!$L36</f>
        <v>1306530.8355916878</v>
      </c>
      <c r="AY35" s="78">
        <f>AW35/'Alternative 1'!$M36</f>
        <v>20325.992104669225</v>
      </c>
      <c r="AZ35" s="78">
        <f t="shared" si="7"/>
        <v>1.3268568276963573</v>
      </c>
      <c r="BB35" s="78">
        <f>'Alternative 1'!$B$39*$B35*$C35*COS($K$63)-($N$62/3)*$E35*SIN($K$63)-($N$62/3)*$F35*SIN($K$63)-($N$62/3)*$G35*SIN($K$63)</f>
        <v>34013.322958334626</v>
      </c>
      <c r="BC35" s="79">
        <f>IF(($A35&lt;'Alternative 1'!$B$27),(($H35*'Alternative 1'!$B$39)+(3*($N$62/3)*COS($K$63))),IF(($A35&lt;'Alternative 1'!$B$28),(($H35*'Alternative 1'!$B$39)+(2*(($N$62/3)*COS($K$63)))),IF(($A35&lt;'Alternative 1'!$B$29),(($H$3*'Alternative 1'!$B$39+(($N$62/3)*COS($K$63)))),($H35*'Alternative 1'!$B$39))))</f>
        <v>34013.322958334618</v>
      </c>
      <c r="BD35" s="78">
        <f>BB35*'Alternative 1'!$K36/'Alternative 1'!$L36</f>
        <v>1016300.5757289164</v>
      </c>
      <c r="BE35" s="78">
        <f>BC35/'Alternative 1'!$M36</f>
        <v>20325.992104669225</v>
      </c>
      <c r="BF35" s="78">
        <f t="shared" si="8"/>
        <v>1.0366265678335858</v>
      </c>
      <c r="BH35" s="78">
        <f>'Alternative 1'!$B$39*$B35*$C35*COS($K$73)-($N$72/3)*$E35*SIN($K$73)-($N$72/3)*$F35*SIN($K$73)-($N$72/3)*$G35*SIN($K$73)</f>
        <v>23266.483186383735</v>
      </c>
      <c r="BI35" s="79">
        <f>IF(($A35&lt;'Alternative 1'!$B$27),(($H35*'Alternative 1'!$B$39)+(3*($N$72/3)*COS($K$73))),IF(($A35&lt;'Alternative 1'!$B$28),(($H35*'Alternative 1'!$B$39)+(2*(($N$72/3)*COS($K$73)))),IF(($A35&lt;'Alternative 1'!$B$29),(($H$3*'Alternative 1'!$B$39+(($N$72/3)*COS($K$73)))),($H35*'Alternative 1'!$B$39))))</f>
        <v>34013.322958334618</v>
      </c>
      <c r="BJ35" s="78">
        <f>BH35*'Alternative 1'!$K36/'Alternative 1'!$L36</f>
        <v>695190.53714552731</v>
      </c>
      <c r="BK35" s="78">
        <f>BI35/'Alternative 1'!$M36</f>
        <v>20325.992104669225</v>
      </c>
      <c r="BL35" s="78">
        <f t="shared" si="9"/>
        <v>0.71551652925019649</v>
      </c>
      <c r="BN35" s="78">
        <f>'Alternative 1'!$B$39*$B35*$C35*COS($K$83)-($N$82/3)*$E35*SIN($K$83)-($N$82/3)*$F35*SIN($K$83)-($N$82/3)*$G35*SIN($K$83)</f>
        <v>11812.703096223146</v>
      </c>
      <c r="BO35" s="79">
        <f>IF(($A35&lt;'Alternative 1'!$B$27),(($H35*'Alternative 1'!$B$39)+(3*($N$82/3)*COS($K$83))),IF(($A35&lt;'Alternative 1'!$B$28),(($H35*'Alternative 1'!$B$39)+(2*(($N$82/3)*COS($K$83)))),IF(($A35&lt;'Alternative 1'!$B$29),(($H$3*'Alternative 1'!$B$39+(($N$82/3)*COS($K$83)))),($H35*'Alternative 1'!$B$39))))</f>
        <v>34013.322958334618</v>
      </c>
      <c r="BP35" s="78">
        <f>BN35*'Alternative 1'!$K36/'Alternative 1'!$L36</f>
        <v>352957.48587435699</v>
      </c>
      <c r="BQ35" s="78">
        <f>BO35/'Alternative 1'!$M36</f>
        <v>20325.992104669225</v>
      </c>
      <c r="BR35" s="78">
        <f t="shared" si="10"/>
        <v>0.37328347797902622</v>
      </c>
      <c r="BT35" s="78">
        <f>'Alternative 1'!$B$39*$B35*$C35*COS($K$93)-($K$92/3)*$E35*SIN($K$93)-($K$92/3)*$F35*SIN($K$93)-($K$92/3)*$G35*SIN($K$93)</f>
        <v>4.1671370068711553E-12</v>
      </c>
      <c r="BU35" s="79">
        <f>IF(($A35&lt;'Alternative 1'!$B$27),(($H35*'Alternative 1'!$B$39)+(3*($N$92/3)*COS($K$93))),IF(($A35&lt;'Alternative 1'!$B$28),(($H35*'Alternative 1'!$B$39)+(2*(($N$92/3)*COS($K$93)))),IF(($A35&lt;'Alternative 1'!$B$29),(($H$3*'Alternative 1'!$B$39+(($N$92/3)*COS($K$93)))),($H35*'Alternative 1'!$B$39))))</f>
        <v>34013.322958334618</v>
      </c>
      <c r="BV35" s="78">
        <f>BT35*'Alternative 1'!$K36/'Alternative 1'!$L36</f>
        <v>1.2451190800770227E-10</v>
      </c>
      <c r="BW35" s="78">
        <f>BU35/'Alternative 1'!$M36</f>
        <v>20325.992104669225</v>
      </c>
      <c r="BX35" s="78">
        <f t="shared" si="11"/>
        <v>2.0325992104669351E-2</v>
      </c>
      <c r="BZ35" s="77">
        <v>150</v>
      </c>
      <c r="CA35" s="77">
        <v>-150</v>
      </c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1"/>
      <c r="DG35" s="281"/>
      <c r="DH35" s="281"/>
      <c r="DI35" s="281"/>
      <c r="DJ35" s="281"/>
      <c r="DK35" s="281"/>
    </row>
    <row r="36" spans="1:115" ht="15" customHeight="1" x14ac:dyDescent="0.25">
      <c r="A36" s="89">
        <f>IF('Alternative 1'!F37&gt;0,'Alternative 1'!F37,"x")</f>
        <v>34</v>
      </c>
      <c r="B36" s="89">
        <f t="shared" si="17"/>
        <v>3</v>
      </c>
      <c r="C36" s="89">
        <f t="shared" si="12"/>
        <v>1.5</v>
      </c>
      <c r="D36" s="89">
        <f t="shared" si="13"/>
        <v>34</v>
      </c>
      <c r="E36" s="74">
        <f>IF($A36&lt;='Alternative 1'!$B$27, IF($A36='Alternative 1'!$B$27,0,E37+1),0)</f>
        <v>0</v>
      </c>
      <c r="F36" s="74">
        <f>IF($A36&lt;=('Alternative 1'!$B$28), IF($A36=ROUNDDOWN('Alternative 1'!$B$28,0),0,F37+1),0)</f>
        <v>0</v>
      </c>
      <c r="G36" s="74">
        <f>IF($A36&lt;=('Alternative 1'!$B$29), IF($A36=ROUNDDOWN('Alternative 1'!$B$29,0),0,G37+1),0)</f>
        <v>0</v>
      </c>
      <c r="H36" s="89">
        <f t="shared" si="14"/>
        <v>3</v>
      </c>
      <c r="J36" s="77">
        <f t="shared" si="15"/>
        <v>33</v>
      </c>
      <c r="K36" s="77">
        <f t="shared" si="16"/>
        <v>0.57595865315812877</v>
      </c>
      <c r="L36" s="78">
        <f>'Alternative 1'!$B$27*SIN(K36)+'Alternative 1'!$B$28*SIN(K36)+'Alternative 1'!$B$29*SIN(K36)</f>
        <v>37.035454381021843</v>
      </c>
      <c r="M36" s="77">
        <f>(('Alternative 1'!$B$27)*(((('Alternative 1'!$B$28-'Alternative 1'!$B$27)/2)+'Alternative 1'!$B$27)*'Alternative 1'!$B$39)*COS('Alternative 1-Tilt Up'!K36))+(('Alternative 1'!$B$28)*((('Alternative 1'!$B$28-'Alternative 1'!$B$27)/2)+(('Alternative 1'!$B$29-'Alternative 1'!$B$28)/2))*('Alternative 1'!$B$39)*COS('Alternative 1-Tilt Up'!K36))+(('Alternative 1'!$B$29)*((('Alternative 1'!$B$12-'Alternative 1'!$B$29+(('Alternative 1'!$B$29-'Alternative 1'!$B$28)/2)*('Alternative 1'!$B$39)*COS('Alternative 1-Tilt Up'!K36)))))</f>
        <v>3980456.3626346057</v>
      </c>
      <c r="N36" s="77">
        <f t="shared" si="0"/>
        <v>322430.74339120183</v>
      </c>
      <c r="O36" s="77">
        <f>(((('Alternative 1'!$B$28-'Alternative 1'!$B$27)/2)+'Alternative 1'!$B$27)*('Alternative 1'!$B$39)*COS('Alternative 1-Tilt Up'!K36))+(((('Alternative 1'!$B$28-'Alternative 1'!$B$27)/2)+(('Alternative 1'!$B$29-'Alternative 1'!$B$28)/2))*('Alternative 1'!$B$39)*COS('Alternative 1-Tilt Up'!K36))+(((('Alternative 1'!$B$12-'Alternative 1'!$B$29)+(('Alternative 1'!$B$29-'Alternative 1'!$B$28)/2))*('Alternative 1'!$B$39)*COS('Alternative 1-Tilt Up'!K36)))</f>
        <v>256733.75594859861</v>
      </c>
      <c r="P36" s="77">
        <f t="shared" si="1"/>
        <v>270413.17468296451</v>
      </c>
      <c r="R36" s="78">
        <f>'Alternative 1'!$B$39*$B36*$C36*COS($K$5)-($N$5/3)*$E36*SIN($K$5)-($N$5/3)*$F36*SIN($K$5)-($N$5/3)*$G36*SIN($K$5)</f>
        <v>38241.678331122341</v>
      </c>
      <c r="S36" s="79">
        <f>IF(($A36&lt;'Alternative 1'!$B$27),(($H36*'Alternative 1'!$B$39)+(3*($N$5/3)*COS($K$5))),IF(($A36&lt;'Alternative 1'!$B$28),(($H36*'Alternative 1'!$B$39)+(2*(($N$5/3)*COS($K$5)))),IF(($A36&lt;'Alternative 1'!$B$29),(($H$3*'Alternative 1'!$B$39+(($N$5/3)*COS($K$5)))),($H36*'Alternative 1'!$B$39))))</f>
        <v>25509.992218750966</v>
      </c>
      <c r="T36" s="78">
        <f>R36*'Alternative 1'!$K37/'Alternative 1'!$L37</f>
        <v>1174428.283124279</v>
      </c>
      <c r="U36" s="78">
        <f>S36/'Alternative 1'!$M37</f>
        <v>15668.573693450064</v>
      </c>
      <c r="V36" s="78">
        <f t="shared" si="2"/>
        <v>1.190096856817729</v>
      </c>
      <c r="X36" s="78">
        <f>'Alternative 1'!$B$39*$B36*$C36*COS($K$13)-($N$12/3)*$E36*SIN($K$13)-($N$12/3)*$F36*SIN($K$13)-($N$12/3)*$G36*SIN($K$13)</f>
        <v>37683.657174460575</v>
      </c>
      <c r="Y36" s="79">
        <f>IF(($A36&lt;'Alternative 1'!$B$27),(($H36*'Alternative 1'!$B$39)+(3*($N$12/3)*COS($K$13))),IF(($A36&lt;'Alternative 1'!$B$28),(($H36*'Alternative 1'!$B$39)+(2*(($N$12/3)*COS($K$13)))),IF(($A36&lt;'Alternative 1'!$B$29),(($H$3*'Alternative 1'!$B$39+(($N$12/3)*COS($K$13)))),($H36*'Alternative 1'!$B$39))))</f>
        <v>25509.992218750966</v>
      </c>
      <c r="Z36" s="78">
        <f>X36*'Alternative 1'!$K37/'Alternative 1'!$L37</f>
        <v>1157291.0690279</v>
      </c>
      <c r="AA36" s="78">
        <f>Y36/'Alternative 1'!$M37</f>
        <v>15668.573693450064</v>
      </c>
      <c r="AB36" s="78">
        <f t="shared" si="3"/>
        <v>1.17295964272135</v>
      </c>
      <c r="AD36" s="78">
        <f>'Alternative 1'!$B$39*$B36*$C36*COS($K$23)-($N$22/3)*$E36*SIN($K$23)-($N$22/3)*$F36*SIN($K$23)-($N$22/3)*$G36*SIN($K$23)</f>
        <v>35957.327166399336</v>
      </c>
      <c r="AE36" s="79">
        <f>IF(($A36&lt;'Alternative 1'!$B$27),(($H36*'Alternative 1'!$B$39)+(3*($N$22/3)*COS($K$23))),IF(($A36&lt;'Alternative 1'!$B$28),(($H36*'Alternative 1'!$B$39)+(2*(($N$22/3)*COS($K$23)))),IF(($A36&lt;'Alternative 1'!$B$29),(($H$3*'Alternative 1'!$B$39+(($N$22/3)*COS($K$23)))),($H36*'Alternative 1'!$B$39))))</f>
        <v>25509.992218750966</v>
      </c>
      <c r="AF36" s="78">
        <f>AD36*'Alternative 1'!$K37/'Alternative 1'!$L37</f>
        <v>1104274.2853522922</v>
      </c>
      <c r="AG36" s="78">
        <f>AE36/'Alternative 1'!$M37</f>
        <v>15668.573693450064</v>
      </c>
      <c r="AH36" s="78">
        <f t="shared" si="4"/>
        <v>1.1199428590457423</v>
      </c>
      <c r="AJ36" s="78">
        <f>'Alternative 1'!$B$39*$B36*$C36*COS($K$33)-($N$32/3)*$E36*SIN($K$33)-($N$32/3)*$F36*SIN($K$33)-($N$32/3)*$G36*SIN($K$33)</f>
        <v>33138.451967672539</v>
      </c>
      <c r="AK36" s="79">
        <f>IF(($A36&lt;'Alternative 1'!$B$27),(($H36*'Alternative 1'!$B$39)+(3*($N$32/3)*COS($K$33))),IF(($A36&lt;'Alternative 1'!$B$28),(($H36*'Alternative 1'!$B$39)+(2*(($N$32/3)*COS($K$33)))),IF(($A36&lt;'Alternative 1'!$B$29),(($H$3*'Alternative 1'!$B$39+(($N$32/3)*COS($K$33)))),($H36*'Alternative 1'!$B$39))))</f>
        <v>25509.992218750966</v>
      </c>
      <c r="AL36" s="78">
        <f>AJ36*'Alternative 1'!$K37/'Alternative 1'!$L37</f>
        <v>1017704.6863060059</v>
      </c>
      <c r="AM36" s="78">
        <f>AK36/'Alternative 1'!$M37</f>
        <v>15668.573693450064</v>
      </c>
      <c r="AN36" s="78">
        <f t="shared" si="5"/>
        <v>1.0333732599994561</v>
      </c>
      <c r="AP36" s="78">
        <f>'Alternative 1'!$B$39*$B36*$C36*COS($K$43)-($N$42/3)*$E36*SIN($K$43)-($N$42/3)*$F36*SIN($K$43)-($N$42/3)*$G36*SIN($K$43)</f>
        <v>29312.681674773819</v>
      </c>
      <c r="AQ36" s="79">
        <f>IF(($A36&lt;'Alternative 1'!$B$27),(($H36*'Alternative 1'!$B$39)+(3*($N$42/3)*COS($K$43))),IF(($A36&lt;'Alternative 1'!$B$28),(($H36*'Alternative 1'!$B$39)+(2*(($N$42/3)*COS($K$43)))),IF(($A36&lt;'Alternative 1'!$B$29),(($H$3*'Alternative 1'!$B$39+(($N$42/3)*COS($K$43)))),($H36*'Alternative 1'!$B$39))))</f>
        <v>25509.992218750966</v>
      </c>
      <c r="AR36" s="78">
        <f>AP36*'Alternative 1'!$K37/'Alternative 1'!$L37</f>
        <v>900212.64534973097</v>
      </c>
      <c r="AS36" s="78">
        <f>AQ36/'Alternative 1'!$M37</f>
        <v>15668.573693450064</v>
      </c>
      <c r="AT36" s="78">
        <f t="shared" si="6"/>
        <v>0.91588121904318109</v>
      </c>
      <c r="AV36" s="78">
        <f>'Alternative 1'!$B$39*$B36*$C36*COS($K$53)-($N$52/3)*$E36*SIN($K$53)-($N$52/3)*$F36*SIN($K$53)-($N$52/3)*$G36*SIN($K$53)</f>
        <v>24596.260382119726</v>
      </c>
      <c r="AW36" s="79">
        <f>IF(($A36&lt;'Alternative 1'!$B$27),(($H36*'Alternative 1'!$B$39)+(3*($N$52/3)*COS($K$53))),IF(($A36&lt;'Alternative 1'!$B$28),(($H36*'Alternative 1'!$B$39)+(2*(($N$52/3)*COS($K$53)))),IF(($A36&lt;'Alternative 1'!$B$29),(($H$3*'Alternative 1'!$B$39+(($N$52/3)*COS($K$53)))),($H36*'Alternative 1'!$B$39))))</f>
        <v>25509.992218750966</v>
      </c>
      <c r="AX36" s="78">
        <f>AV36*'Alternative 1'!$K37/'Alternative 1'!$L37</f>
        <v>755368.09869408282</v>
      </c>
      <c r="AY36" s="78">
        <f>AW36/'Alternative 1'!$M37</f>
        <v>15668.573693450064</v>
      </c>
      <c r="AZ36" s="78">
        <f t="shared" si="7"/>
        <v>0.77103667238753293</v>
      </c>
      <c r="BB36" s="78">
        <f>'Alternative 1'!$B$39*$B36*$C36*COS($K$63)-($N$62/3)*$E36*SIN($K$63)-($N$62/3)*$F36*SIN($K$63)-($N$62/3)*$G36*SIN($K$63)</f>
        <v>19132.494164063228</v>
      </c>
      <c r="BC36" s="79">
        <f>IF(($A36&lt;'Alternative 1'!$B$27),(($H36*'Alternative 1'!$B$39)+(3*($N$62/3)*COS($K$63))),IF(($A36&lt;'Alternative 1'!$B$28),(($H36*'Alternative 1'!$B$39)+(2*(($N$62/3)*COS($K$63)))),IF(($A36&lt;'Alternative 1'!$B$29),(($H$3*'Alternative 1'!$B$39+(($N$62/3)*COS($K$63)))),($H36*'Alternative 1'!$B$39))))</f>
        <v>25509.992218750966</v>
      </c>
      <c r="BD36" s="78">
        <f>BB36*'Alternative 1'!$K37/'Alternative 1'!$L37</f>
        <v>587572.07459431619</v>
      </c>
      <c r="BE36" s="78">
        <f>BC36/'Alternative 1'!$M37</f>
        <v>15668.573693450064</v>
      </c>
      <c r="BF36" s="78">
        <f t="shared" si="8"/>
        <v>0.60324064828776625</v>
      </c>
      <c r="BH36" s="78">
        <f>'Alternative 1'!$B$39*$B36*$C36*COS($K$73)-($N$72/3)*$E36*SIN($K$73)-($N$72/3)*$F36*SIN($K$73)-($N$72/3)*$G36*SIN($K$73)</f>
        <v>13087.396792340853</v>
      </c>
      <c r="BI36" s="79">
        <f>IF(($A36&lt;'Alternative 1'!$B$27),(($H36*'Alternative 1'!$B$39)+(3*($N$72/3)*COS($K$73))),IF(($A36&lt;'Alternative 1'!$B$28),(($H36*'Alternative 1'!$B$39)+(2*(($N$72/3)*COS($K$73)))),IF(($A36&lt;'Alternative 1'!$B$29),(($H$3*'Alternative 1'!$B$39+(($N$72/3)*COS($K$73)))),($H36*'Alternative 1'!$B$39))))</f>
        <v>25509.992218750966</v>
      </c>
      <c r="BJ36" s="78">
        <f>BH36*'Alternative 1'!$K37/'Alternative 1'!$L37</f>
        <v>401922.97033381718</v>
      </c>
      <c r="BK36" s="78">
        <f>BI36/'Alternative 1'!$M37</f>
        <v>15668.573693450064</v>
      </c>
      <c r="BL36" s="78">
        <f t="shared" si="9"/>
        <v>0.41759154402726728</v>
      </c>
      <c r="BN36" s="78">
        <f>'Alternative 1'!$B$39*$B36*$C36*COS($K$83)-($N$82/3)*$E36*SIN($K$83)-($N$82/3)*$F36*SIN($K$83)-($N$82/3)*$G36*SIN($K$83)</f>
        <v>6644.6454916255198</v>
      </c>
      <c r="BO36" s="79">
        <f>IF(($A36&lt;'Alternative 1'!$B$27),(($H36*'Alternative 1'!$B$39)+(3*($N$82/3)*COS($K$83))),IF(($A36&lt;'Alternative 1'!$B$28),(($H36*'Alternative 1'!$B$39)+(2*(($N$82/3)*COS($K$83)))),IF(($A36&lt;'Alternative 1'!$B$29),(($H$3*'Alternative 1'!$B$39+(($N$82/3)*COS($K$83)))),($H36*'Alternative 1'!$B$39))))</f>
        <v>25509.992218750966</v>
      </c>
      <c r="BP36" s="78">
        <f>BN36*'Alternative 1'!$K37/'Alternative 1'!$L37</f>
        <v>204061.64000256135</v>
      </c>
      <c r="BQ36" s="78">
        <f>BO36/'Alternative 1'!$M37</f>
        <v>15668.573693450064</v>
      </c>
      <c r="BR36" s="78">
        <f t="shared" si="10"/>
        <v>0.21973021369601142</v>
      </c>
      <c r="BT36" s="78">
        <f>'Alternative 1'!$B$39*$B36*$C36*COS($K$93)-($K$92/3)*$E36*SIN($K$93)-($K$92/3)*$F36*SIN($K$93)-($K$92/3)*$G36*SIN($K$93)</f>
        <v>2.3440145663650249E-12</v>
      </c>
      <c r="BU36" s="79">
        <f>IF(($A36&lt;'Alternative 1'!$B$27),(($H36*'Alternative 1'!$B$39)+(3*($N$92/3)*COS($K$93))),IF(($A36&lt;'Alternative 1'!$B$28),(($H36*'Alternative 1'!$B$39)+(2*(($N$92/3)*COS($K$93)))),IF(($A36&lt;'Alternative 1'!$B$29),(($H$3*'Alternative 1'!$B$39+(($N$92/3)*COS($K$93)))),($H36*'Alternative 1'!$B$39))))</f>
        <v>25509.992218750966</v>
      </c>
      <c r="BV36" s="78">
        <f>BT36*'Alternative 1'!$K37/'Alternative 1'!$L37</f>
        <v>7.1986301933667882E-11</v>
      </c>
      <c r="BW36" s="78">
        <f>BU36/'Alternative 1'!$M37</f>
        <v>15668.573693450064</v>
      </c>
      <c r="BX36" s="78">
        <f t="shared" si="11"/>
        <v>1.5668573693450136E-2</v>
      </c>
      <c r="BZ36" s="77">
        <v>150</v>
      </c>
      <c r="CA36" s="77">
        <v>-150</v>
      </c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</row>
    <row r="37" spans="1:115" ht="15" customHeight="1" x14ac:dyDescent="0.25">
      <c r="A37" s="89">
        <f>IF('Alternative 1'!F38&gt;0,'Alternative 1'!F38,"x")</f>
        <v>35</v>
      </c>
      <c r="B37" s="89">
        <f t="shared" si="17"/>
        <v>2</v>
      </c>
      <c r="C37" s="89">
        <f t="shared" si="12"/>
        <v>1</v>
      </c>
      <c r="D37" s="89">
        <f t="shared" si="13"/>
        <v>35</v>
      </c>
      <c r="E37" s="74">
        <f>IF($A37&lt;='Alternative 1'!$B$27, IF($A37='Alternative 1'!$B$27,0,E38+1),0)</f>
        <v>0</v>
      </c>
      <c r="F37" s="74">
        <f>IF($A37&lt;=('Alternative 1'!$B$28), IF($A37=ROUNDDOWN('Alternative 1'!$B$28,0),0,F38+1),0)</f>
        <v>0</v>
      </c>
      <c r="G37" s="74">
        <f>IF($A37&lt;=('Alternative 1'!$B$29), IF($A37=ROUNDDOWN('Alternative 1'!$B$29,0),0,G38+1),0)</f>
        <v>0</v>
      </c>
      <c r="H37" s="89">
        <f t="shared" si="14"/>
        <v>2</v>
      </c>
      <c r="J37" s="77">
        <f t="shared" si="15"/>
        <v>34</v>
      </c>
      <c r="K37" s="77">
        <f t="shared" si="16"/>
        <v>0.59341194567807209</v>
      </c>
      <c r="L37" s="78">
        <f>'Alternative 1'!$B$27*SIN(K37)+'Alternative 1'!$B$28*SIN(K37)+'Alternative 1'!$B$29*SIN(K37)</f>
        <v>38.025117436010788</v>
      </c>
      <c r="M37" s="77">
        <f>(('Alternative 1'!$B$27)*(((('Alternative 1'!$B$28-'Alternative 1'!$B$27)/2)+'Alternative 1'!$B$27)*'Alternative 1'!$B$39)*COS('Alternative 1-Tilt Up'!K37))+(('Alternative 1'!$B$28)*((('Alternative 1'!$B$28-'Alternative 1'!$B$27)/2)+(('Alternative 1'!$B$29-'Alternative 1'!$B$28)/2))*('Alternative 1'!$B$39)*COS('Alternative 1-Tilt Up'!K37))+(('Alternative 1'!$B$29)*((('Alternative 1'!$B$12-'Alternative 1'!$B$29+(('Alternative 1'!$B$29-'Alternative 1'!$B$28)/2)*('Alternative 1'!$B$39)*COS('Alternative 1-Tilt Up'!K37)))))</f>
        <v>3934738.9680522224</v>
      </c>
      <c r="N37" s="77">
        <f t="shared" si="0"/>
        <v>310432.09594345029</v>
      </c>
      <c r="O37" s="77">
        <f>(((('Alternative 1'!$B$28-'Alternative 1'!$B$27)/2)+'Alternative 1'!$B$27)*('Alternative 1'!$B$39)*COS('Alternative 1-Tilt Up'!K37))+(((('Alternative 1'!$B$28-'Alternative 1'!$B$27)/2)+(('Alternative 1'!$B$29-'Alternative 1'!$B$28)/2))*('Alternative 1'!$B$39)*COS('Alternative 1-Tilt Up'!K37))+(((('Alternative 1'!$B$12-'Alternative 1'!$B$29)+(('Alternative 1'!$B$29-'Alternative 1'!$B$28)/2))*('Alternative 1'!$B$39)*COS('Alternative 1-Tilt Up'!K37)))</f>
        <v>253784.9042991756</v>
      </c>
      <c r="P37" s="77">
        <f t="shared" si="1"/>
        <v>257359.8712641318</v>
      </c>
      <c r="R37" s="78">
        <f>'Alternative 1'!$B$39*$B37*$C37*COS($K$5)-($N$5/3)*$E37*SIN($K$5)-($N$5/3)*$F37*SIN($K$5)-($N$5/3)*$G37*SIN($K$5)</f>
        <v>16996.301480498816</v>
      </c>
      <c r="S37" s="79">
        <f>IF(($A37&lt;'Alternative 1'!$B$27),(($H37*'Alternative 1'!$B$39)+(3*($N$5/3)*COS($K$5))),IF(($A37&lt;'Alternative 1'!$B$28),(($H37*'Alternative 1'!$B$39)+(2*(($N$5/3)*COS($K$5)))),IF(($A37&lt;'Alternative 1'!$B$29),(($H$3*'Alternative 1'!$B$39+(($N$5/3)*COS($K$5)))),($H37*'Alternative 1'!$B$39))))</f>
        <v>17006.661479167309</v>
      </c>
      <c r="T37" s="78">
        <f>R37*'Alternative 1'!$K38/'Alternative 1'!$L38</f>
        <v>536693.32564853202</v>
      </c>
      <c r="U37" s="78">
        <f>S37/'Alternative 1'!$M38</f>
        <v>10740.3990237737</v>
      </c>
      <c r="V37" s="78">
        <f t="shared" si="2"/>
        <v>0.54743372467230578</v>
      </c>
      <c r="X37" s="78">
        <f>'Alternative 1'!$B$39*$B37*$C37*COS($K$13)-($N$12/3)*$E37*SIN($K$13)-($N$12/3)*$F37*SIN($K$13)-($N$12/3)*$G37*SIN($K$13)</f>
        <v>16748.292077538033</v>
      </c>
      <c r="Y37" s="79">
        <f>IF(($A37&lt;'Alternative 1'!$B$27),(($H37*'Alternative 1'!$B$39)+(3*($N$12/3)*COS($K$13))),IF(($A37&lt;'Alternative 1'!$B$28),(($H37*'Alternative 1'!$B$39)+(2*(($N$12/3)*COS($K$13)))),IF(($A37&lt;'Alternative 1'!$B$29),(($H$3*'Alternative 1'!$B$39+(($N$12/3)*COS($K$13)))),($H37*'Alternative 1'!$B$39))))</f>
        <v>17006.661479167309</v>
      </c>
      <c r="Z37" s="78">
        <f>X37*'Alternative 1'!$K38/'Alternative 1'!$L38</f>
        <v>528861.91647872818</v>
      </c>
      <c r="AA37" s="78">
        <f>Y37/'Alternative 1'!$M38</f>
        <v>10740.3990237737</v>
      </c>
      <c r="AB37" s="78">
        <f t="shared" si="3"/>
        <v>0.53960231550250193</v>
      </c>
      <c r="AD37" s="78">
        <f>'Alternative 1'!$B$39*$B37*$C37*COS($K$23)-($N$22/3)*$E37*SIN($K$23)-($N$22/3)*$F37*SIN($K$23)-($N$22/3)*$G37*SIN($K$23)</f>
        <v>15981.034296177482</v>
      </c>
      <c r="AE37" s="79">
        <f>IF(($A37&lt;'Alternative 1'!$B$27),(($H37*'Alternative 1'!$B$39)+(3*($N$22/3)*COS($K$23))),IF(($A37&lt;'Alternative 1'!$B$28),(($H37*'Alternative 1'!$B$39)+(2*(($N$22/3)*COS($K$23)))),IF(($A37&lt;'Alternative 1'!$B$29),(($H$3*'Alternative 1'!$B$39+(($N$22/3)*COS($K$23)))),($H37*'Alternative 1'!$B$39))))</f>
        <v>17006.661479167309</v>
      </c>
      <c r="AF37" s="78">
        <f>AD37*'Alternative 1'!$K38/'Alternative 1'!$L38</f>
        <v>504634.16723689582</v>
      </c>
      <c r="AG37" s="78">
        <f>AE37/'Alternative 1'!$M38</f>
        <v>10740.3990237737</v>
      </c>
      <c r="AH37" s="78">
        <f t="shared" si="4"/>
        <v>0.51537456626066946</v>
      </c>
      <c r="AJ37" s="78">
        <f>'Alternative 1'!$B$39*$B37*$C37*COS($K$33)-($N$32/3)*$E37*SIN($K$33)-($N$32/3)*$F37*SIN($K$33)-($N$32/3)*$G37*SIN($K$33)</f>
        <v>14728.200874521128</v>
      </c>
      <c r="AK37" s="79">
        <f>IF(($A37&lt;'Alternative 1'!$B$27),(($H37*'Alternative 1'!$B$39)+(3*($N$32/3)*COS($K$33))),IF(($A37&lt;'Alternative 1'!$B$28),(($H37*'Alternative 1'!$B$39)+(2*(($N$32/3)*COS($K$33)))),IF(($A37&lt;'Alternative 1'!$B$29),(($H$3*'Alternative 1'!$B$39+(($N$32/3)*COS($K$33)))),($H37*'Alternative 1'!$B$39))))</f>
        <v>17006.661479167309</v>
      </c>
      <c r="AL37" s="78">
        <f>AJ37*'Alternative 1'!$K38/'Alternative 1'!$L38</f>
        <v>465073.36418078031</v>
      </c>
      <c r="AM37" s="78">
        <f>AK37/'Alternative 1'!$M38</f>
        <v>10740.3990237737</v>
      </c>
      <c r="AN37" s="78">
        <f t="shared" si="5"/>
        <v>0.47581376320455399</v>
      </c>
      <c r="AP37" s="78">
        <f>'Alternative 1'!$B$39*$B37*$C37*COS($K$43)-($N$42/3)*$E37*SIN($K$43)-($N$42/3)*$F37*SIN($K$43)-($N$42/3)*$G37*SIN($K$43)</f>
        <v>13027.858522121696</v>
      </c>
      <c r="AQ37" s="79">
        <f>IF(($A37&lt;'Alternative 1'!$B$27),(($H37*'Alternative 1'!$B$39)+(3*($N$42/3)*COS($K$43))),IF(($A37&lt;'Alternative 1'!$B$28),(($H37*'Alternative 1'!$B$39)+(2*(($N$42/3)*COS($K$43)))),IF(($A37&lt;'Alternative 1'!$B$29),(($H$3*'Alternative 1'!$B$39+(($N$42/3)*COS($K$43)))),($H37*'Alternative 1'!$B$39))))</f>
        <v>17006.661479167309</v>
      </c>
      <c r="AR37" s="78">
        <f>AP37*'Alternative 1'!$K38/'Alternative 1'!$L38</f>
        <v>411381.54229250929</v>
      </c>
      <c r="AS37" s="78">
        <f>AQ37/'Alternative 1'!$M38</f>
        <v>10740.3990237737</v>
      </c>
      <c r="AT37" s="78">
        <f t="shared" si="6"/>
        <v>0.42212194131628294</v>
      </c>
      <c r="AV37" s="78">
        <f>'Alternative 1'!$B$39*$B37*$C37*COS($K$53)-($N$52/3)*$E37*SIN($K$53)-($N$52/3)*$F37*SIN($K$53)-($N$52/3)*$G37*SIN($K$53)</f>
        <v>10931.671280942101</v>
      </c>
      <c r="AW37" s="79">
        <f>IF(($A37&lt;'Alternative 1'!$B$27),(($H37*'Alternative 1'!$B$39)+(3*($N$52/3)*COS($K$53))),IF(($A37&lt;'Alternative 1'!$B$28),(($H37*'Alternative 1'!$B$39)+(2*(($N$52/3)*COS($K$53)))),IF(($A37&lt;'Alternative 1'!$B$29),(($H$3*'Alternative 1'!$B$39+(($N$52/3)*COS($K$53)))),($H37*'Alternative 1'!$B$39))))</f>
        <v>17006.661479167309</v>
      </c>
      <c r="AX37" s="78">
        <f>AV37*'Alternative 1'!$K38/'Alternative 1'!$L38</f>
        <v>345190.10041078523</v>
      </c>
      <c r="AY37" s="78">
        <f>AW37/'Alternative 1'!$M38</f>
        <v>10740.3990237737</v>
      </c>
      <c r="AZ37" s="78">
        <f t="shared" si="7"/>
        <v>0.3559304994345589</v>
      </c>
      <c r="BB37" s="78">
        <f>'Alternative 1'!$B$39*$B37*$C37*COS($K$63)-($N$62/3)*$E37*SIN($K$63)-($N$62/3)*$F37*SIN($K$63)-($N$62/3)*$G37*SIN($K$63)</f>
        <v>8503.3307395836564</v>
      </c>
      <c r="BC37" s="79">
        <f>IF(($A37&lt;'Alternative 1'!$B$27),(($H37*'Alternative 1'!$B$39)+(3*($N$62/3)*COS($K$63))),IF(($A37&lt;'Alternative 1'!$B$28),(($H37*'Alternative 1'!$B$39)+(2*(($N$62/3)*COS($K$63)))),IF(($A37&lt;'Alternative 1'!$B$29),(($H$3*'Alternative 1'!$B$39+(($N$62/3)*COS($K$63)))),($H37*'Alternative 1'!$B$39))))</f>
        <v>17006.661479167309</v>
      </c>
      <c r="BD37" s="78">
        <f>BB37*'Alternative 1'!$K38/'Alternative 1'!$L38</f>
        <v>268510.23200269841</v>
      </c>
      <c r="BE37" s="78">
        <f>BC37/'Alternative 1'!$M38</f>
        <v>10740.3990237737</v>
      </c>
      <c r="BF37" s="78">
        <f t="shared" si="8"/>
        <v>0.27925063102647207</v>
      </c>
      <c r="BH37" s="78">
        <f>'Alternative 1'!$B$39*$B37*$C37*COS($K$73)-($N$72/3)*$E37*SIN($K$73)-($N$72/3)*$F37*SIN($K$73)-($N$72/3)*$G37*SIN($K$73)</f>
        <v>5816.6207965959338</v>
      </c>
      <c r="BI37" s="79">
        <f>IF(($A37&lt;'Alternative 1'!$B$27),(($H37*'Alternative 1'!$B$39)+(3*($N$72/3)*COS($K$73))),IF(($A37&lt;'Alternative 1'!$B$28),(($H37*'Alternative 1'!$B$39)+(2*(($N$72/3)*COS($K$73)))),IF(($A37&lt;'Alternative 1'!$B$29),(($H$3*'Alternative 1'!$B$39+(($N$72/3)*COS($K$73)))),($H37*'Alternative 1'!$B$39))))</f>
        <v>17006.661479167309</v>
      </c>
      <c r="BJ37" s="78">
        <f>BH37*'Alternative 1'!$K38/'Alternative 1'!$L38</f>
        <v>183671.81606794294</v>
      </c>
      <c r="BK37" s="78">
        <f>BI37/'Alternative 1'!$M38</f>
        <v>10740.3990237737</v>
      </c>
      <c r="BL37" s="78">
        <f t="shared" si="9"/>
        <v>0.19441221509171663</v>
      </c>
      <c r="BN37" s="78">
        <f>'Alternative 1'!$B$39*$B37*$C37*COS($K$83)-($N$82/3)*$E37*SIN($K$83)-($N$82/3)*$F37*SIN($K$83)-($N$82/3)*$G37*SIN($K$83)</f>
        <v>2953.1757740557864</v>
      </c>
      <c r="BO37" s="79">
        <f>IF(($A37&lt;'Alternative 1'!$B$27),(($H37*'Alternative 1'!$B$39)+(3*($N$82/3)*COS($K$83))),IF(($A37&lt;'Alternative 1'!$B$28),(($H37*'Alternative 1'!$B$39)+(2*(($N$82/3)*COS($K$83)))),IF(($A37&lt;'Alternative 1'!$B$29),(($H$3*'Alternative 1'!$B$39+(($N$82/3)*COS($K$83)))),($H37*'Alternative 1'!$B$39))))</f>
        <v>17006.661479167309</v>
      </c>
      <c r="BP37" s="78">
        <f>BN37*'Alternative 1'!$K38/'Alternative 1'!$L38</f>
        <v>93252.624944386538</v>
      </c>
      <c r="BQ37" s="78">
        <f>BO37/'Alternative 1'!$M38</f>
        <v>10740.3990237737</v>
      </c>
      <c r="BR37" s="78">
        <f t="shared" si="10"/>
        <v>0.10399302396816024</v>
      </c>
      <c r="BT37" s="78">
        <f>'Alternative 1'!$B$39*$B37*$C37*COS($K$93)-($K$92/3)*$E37*SIN($K$93)-($K$92/3)*$F37*SIN($K$93)-($K$92/3)*$G37*SIN($K$93)</f>
        <v>1.0417842517177888E-12</v>
      </c>
      <c r="BU37" s="79">
        <f>IF(($A37&lt;'Alternative 1'!$B$27),(($H37*'Alternative 1'!$B$39)+(3*($N$92/3)*COS($K$93))),IF(($A37&lt;'Alternative 1'!$B$28),(($H37*'Alternative 1'!$B$39)+(2*(($N$92/3)*COS($K$93)))),IF(($A37&lt;'Alternative 1'!$B$29),(($H$3*'Alternative 1'!$B$39+(($N$92/3)*COS($K$93)))),($H37*'Alternative 1'!$B$39))))</f>
        <v>17006.661479167309</v>
      </c>
      <c r="BV37" s="78">
        <f>BT37*'Alternative 1'!$K38/'Alternative 1'!$L38</f>
        <v>3.2896489586526101E-11</v>
      </c>
      <c r="BW37" s="78">
        <f>BU37/'Alternative 1'!$M38</f>
        <v>10740.3990237737</v>
      </c>
      <c r="BX37" s="78">
        <f t="shared" si="11"/>
        <v>1.0740399023773732E-2</v>
      </c>
      <c r="BZ37" s="77">
        <v>150</v>
      </c>
      <c r="CA37" s="77">
        <v>-150</v>
      </c>
      <c r="CB37" s="281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</row>
    <row r="38" spans="1:115" ht="15" customHeight="1" x14ac:dyDescent="0.25">
      <c r="A38" s="89">
        <f>IF('Alternative 1'!F39&gt;0,'Alternative 1'!F39,"x")</f>
        <v>36</v>
      </c>
      <c r="B38" s="89">
        <f t="shared" si="17"/>
        <v>1</v>
      </c>
      <c r="C38" s="89">
        <f t="shared" si="12"/>
        <v>0.5</v>
      </c>
      <c r="D38" s="89">
        <f t="shared" si="13"/>
        <v>36</v>
      </c>
      <c r="E38" s="74">
        <f>IF($A38&lt;='Alternative 1'!$B$27, IF($A38='Alternative 1'!$B$27,0,E39+1),0)</f>
        <v>0</v>
      </c>
      <c r="F38" s="74">
        <f>IF($A38&lt;=('Alternative 1'!$B$28), IF($A38=ROUNDDOWN('Alternative 1'!$B$28,0),0,F39+1),0)</f>
        <v>0</v>
      </c>
      <c r="G38" s="74">
        <f>IF($A38&lt;=('Alternative 1'!$B$29), IF($A38=ROUNDDOWN('Alternative 1'!$B$29,0),0,G39+1),0)</f>
        <v>0</v>
      </c>
      <c r="H38" s="89">
        <f t="shared" si="14"/>
        <v>1</v>
      </c>
      <c r="J38" s="77">
        <f t="shared" si="15"/>
        <v>35</v>
      </c>
      <c r="K38" s="77">
        <f t="shared" si="16"/>
        <v>0.6108652381980153</v>
      </c>
      <c r="L38" s="78">
        <f>'Alternative 1'!$B$27*SIN(K38)+'Alternative 1'!$B$28*SIN(K38)+'Alternative 1'!$B$29*SIN(K38)</f>
        <v>39.003197671871135</v>
      </c>
      <c r="M38" s="77">
        <f>(('Alternative 1'!$B$27)*(((('Alternative 1'!$B$28-'Alternative 1'!$B$27)/2)+'Alternative 1'!$B$27)*'Alternative 1'!$B$39)*COS('Alternative 1-Tilt Up'!K38))+(('Alternative 1'!$B$28)*((('Alternative 1'!$B$28-'Alternative 1'!$B$27)/2)+(('Alternative 1'!$B$29-'Alternative 1'!$B$28)/2))*('Alternative 1'!$B$39)*COS('Alternative 1-Tilt Up'!K38))+(('Alternative 1'!$B$29)*((('Alternative 1'!$B$12-'Alternative 1'!$B$29+(('Alternative 1'!$B$29-'Alternative 1'!$B$28)/2)*('Alternative 1'!$B$39)*COS('Alternative 1-Tilt Up'!K38)))))</f>
        <v>3887823.0734546264</v>
      </c>
      <c r="N38" s="77">
        <f t="shared" si="0"/>
        <v>299038.79467748106</v>
      </c>
      <c r="O38" s="77">
        <f>(((('Alternative 1'!$B$28-'Alternative 1'!$B$27)/2)+'Alternative 1'!$B$27)*('Alternative 1'!$B$39)*COS('Alternative 1-Tilt Up'!K38))+(((('Alternative 1'!$B$28-'Alternative 1'!$B$27)/2)+(('Alternative 1'!$B$29-'Alternative 1'!$B$28)/2))*('Alternative 1'!$B$39)*COS('Alternative 1-Tilt Up'!K38))+(((('Alternative 1'!$B$12-'Alternative 1'!$B$29)+(('Alternative 1'!$B$29-'Alternative 1'!$B$28)/2))*('Alternative 1'!$B$39)*COS('Alternative 1-Tilt Up'!K38)))</f>
        <v>250758.74730943347</v>
      </c>
      <c r="P38" s="77">
        <f t="shared" si="1"/>
        <v>244958.23998177468</v>
      </c>
      <c r="R38" s="78">
        <f>'Alternative 1'!$B$39*$B38*$C38*COS($K$5)-($N$5/3)*$E38*SIN($K$5)-($N$5/3)*$F38*SIN($K$5)-($N$5/3)*$G38*SIN($K$5)</f>
        <v>4249.075370124704</v>
      </c>
      <c r="S38" s="79">
        <f>IF(($A38&lt;'Alternative 1'!$B$27),(($H38*'Alternative 1'!$B$39)+(3*($N$5/3)*COS($K$5))),IF(($A38&lt;'Alternative 1'!$B$28),(($H38*'Alternative 1'!$B$39)+(2*(($N$5/3)*COS($K$5)))),IF(($A38&lt;'Alternative 1'!$B$29),(($H$3*'Alternative 1'!$B$39+(($N$5/3)*COS($K$5)))),($H38*'Alternative 1'!$B$39))))</f>
        <v>8503.3307395836546</v>
      </c>
      <c r="T38" s="78">
        <f>R38*'Alternative 1'!$K39/'Alternative 1'!$L39</f>
        <v>138012.63672232218</v>
      </c>
      <c r="U38" s="78">
        <f>S38/'Alternative 1'!$M39</f>
        <v>5523.865186620912</v>
      </c>
      <c r="V38" s="78">
        <f t="shared" si="2"/>
        <v>0.1435365019089431</v>
      </c>
      <c r="X38" s="78">
        <f>'Alternative 1'!$B$39*$B38*$C38*COS($K$13)-($N$12/3)*$E38*SIN($K$13)-($N$12/3)*$F38*SIN($K$13)-($N$12/3)*$G38*SIN($K$13)</f>
        <v>4187.0730193845084</v>
      </c>
      <c r="Y38" s="79">
        <f>IF(($A38&lt;'Alternative 1'!$B$27),(($H38*'Alternative 1'!$B$39)+(3*($N$12/3)*COS($K$13))),IF(($A38&lt;'Alternative 1'!$B$28),(($H38*'Alternative 1'!$B$39)+(2*(($N$12/3)*COS($K$13)))),IF(($A38&lt;'Alternative 1'!$B$29),(($H$3*'Alternative 1'!$B$39+(($N$12/3)*COS($K$13)))),($H38*'Alternative 1'!$B$39))))</f>
        <v>8503.3307395836546</v>
      </c>
      <c r="Z38" s="78">
        <f>X38*'Alternative 1'!$K39/'Alternative 1'!$L39</f>
        <v>135998.76142869904</v>
      </c>
      <c r="AA38" s="78">
        <f>Y38/'Alternative 1'!$M39</f>
        <v>5523.865186620912</v>
      </c>
      <c r="AB38" s="78">
        <f t="shared" si="3"/>
        <v>0.14152262661531995</v>
      </c>
      <c r="AD38" s="78">
        <f>'Alternative 1'!$B$39*$B38*$C38*COS($K$23)-($N$22/3)*$E38*SIN($K$23)-($N$22/3)*$F38*SIN($K$23)-($N$22/3)*$G38*SIN($K$23)</f>
        <v>3995.2585740443706</v>
      </c>
      <c r="AE38" s="79">
        <f>IF(($A38&lt;'Alternative 1'!$B$27),(($H38*'Alternative 1'!$B$39)+(3*($N$22/3)*COS($K$23))),IF(($A38&lt;'Alternative 1'!$B$28),(($H38*'Alternative 1'!$B$39)+(2*(($N$22/3)*COS($K$23)))),IF(($A38&lt;'Alternative 1'!$B$29),(($H$3*'Alternative 1'!$B$39+(($N$22/3)*COS($K$23)))),($H38*'Alternative 1'!$B$39))))</f>
        <v>8503.3307395836546</v>
      </c>
      <c r="AF38" s="78">
        <f>AD38*'Alternative 1'!$K39/'Alternative 1'!$L39</f>
        <v>129768.50777187932</v>
      </c>
      <c r="AG38" s="78">
        <f>AE38/'Alternative 1'!$M39</f>
        <v>5523.865186620912</v>
      </c>
      <c r="AH38" s="78">
        <f t="shared" si="4"/>
        <v>0.13529237295850022</v>
      </c>
      <c r="AJ38" s="78">
        <f>'Alternative 1'!$B$39*$B38*$C38*COS($K$33)-($N$32/3)*$E38*SIN($K$33)-($N$32/3)*$F38*SIN($K$33)-($N$32/3)*$G38*SIN($K$33)</f>
        <v>3682.050218630282</v>
      </c>
      <c r="AK38" s="79">
        <f>IF(($A38&lt;'Alternative 1'!$B$27),(($H38*'Alternative 1'!$B$39)+(3*($N$32/3)*COS($K$33))),IF(($A38&lt;'Alternative 1'!$B$28),(($H38*'Alternative 1'!$B$39)+(2*(($N$32/3)*COS($K$33)))),IF(($A38&lt;'Alternative 1'!$B$29),(($H$3*'Alternative 1'!$B$39+(($N$32/3)*COS($K$33)))),($H38*'Alternative 1'!$B$39))))</f>
        <v>8503.3307395836546</v>
      </c>
      <c r="AL38" s="78">
        <f>AJ38*'Alternative 1'!$K39/'Alternative 1'!$L39</f>
        <v>119595.3036724444</v>
      </c>
      <c r="AM38" s="78">
        <f>AK38/'Alternative 1'!$M39</f>
        <v>5523.865186620912</v>
      </c>
      <c r="AN38" s="78">
        <f t="shared" si="5"/>
        <v>0.12511916885906529</v>
      </c>
      <c r="AP38" s="78">
        <f>'Alternative 1'!$B$39*$B38*$C38*COS($K$43)-($N$42/3)*$E38*SIN($K$43)-($N$42/3)*$F38*SIN($K$43)-($N$42/3)*$G38*SIN($K$43)</f>
        <v>3256.9646305304241</v>
      </c>
      <c r="AQ38" s="79">
        <f>IF(($A38&lt;'Alternative 1'!$B$27),(($H38*'Alternative 1'!$B$39)+(3*($N$42/3)*COS($K$43))),IF(($A38&lt;'Alternative 1'!$B$28),(($H38*'Alternative 1'!$B$39)+(2*(($N$42/3)*COS($K$43)))),IF(($A38&lt;'Alternative 1'!$B$29),(($H$3*'Alternative 1'!$B$39+(($N$42/3)*COS($K$43)))),($H38*'Alternative 1'!$B$39))))</f>
        <v>8503.3307395836546</v>
      </c>
      <c r="AR38" s="78">
        <f>AP38*'Alternative 1'!$K39/'Alternative 1'!$L39</f>
        <v>105788.25678906596</v>
      </c>
      <c r="AS38" s="78">
        <f>AQ38/'Alternative 1'!$M39</f>
        <v>5523.865186620912</v>
      </c>
      <c r="AT38" s="78">
        <f t="shared" si="6"/>
        <v>0.11131212197568686</v>
      </c>
      <c r="AV38" s="78">
        <f>'Alternative 1'!$B$39*$B38*$C38*COS($K$53)-($N$52/3)*$E38*SIN($K$53)-($N$52/3)*$F38*SIN($K$53)-($N$52/3)*$G38*SIN($K$53)</f>
        <v>2732.9178202355251</v>
      </c>
      <c r="AW38" s="79">
        <f>IF(($A38&lt;'Alternative 1'!$B$27),(($H38*'Alternative 1'!$B$39)+(3*($N$52/3)*COS($K$53))),IF(($A38&lt;'Alternative 1'!$B$28),(($H38*'Alternative 1'!$B$39)+(2*(($N$52/3)*COS($K$53)))),IF(($A38&lt;'Alternative 1'!$B$29),(($H$3*'Alternative 1'!$B$39+(($N$52/3)*COS($K$53)))),($H38*'Alternative 1'!$B$39))))</f>
        <v>8503.3307395836546</v>
      </c>
      <c r="AX38" s="78">
        <f>AV38*'Alternative 1'!$K39/'Alternative 1'!$L39</f>
        <v>88766.887254592628</v>
      </c>
      <c r="AY38" s="78">
        <f>AW38/'Alternative 1'!$M39</f>
        <v>5523.865186620912</v>
      </c>
      <c r="AZ38" s="78">
        <f t="shared" si="7"/>
        <v>9.4290752441213543E-2</v>
      </c>
      <c r="BB38" s="78">
        <f>'Alternative 1'!$B$39*$B38*$C38*COS($K$63)-($N$62/3)*$E38*SIN($K$63)-($N$62/3)*$F38*SIN($K$63)-($N$62/3)*$G38*SIN($K$63)</f>
        <v>2125.8326848959141</v>
      </c>
      <c r="BC38" s="79">
        <f>IF(($A38&lt;'Alternative 1'!$B$27),(($H38*'Alternative 1'!$B$39)+(3*($N$62/3)*COS($K$63))),IF(($A38&lt;'Alternative 1'!$B$28),(($H38*'Alternative 1'!$B$39)+(2*(($N$62/3)*COS($K$63)))),IF(($A38&lt;'Alternative 1'!$B$29),(($H$3*'Alternative 1'!$B$39+(($N$62/3)*COS($K$63)))),($H38*'Alternative 1'!$B$39))))</f>
        <v>8503.3307395836546</v>
      </c>
      <c r="BD38" s="78">
        <f>BB38*'Alternative 1'!$K39/'Alternative 1'!$L39</f>
        <v>69048.380769100811</v>
      </c>
      <c r="BE38" s="78">
        <f>BC38/'Alternative 1'!$M39</f>
        <v>5523.865186620912</v>
      </c>
      <c r="BF38" s="78">
        <f t="shared" si="8"/>
        <v>7.4572245955721719E-2</v>
      </c>
      <c r="BH38" s="78">
        <f>'Alternative 1'!$B$39*$B38*$C38*COS($K$73)-($N$72/3)*$E38*SIN($K$73)-($N$72/3)*$F38*SIN($K$73)-($N$72/3)*$G38*SIN($K$73)</f>
        <v>1454.1551991489835</v>
      </c>
      <c r="BI38" s="79">
        <f>IF(($A38&lt;'Alternative 1'!$B$27),(($H38*'Alternative 1'!$B$39)+(3*($N$72/3)*COS($K$73))),IF(($A38&lt;'Alternative 1'!$B$28),(($H38*'Alternative 1'!$B$39)+(2*(($N$72/3)*COS($K$73)))),IF(($A38&lt;'Alternative 1'!$B$29),(($H$3*'Alternative 1'!$B$39+(($N$72/3)*COS($K$73)))),($H38*'Alternative 1'!$B$39))))</f>
        <v>8503.3307395836546</v>
      </c>
      <c r="BJ38" s="78">
        <f>BH38*'Alternative 1'!$K39/'Alternative 1'!$L39</f>
        <v>47231.874174106422</v>
      </c>
      <c r="BK38" s="78">
        <f>BI38/'Alternative 1'!$M39</f>
        <v>5523.865186620912</v>
      </c>
      <c r="BL38" s="78">
        <f t="shared" si="9"/>
        <v>5.2755739360727333E-2</v>
      </c>
      <c r="BN38" s="78">
        <f>'Alternative 1'!$B$39*$B38*$C38*COS($K$83)-($N$82/3)*$E38*SIN($K$83)-($N$82/3)*$F38*SIN($K$83)-($N$82/3)*$G38*SIN($K$83)</f>
        <v>738.2939435139466</v>
      </c>
      <c r="BO38" s="79">
        <f>IF(($A38&lt;'Alternative 1'!$B$27),(($H38*'Alternative 1'!$B$39)+(3*($N$82/3)*COS($K$83))),IF(($A38&lt;'Alternative 1'!$B$28),(($H38*'Alternative 1'!$B$39)+(2*(($N$82/3)*COS($K$83)))),IF(($A38&lt;'Alternative 1'!$B$29),(($H$3*'Alternative 1'!$B$39+(($N$82/3)*COS($K$83)))),($H38*'Alternative 1'!$B$39))))</f>
        <v>8503.3307395836546</v>
      </c>
      <c r="BP38" s="78">
        <f>BN38*'Alternative 1'!$K39/'Alternative 1'!$L39</f>
        <v>23980.250982813355</v>
      </c>
      <c r="BQ38" s="78">
        <f>BO38/'Alternative 1'!$M39</f>
        <v>5523.865186620912</v>
      </c>
      <c r="BR38" s="78">
        <f t="shared" si="10"/>
        <v>2.9504116169434266E-2</v>
      </c>
      <c r="BT38" s="78">
        <f>'Alternative 1'!$B$39*$B38*$C38*COS($K$93)-($K$92/3)*$E38*SIN($K$93)-($K$92/3)*$F38*SIN($K$93)-($K$92/3)*$G38*SIN($K$93)</f>
        <v>2.6044606292944721E-13</v>
      </c>
      <c r="BU38" s="79">
        <f>IF(($A38&lt;'Alternative 1'!$B$27),(($H38*'Alternative 1'!$B$39)+(3*($N$92/3)*COS($K$93))),IF(($A38&lt;'Alternative 1'!$B$28),(($H38*'Alternative 1'!$B$39)+(2*(($N$92/3)*COS($K$93)))),IF(($A38&lt;'Alternative 1'!$B$29),(($H$3*'Alternative 1'!$B$39+(($N$92/3)*COS($K$93)))),($H38*'Alternative 1'!$B$39))))</f>
        <v>8503.3307395836546</v>
      </c>
      <c r="BV38" s="78">
        <f>BT38*'Alternative 1'!$K39/'Alternative 1'!$L39</f>
        <v>8.4594517013205931E-12</v>
      </c>
      <c r="BW38" s="78">
        <f>BU38/'Alternative 1'!$M39</f>
        <v>5523.865186620912</v>
      </c>
      <c r="BX38" s="78">
        <f t="shared" si="11"/>
        <v>5.5238651866209203E-3</v>
      </c>
      <c r="BZ38" s="77">
        <v>150</v>
      </c>
      <c r="CA38" s="77">
        <v>-150</v>
      </c>
      <c r="CB38" s="281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</row>
    <row r="39" spans="1:115" ht="15" customHeight="1" x14ac:dyDescent="0.25">
      <c r="A39" s="89" t="str">
        <f>IF('Alternative 1'!F40&gt;0,'Alternative 1'!F40,"x")</f>
        <v>x</v>
      </c>
      <c r="B39" s="89" t="str">
        <f t="shared" si="17"/>
        <v>x</v>
      </c>
      <c r="C39" s="89">
        <f t="shared" si="12"/>
        <v>0</v>
      </c>
      <c r="D39" s="89" t="str">
        <f t="shared" si="13"/>
        <v>x</v>
      </c>
      <c r="E39" s="74">
        <f>IF($A39&lt;='Alternative 1'!$B$27, IF($A39='Alternative 1'!$B$27,0,E40+1),0)</f>
        <v>0</v>
      </c>
      <c r="F39" s="74">
        <f>IF($A39&lt;=('Alternative 1'!$B$28), IF($A39=ROUNDDOWN('Alternative 1'!$B$28,0),0,F40+1),0)</f>
        <v>0</v>
      </c>
      <c r="G39" s="74">
        <f>IF($A39&lt;=('Alternative 1'!$B$29), IF($A39=ROUNDDOWN('Alternative 1'!$B$29,0),0,G40+1),0)</f>
        <v>0</v>
      </c>
      <c r="H39" s="89" t="str">
        <f t="shared" si="14"/>
        <v>x</v>
      </c>
      <c r="J39" s="77">
        <f t="shared" si="15"/>
        <v>36</v>
      </c>
      <c r="K39" s="77">
        <f t="shared" si="16"/>
        <v>0.62831853071795862</v>
      </c>
      <c r="L39" s="78">
        <f>'Alternative 1'!$B$27*SIN(K39)+'Alternative 1'!$B$28*SIN(K39)+'Alternative 1'!$B$29*SIN(K39)</f>
        <v>39.969397155888174</v>
      </c>
      <c r="M39" s="77">
        <f>(('Alternative 1'!$B$27)*(((('Alternative 1'!$B$28-'Alternative 1'!$B$27)/2)+'Alternative 1'!$B$27)*'Alternative 1'!$B$39)*COS('Alternative 1-Tilt Up'!K39))+(('Alternative 1'!$B$28)*((('Alternative 1'!$B$28-'Alternative 1'!$B$27)/2)+(('Alternative 1'!$B$29-'Alternative 1'!$B$28)/2))*('Alternative 1'!$B$39)*COS('Alternative 1-Tilt Up'!K39))+(('Alternative 1'!$B$29)*((('Alternative 1'!$B$12-'Alternative 1'!$B$29+(('Alternative 1'!$B$29-'Alternative 1'!$B$28)/2)*('Alternative 1'!$B$39)*COS('Alternative 1-Tilt Up'!K39)))))</f>
        <v>3839722.9698777962</v>
      </c>
      <c r="N39" s="77">
        <f t="shared" si="0"/>
        <v>288199.71601539198</v>
      </c>
      <c r="O39" s="77">
        <f>(((('Alternative 1'!$B$28-'Alternative 1'!$B$27)/2)+'Alternative 1'!$B$27)*('Alternative 1'!$B$39)*COS('Alternative 1-Tilt Up'!K39))+(((('Alternative 1'!$B$28-'Alternative 1'!$B$27)/2)+(('Alternative 1'!$B$29-'Alternative 1'!$B$28)/2))*('Alternative 1'!$B$39)*COS('Alternative 1-Tilt Up'!K39))+(((('Alternative 1'!$B$12-'Alternative 1'!$B$29)+(('Alternative 1'!$B$29-'Alternative 1'!$B$28)/2))*('Alternative 1'!$B$39)*COS('Alternative 1-Tilt Up'!K39)))</f>
        <v>247656.20677610641</v>
      </c>
      <c r="P39" s="77">
        <f t="shared" si="1"/>
        <v>233158.46803048582</v>
      </c>
      <c r="R39" s="78" t="e">
        <f>'Alternative 1'!$B$39*$B39*$C39*COS($K$5)-($N$5/3)*$E39*SIN($K$5)-($N$5/3)*$F39*SIN($K$5)-($N$5/3)*$G39*SIN($K$5)</f>
        <v>#VALUE!</v>
      </c>
      <c r="S39" s="79" t="e">
        <f>IF(($A39&lt;'Alternative 1'!$B$27),(($H39*'Alternative 1'!$B$39)+(3*($N$5/3)*COS($K$5))),IF(($A39&lt;'Alternative 1'!$B$28),(($H39*'Alternative 1'!$B$39)+(2*(($N$5/3)*COS($K$5)))),IF(($A39&lt;'Alternative 1'!$B$29),(($H$3*'Alternative 1'!$B$39+(($N$5/3)*COS($K$5)))),($H39*'Alternative 1'!$B$39))))</f>
        <v>#VALUE!</v>
      </c>
      <c r="T39" s="78" t="e">
        <f>R39*'Alternative 1'!$K40/'Alternative 1'!$L40</f>
        <v>#VALUE!</v>
      </c>
      <c r="U39" s="78" t="e">
        <f>S39/'Alternative 1'!$M40</f>
        <v>#VALUE!</v>
      </c>
      <c r="V39" s="78" t="e">
        <f t="shared" si="2"/>
        <v>#VALUE!</v>
      </c>
      <c r="X39" s="78" t="e">
        <f>'Alternative 1'!$B$39*$B39*$C39*COS($K$13)-($N$12/3)*$E39*SIN($K$13)-($N$12/3)*$F39*SIN($K$13)-($N$12/3)*$G39*SIN($K$13)</f>
        <v>#VALUE!</v>
      </c>
      <c r="Y39" s="79" t="e">
        <f>IF(($A39&lt;'Alternative 1'!$B$27),(($H39*'Alternative 1'!$B$39)+(3*($N$12/3)*COS($K$13))),IF(($A39&lt;'Alternative 1'!$B$28),(($H39*'Alternative 1'!$B$39)+(2*(($N$12/3)*COS($K$13)))),IF(($A39&lt;'Alternative 1'!$B$29),(($H$3*'Alternative 1'!$B$39+(($N$12/3)*COS($K$13)))),($H39*'Alternative 1'!$B$39))))</f>
        <v>#VALUE!</v>
      </c>
      <c r="Z39" s="78" t="e">
        <f>X39*'Alternative 1'!$K40/'Alternative 1'!$L40</f>
        <v>#VALUE!</v>
      </c>
      <c r="AA39" s="78" t="e">
        <f>Y39/'Alternative 1'!$M40</f>
        <v>#VALUE!</v>
      </c>
      <c r="AB39" s="78" t="e">
        <f t="shared" si="3"/>
        <v>#VALUE!</v>
      </c>
      <c r="AD39" s="78" t="e">
        <f>'Alternative 1'!$B$39*$B39*$C39*COS($K$23)-($N$22/3)*$E39*SIN($K$23)-($N$22/3)*$F39*SIN($K$23)-($N$22/3)*$G39*SIN($K$23)</f>
        <v>#VALUE!</v>
      </c>
      <c r="AE39" s="79" t="e">
        <f>IF(($A39&lt;'Alternative 1'!$B$27),(($H39*'Alternative 1'!$B$39)+(3*($N$22/3)*COS($K$23))),IF(($A39&lt;'Alternative 1'!$B$28),(($H39*'Alternative 1'!$B$39)+(2*(($N$22/3)*COS($K$23)))),IF(($A39&lt;'Alternative 1'!$B$29),(($H$3*'Alternative 1'!$B$39+(($N$22/3)*COS($K$23)))),($H39*'Alternative 1'!$B$39))))</f>
        <v>#VALUE!</v>
      </c>
      <c r="AF39" s="78" t="e">
        <f>AD39*'Alternative 1'!$K40/'Alternative 1'!$L40</f>
        <v>#VALUE!</v>
      </c>
      <c r="AG39" s="78" t="e">
        <f>AE39/'Alternative 1'!$M40</f>
        <v>#VALUE!</v>
      </c>
      <c r="AH39" s="78" t="e">
        <f t="shared" si="4"/>
        <v>#VALUE!</v>
      </c>
      <c r="AJ39" s="78" t="e">
        <f>'Alternative 1'!$B$39*$B39*$C39*COS($K$33)-($N$32/3)*$E39*SIN($K$33)-($N$32/3)*$F39*SIN($K$33)-($N$32/3)*$G39*SIN($K$33)</f>
        <v>#VALUE!</v>
      </c>
      <c r="AK39" s="79" t="e">
        <f>IF(($A39&lt;'Alternative 1'!$B$27),(($H39*'Alternative 1'!$B$39)+(3*($N$32/3)*COS($K$33))),IF(($A39&lt;'Alternative 1'!$B$28),(($H39*'Alternative 1'!$B$39)+(2*(($N$32/3)*COS($K$33)))),IF(($A39&lt;'Alternative 1'!$B$29),(($H$3*'Alternative 1'!$B$39+(($N$32/3)*COS($K$33)))),($H39*'Alternative 1'!$B$39))))</f>
        <v>#VALUE!</v>
      </c>
      <c r="AL39" s="78" t="e">
        <f>AJ39*'Alternative 1'!$K40/'Alternative 1'!$L40</f>
        <v>#VALUE!</v>
      </c>
      <c r="AM39" s="78" t="e">
        <f>AK39/'Alternative 1'!$M40</f>
        <v>#VALUE!</v>
      </c>
      <c r="AN39" s="78" t="e">
        <f t="shared" si="5"/>
        <v>#VALUE!</v>
      </c>
      <c r="AP39" s="78" t="e">
        <f>'Alternative 1'!$B$39*$B39*$C39*COS($K$43)-($N$42/3)*$E39*SIN($K$43)-($N$42/3)*$F39*SIN($K$43)-($N$42/3)*$G39*SIN($K$43)</f>
        <v>#VALUE!</v>
      </c>
      <c r="AQ39" s="79" t="e">
        <f>IF(($A39&lt;'Alternative 1'!$B$27),(($H39*'Alternative 1'!$B$39)+(3*($N$42/3)*COS($K$43))),IF(($A39&lt;'Alternative 1'!$B$28),(($H39*'Alternative 1'!$B$39)+(2*(($N$42/3)*COS($K$43)))),IF(($A39&lt;'Alternative 1'!$B$29),(($H$3*'Alternative 1'!$B$39+(($N$42/3)*COS($K$43)))),($H39*'Alternative 1'!$B$39))))</f>
        <v>#VALUE!</v>
      </c>
      <c r="AR39" s="78" t="e">
        <f>AP39*'Alternative 1'!$K40/'Alternative 1'!$L40</f>
        <v>#VALUE!</v>
      </c>
      <c r="AS39" s="78" t="e">
        <f>AQ39/'Alternative 1'!$M40</f>
        <v>#VALUE!</v>
      </c>
      <c r="AT39" s="78" t="e">
        <f t="shared" si="6"/>
        <v>#VALUE!</v>
      </c>
      <c r="AV39" s="78" t="e">
        <f>'Alternative 1'!$B$39*$B39*$C39*COS($K$53)-($N$52/3)*$E39*SIN($K$53)-($N$52/3)*$F39*SIN($K$53)-($N$52/3)*$G39*SIN($K$53)</f>
        <v>#VALUE!</v>
      </c>
      <c r="AW39" s="79" t="e">
        <f>IF(($A39&lt;'Alternative 1'!$B$27),(($H39*'Alternative 1'!$B$39)+(3*($N$52/3)*COS($K$53))),IF(($A39&lt;'Alternative 1'!$B$28),(($H39*'Alternative 1'!$B$39)+(2*(($N$52/3)*COS($K$53)))),IF(($A39&lt;'Alternative 1'!$B$29),(($H$3*'Alternative 1'!$B$39+(($N$52/3)*COS($K$53)))),($H39*'Alternative 1'!$B$39))))</f>
        <v>#VALUE!</v>
      </c>
      <c r="AX39" s="78" t="e">
        <f>AV39*'Alternative 1'!$K40/'Alternative 1'!$L40</f>
        <v>#VALUE!</v>
      </c>
      <c r="AY39" s="78" t="e">
        <f>AW39/'Alternative 1'!$M40</f>
        <v>#VALUE!</v>
      </c>
      <c r="AZ39" s="78" t="e">
        <f t="shared" si="7"/>
        <v>#VALUE!</v>
      </c>
      <c r="BB39" s="78" t="e">
        <f>'Alternative 1'!$B$39*$B39*$C39*COS($K$63)-($N$62/3)*$E39*SIN($K$63)-($N$62/3)*$F39*SIN($K$63)-($N$62/3)*$G39*SIN($K$63)</f>
        <v>#VALUE!</v>
      </c>
      <c r="BC39" s="79" t="e">
        <f>IF(($A39&lt;'Alternative 1'!$B$27),(($H39*'Alternative 1'!$B$39)+(3*($N$62/3)*COS($K$63))),IF(($A39&lt;'Alternative 1'!$B$28),(($H39*'Alternative 1'!$B$39)+(2*(($N$62/3)*COS($K$63)))),IF(($A39&lt;'Alternative 1'!$B$29),(($H$3*'Alternative 1'!$B$39+(($N$62/3)*COS($K$63)))),($H39*'Alternative 1'!$B$39))))</f>
        <v>#VALUE!</v>
      </c>
      <c r="BD39" s="78" t="e">
        <f>BB39*'Alternative 1'!$K40/'Alternative 1'!$L40</f>
        <v>#VALUE!</v>
      </c>
      <c r="BE39" s="78" t="e">
        <f>BC39/'Alternative 1'!$M40</f>
        <v>#VALUE!</v>
      </c>
      <c r="BF39" s="78" t="e">
        <f t="shared" si="8"/>
        <v>#VALUE!</v>
      </c>
      <c r="BH39" s="78" t="e">
        <f>'Alternative 1'!$B$39*$B39*$C39*COS($K$73)-($N$72/3)*$E39*SIN($K$73)-($N$72/3)*$F39*SIN($K$73)-($N$72/3)*$G39*SIN($K$73)</f>
        <v>#VALUE!</v>
      </c>
      <c r="BI39" s="79" t="e">
        <f>IF(($A39&lt;'Alternative 1'!$B$27),(($H39*'Alternative 1'!$B$39)+(3*($N$72/3)*COS($K$73))),IF(($A39&lt;'Alternative 1'!$B$28),(($H39*'Alternative 1'!$B$39)+(2*(($N$72/3)*COS($K$73)))),IF(($A39&lt;'Alternative 1'!$B$29),(($H$3*'Alternative 1'!$B$39+(($N$72/3)*COS($K$73)))),($H39*'Alternative 1'!$B$39))))</f>
        <v>#VALUE!</v>
      </c>
      <c r="BJ39" s="78" t="e">
        <f>BH39*'Alternative 1'!$K40/'Alternative 1'!$L40</f>
        <v>#VALUE!</v>
      </c>
      <c r="BK39" s="78" t="e">
        <f>BI39/'Alternative 1'!$M40</f>
        <v>#VALUE!</v>
      </c>
      <c r="BL39" s="78" t="e">
        <f t="shared" si="9"/>
        <v>#VALUE!</v>
      </c>
      <c r="BN39" s="78" t="e">
        <f>'Alternative 1'!$B$39*$B39*$C39*COS($K$83)-($N$82/3)*$E39*SIN($K$83)-($N$82/3)*$F39*SIN($K$83)-($N$82/3)*$G39*SIN($K$83)</f>
        <v>#VALUE!</v>
      </c>
      <c r="BO39" s="79" t="e">
        <f>IF(($A39&lt;'Alternative 1'!$B$27),(($H39*'Alternative 1'!$B$39)+(3*($N$82/3)*COS($K$83))),IF(($A39&lt;'Alternative 1'!$B$28),(($H39*'Alternative 1'!$B$39)+(2*(($N$82/3)*COS($K$83)))),IF(($A39&lt;'Alternative 1'!$B$29),(($H$3*'Alternative 1'!$B$39+(($N$82/3)*COS($K$83)))),($H39*'Alternative 1'!$B$39))))</f>
        <v>#VALUE!</v>
      </c>
      <c r="BP39" s="78" t="e">
        <f>BN39*'Alternative 1'!$K40/'Alternative 1'!$L40</f>
        <v>#VALUE!</v>
      </c>
      <c r="BQ39" s="78" t="e">
        <f>BO39/'Alternative 1'!$M40</f>
        <v>#VALUE!</v>
      </c>
      <c r="BR39" s="78" t="e">
        <f t="shared" si="10"/>
        <v>#VALUE!</v>
      </c>
      <c r="BT39" s="78" t="e">
        <f>'Alternative 1'!$B$39*$B39*$C39*COS($K$93)-($K$92/3)*$E39*SIN($K$93)-($K$92/3)*$F39*SIN($K$93)-($K$92/3)*$G39*SIN($K$93)</f>
        <v>#VALUE!</v>
      </c>
      <c r="BU39" s="79" t="e">
        <f>IF(($A39&lt;'Alternative 1'!$B$27),(($H39*'Alternative 1'!$B$39)+(3*($N$92/3)*COS($K$93))),IF(($A39&lt;'Alternative 1'!$B$28),(($H39*'Alternative 1'!$B$39)+(2*(($N$92/3)*COS($K$93)))),IF(($A39&lt;'Alternative 1'!$B$29),(($H$3*'Alternative 1'!$B$39+(($N$92/3)*COS($K$93)))),($H39*'Alternative 1'!$B$39))))</f>
        <v>#VALUE!</v>
      </c>
      <c r="BV39" s="78" t="e">
        <f>BT39*'Alternative 1'!$K40/'Alternative 1'!$L40</f>
        <v>#VALUE!</v>
      </c>
      <c r="BW39" s="78" t="e">
        <f>BU39/'Alternative 1'!$M40</f>
        <v>#VALUE!</v>
      </c>
      <c r="BX39" s="78" t="e">
        <f t="shared" si="11"/>
        <v>#VALUE!</v>
      </c>
      <c r="BZ39" s="77">
        <v>150</v>
      </c>
      <c r="CA39" s="77">
        <v>-150</v>
      </c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</row>
    <row r="40" spans="1:115" ht="15" customHeight="1" x14ac:dyDescent="0.25">
      <c r="A40" s="89" t="str">
        <f>IF('Alternative 1'!F41&gt;0,'Alternative 1'!F41,"x")</f>
        <v>x</v>
      </c>
      <c r="B40" s="89" t="e">
        <f t="shared" si="17"/>
        <v>#VALUE!</v>
      </c>
      <c r="C40" s="89">
        <f t="shared" si="12"/>
        <v>0</v>
      </c>
      <c r="D40" s="89" t="str">
        <f t="shared" si="13"/>
        <v>x</v>
      </c>
      <c r="E40" s="74">
        <f>IF($A40&lt;='Alternative 1'!$B$27, IF($A40='Alternative 1'!$B$27,0,E41+1),0)</f>
        <v>0</v>
      </c>
      <c r="F40" s="74">
        <f>IF($A40&lt;=('Alternative 1'!$B$28), IF($A40=ROUNDDOWN('Alternative 1'!$B$28,0),0,F41+1),0)</f>
        <v>0</v>
      </c>
      <c r="G40" s="74">
        <f>IF($A40&lt;=('Alternative 1'!$B$29), IF($A40=ROUNDDOWN('Alternative 1'!$B$29,0),0,G41+1),0)</f>
        <v>0</v>
      </c>
      <c r="H40" s="89" t="e">
        <f t="shared" si="14"/>
        <v>#VALUE!</v>
      </c>
      <c r="J40" s="77">
        <f t="shared" si="15"/>
        <v>37</v>
      </c>
      <c r="K40" s="77">
        <f t="shared" si="16"/>
        <v>0.64577182323790194</v>
      </c>
      <c r="L40" s="78">
        <f>'Alternative 1'!$B$27*SIN(K40)+'Alternative 1'!$B$28*SIN(K40)+'Alternative 1'!$B$29*SIN(K40)</f>
        <v>40.923421574339287</v>
      </c>
      <c r="M40" s="77">
        <f>(('Alternative 1'!$B$27)*(((('Alternative 1'!$B$28-'Alternative 1'!$B$27)/2)+'Alternative 1'!$B$27)*'Alternative 1'!$B$39)*COS('Alternative 1-Tilt Up'!K40))+(('Alternative 1'!$B$28)*((('Alternative 1'!$B$28-'Alternative 1'!$B$27)/2)+(('Alternative 1'!$B$29-'Alternative 1'!$B$28)/2))*('Alternative 1'!$B$39)*COS('Alternative 1-Tilt Up'!K40))+(('Alternative 1'!$B$29)*((('Alternative 1'!$B$12-'Alternative 1'!$B$29+(('Alternative 1'!$B$29-'Alternative 1'!$B$28)/2)*('Alternative 1'!$B$39)*COS('Alternative 1-Tilt Up'!K40)))))</f>
        <v>3790453.3090792373</v>
      </c>
      <c r="N40" s="77">
        <f t="shared" si="0"/>
        <v>277869.23697426205</v>
      </c>
      <c r="O40" s="77">
        <f>(((('Alternative 1'!$B$28-'Alternative 1'!$B$27)/2)+'Alternative 1'!$B$27)*('Alternative 1'!$B$39)*COS('Alternative 1-Tilt Up'!K40))+(((('Alternative 1'!$B$28-'Alternative 1'!$B$27)/2)+(('Alternative 1'!$B$29-'Alternative 1'!$B$28)/2))*('Alternative 1'!$B$39)*COS('Alternative 1-Tilt Up'!K40))+(((('Alternative 1'!$B$12-'Alternative 1'!$B$29)+(('Alternative 1'!$B$29-'Alternative 1'!$B$28)/2))*('Alternative 1'!$B$39)*COS('Alternative 1-Tilt Up'!K40)))</f>
        <v>244478.22776309578</v>
      </c>
      <c r="P40" s="77">
        <f t="shared" si="1"/>
        <v>221916.23979739184</v>
      </c>
      <c r="R40" s="78" t="e">
        <f>'Alternative 1'!$B$39*$B40*$C40*COS($K$5)-($N$5/3)*$E40*SIN($K$5)-($N$5/3)*$F40*SIN($K$5)-($N$5/3)*$G40*SIN($K$5)</f>
        <v>#VALUE!</v>
      </c>
      <c r="S40" s="79" t="e">
        <f>IF(($A40&lt;'Alternative 1'!$B$27),(($H40*'Alternative 1'!$B$39)+(3*($N$5/3)*COS($K$5))),IF(($A40&lt;'Alternative 1'!$B$28),(($H40*'Alternative 1'!$B$39)+(2*(($N$5/3)*COS($K$5)))),IF(($A40&lt;'Alternative 1'!$B$29),(($H$3*'Alternative 1'!$B$39+(($N$5/3)*COS($K$5)))),($H40*'Alternative 1'!$B$39))))</f>
        <v>#VALUE!</v>
      </c>
      <c r="T40" s="78" t="e">
        <f>R40*'Alternative 1'!$K41/'Alternative 1'!$L41</f>
        <v>#VALUE!</v>
      </c>
      <c r="U40" s="78" t="e">
        <f>S40/'Alternative 1'!$M41</f>
        <v>#VALUE!</v>
      </c>
      <c r="V40" s="78" t="e">
        <f t="shared" si="2"/>
        <v>#VALUE!</v>
      </c>
      <c r="X40" s="78" t="e">
        <f>'Alternative 1'!$B$39*$B40*$C40*COS($K$13)-($N$12/3)*$E40*SIN($K$13)-($N$12/3)*$F40*SIN($K$13)-($N$12/3)*$G40*SIN($K$13)</f>
        <v>#VALUE!</v>
      </c>
      <c r="Y40" s="79" t="e">
        <f>IF(($A40&lt;'Alternative 1'!$B$27),(($H40*'Alternative 1'!$B$39)+(3*($N$12/3)*COS($K$13))),IF(($A40&lt;'Alternative 1'!$B$28),(($H40*'Alternative 1'!$B$39)+(2*(($N$12/3)*COS($K$13)))),IF(($A40&lt;'Alternative 1'!$B$29),(($H$3*'Alternative 1'!$B$39+(($N$12/3)*COS($K$13)))),($H40*'Alternative 1'!$B$39))))</f>
        <v>#VALUE!</v>
      </c>
      <c r="Z40" s="78" t="e">
        <f>X40*'Alternative 1'!$K41/'Alternative 1'!$L41</f>
        <v>#VALUE!</v>
      </c>
      <c r="AA40" s="78" t="e">
        <f>Y40/'Alternative 1'!$M41</f>
        <v>#VALUE!</v>
      </c>
      <c r="AB40" s="78" t="e">
        <f t="shared" si="3"/>
        <v>#VALUE!</v>
      </c>
      <c r="AD40" s="78" t="e">
        <f>'Alternative 1'!$B$39*$B40*$C40*COS($K$23)-($N$22/3)*$E40*SIN($K$23)-($N$22/3)*$F40*SIN($K$23)-($N$22/3)*$G40*SIN($K$23)</f>
        <v>#VALUE!</v>
      </c>
      <c r="AE40" s="79" t="e">
        <f>IF(($A40&lt;'Alternative 1'!$B$27),(($H40*'Alternative 1'!$B$39)+(3*($N$22/3)*COS($K$23))),IF(($A40&lt;'Alternative 1'!$B$28),(($H40*'Alternative 1'!$B$39)+(2*(($N$22/3)*COS($K$23)))),IF(($A40&lt;'Alternative 1'!$B$29),(($H$3*'Alternative 1'!$B$39+(($N$22/3)*COS($K$23)))),($H40*'Alternative 1'!$B$39))))</f>
        <v>#VALUE!</v>
      </c>
      <c r="AF40" s="78" t="e">
        <f>AD40*'Alternative 1'!$K41/'Alternative 1'!$L41</f>
        <v>#VALUE!</v>
      </c>
      <c r="AG40" s="78" t="e">
        <f>AE40/'Alternative 1'!$M41</f>
        <v>#VALUE!</v>
      </c>
      <c r="AH40" s="78" t="e">
        <f t="shared" si="4"/>
        <v>#VALUE!</v>
      </c>
      <c r="AJ40" s="78" t="e">
        <f>'Alternative 1'!$B$39*$B40*$C40*COS($K$33)-($N$32/3)*$E40*SIN($K$33)-($N$32/3)*$F40*SIN($K$33)-($N$32/3)*$G40*SIN($K$33)</f>
        <v>#VALUE!</v>
      </c>
      <c r="AK40" s="79" t="e">
        <f>IF(($A40&lt;'Alternative 1'!$B$27),(($H40*'Alternative 1'!$B$39)+(3*($N$32/3)*COS($K$33))),IF(($A40&lt;'Alternative 1'!$B$28),(($H40*'Alternative 1'!$B$39)+(2*(($N$32/3)*COS($K$33)))),IF(($A40&lt;'Alternative 1'!$B$29),(($H$3*'Alternative 1'!$B$39+(($N$32/3)*COS($K$33)))),($H40*'Alternative 1'!$B$39))))</f>
        <v>#VALUE!</v>
      </c>
      <c r="AL40" s="78" t="e">
        <f>AJ40*'Alternative 1'!$K41/'Alternative 1'!$L41</f>
        <v>#VALUE!</v>
      </c>
      <c r="AM40" s="78" t="e">
        <f>AK40/'Alternative 1'!$M41</f>
        <v>#VALUE!</v>
      </c>
      <c r="AN40" s="78" t="e">
        <f t="shared" si="5"/>
        <v>#VALUE!</v>
      </c>
      <c r="AP40" s="78" t="e">
        <f>'Alternative 1'!$B$39*$B40*$C40*COS($K$43)-($N$42/3)*$E40*SIN($K$43)-($N$42/3)*$F40*SIN($K$43)-($N$42/3)*$G40*SIN($K$43)</f>
        <v>#VALUE!</v>
      </c>
      <c r="AQ40" s="79" t="e">
        <f>IF(($A40&lt;'Alternative 1'!$B$27),(($H40*'Alternative 1'!$B$39)+(3*($N$42/3)*COS($K$43))),IF(($A40&lt;'Alternative 1'!$B$28),(($H40*'Alternative 1'!$B$39)+(2*(($N$42/3)*COS($K$43)))),IF(($A40&lt;'Alternative 1'!$B$29),(($H$3*'Alternative 1'!$B$39+(($N$42/3)*COS($K$43)))),($H40*'Alternative 1'!$B$39))))</f>
        <v>#VALUE!</v>
      </c>
      <c r="AR40" s="78" t="e">
        <f>AP40*'Alternative 1'!$K41/'Alternative 1'!$L41</f>
        <v>#VALUE!</v>
      </c>
      <c r="AS40" s="78" t="e">
        <f>AQ40/'Alternative 1'!$M41</f>
        <v>#VALUE!</v>
      </c>
      <c r="AT40" s="78" t="e">
        <f t="shared" si="6"/>
        <v>#VALUE!</v>
      </c>
      <c r="AV40" s="78" t="e">
        <f>'Alternative 1'!$B$39*$B40*$C40*COS($K$53)-($N$52/3)*$E40*SIN($K$53)-($N$52/3)*$F40*SIN($K$53)-($N$52/3)*$G40*SIN($K$53)</f>
        <v>#VALUE!</v>
      </c>
      <c r="AW40" s="79" t="e">
        <f>IF(($A40&lt;'Alternative 1'!$B$27),(($H40*'Alternative 1'!$B$39)+(3*($N$52/3)*COS($K$53))),IF(($A40&lt;'Alternative 1'!$B$28),(($H40*'Alternative 1'!$B$39)+(2*(($N$52/3)*COS($K$53)))),IF(($A40&lt;'Alternative 1'!$B$29),(($H$3*'Alternative 1'!$B$39+(($N$52/3)*COS($K$53)))),($H40*'Alternative 1'!$B$39))))</f>
        <v>#VALUE!</v>
      </c>
      <c r="AX40" s="78" t="e">
        <f>AV40*'Alternative 1'!$K41/'Alternative 1'!$L41</f>
        <v>#VALUE!</v>
      </c>
      <c r="AY40" s="78" t="e">
        <f>AW40/'Alternative 1'!$M41</f>
        <v>#VALUE!</v>
      </c>
      <c r="AZ40" s="78" t="e">
        <f t="shared" si="7"/>
        <v>#VALUE!</v>
      </c>
      <c r="BB40" s="78" t="e">
        <f>'Alternative 1'!$B$39*$B40*$C40*COS($K$63)-($N$62/3)*$E40*SIN($K$63)-($N$62/3)*$F40*SIN($K$63)-($N$62/3)*$G40*SIN($K$63)</f>
        <v>#VALUE!</v>
      </c>
      <c r="BC40" s="79" t="e">
        <f>IF(($A40&lt;'Alternative 1'!$B$27),(($H40*'Alternative 1'!$B$39)+(3*($N$62/3)*COS($K$63))),IF(($A40&lt;'Alternative 1'!$B$28),(($H40*'Alternative 1'!$B$39)+(2*(($N$62/3)*COS($K$63)))),IF(($A40&lt;'Alternative 1'!$B$29),(($H$3*'Alternative 1'!$B$39+(($N$62/3)*COS($K$63)))),($H40*'Alternative 1'!$B$39))))</f>
        <v>#VALUE!</v>
      </c>
      <c r="BD40" s="78" t="e">
        <f>BB40*'Alternative 1'!$K41/'Alternative 1'!$L41</f>
        <v>#VALUE!</v>
      </c>
      <c r="BE40" s="78" t="e">
        <f>BC40/'Alternative 1'!$M41</f>
        <v>#VALUE!</v>
      </c>
      <c r="BF40" s="78" t="e">
        <f t="shared" si="8"/>
        <v>#VALUE!</v>
      </c>
      <c r="BH40" s="78" t="e">
        <f>'Alternative 1'!$B$39*$B40*$C40*COS($K$73)-($N$72/3)*$E40*SIN($K$73)-($N$72/3)*$F40*SIN($K$73)-($N$72/3)*$G40*SIN($K$73)</f>
        <v>#VALUE!</v>
      </c>
      <c r="BI40" s="79" t="e">
        <f>IF(($A40&lt;'Alternative 1'!$B$27),(($H40*'Alternative 1'!$B$39)+(3*($N$72/3)*COS($K$73))),IF(($A40&lt;'Alternative 1'!$B$28),(($H40*'Alternative 1'!$B$39)+(2*(($N$72/3)*COS($K$73)))),IF(($A40&lt;'Alternative 1'!$B$29),(($H$3*'Alternative 1'!$B$39+(($N$72/3)*COS($K$73)))),($H40*'Alternative 1'!$B$39))))</f>
        <v>#VALUE!</v>
      </c>
      <c r="BJ40" s="78" t="e">
        <f>BH40*'Alternative 1'!$K41/'Alternative 1'!$L41</f>
        <v>#VALUE!</v>
      </c>
      <c r="BK40" s="78" t="e">
        <f>BI40/'Alternative 1'!$M41</f>
        <v>#VALUE!</v>
      </c>
      <c r="BL40" s="78" t="e">
        <f t="shared" si="9"/>
        <v>#VALUE!</v>
      </c>
      <c r="BN40" s="78" t="e">
        <f>'Alternative 1'!$B$39*$B40*$C40*COS($K$83)-($N$82/3)*$E40*SIN($K$83)-($N$82/3)*$F40*SIN($K$83)-($N$82/3)*$G40*SIN($K$83)</f>
        <v>#VALUE!</v>
      </c>
      <c r="BO40" s="79" t="e">
        <f>IF(($A40&lt;'Alternative 1'!$B$27),(($H40*'Alternative 1'!$B$39)+(3*($N$82/3)*COS($K$83))),IF(($A40&lt;'Alternative 1'!$B$28),(($H40*'Alternative 1'!$B$39)+(2*(($N$82/3)*COS($K$83)))),IF(($A40&lt;'Alternative 1'!$B$29),(($H$3*'Alternative 1'!$B$39+(($N$82/3)*COS($K$83)))),($H40*'Alternative 1'!$B$39))))</f>
        <v>#VALUE!</v>
      </c>
      <c r="BP40" s="78" t="e">
        <f>BN40*'Alternative 1'!$K41/'Alternative 1'!$L41</f>
        <v>#VALUE!</v>
      </c>
      <c r="BQ40" s="78" t="e">
        <f>BO40/'Alternative 1'!$M41</f>
        <v>#VALUE!</v>
      </c>
      <c r="BR40" s="78" t="e">
        <f t="shared" si="10"/>
        <v>#VALUE!</v>
      </c>
      <c r="BT40" s="78" t="e">
        <f>'Alternative 1'!$B$39*$B40*$C40*COS($K$93)-($K$92/3)*$E40*SIN($K$93)-($K$92/3)*$F40*SIN($K$93)-($K$92/3)*$G40*SIN($K$93)</f>
        <v>#VALUE!</v>
      </c>
      <c r="BU40" s="79" t="e">
        <f>IF(($A40&lt;'Alternative 1'!$B$27),(($H40*'Alternative 1'!$B$39)+(3*($N$92/3)*COS($K$93))),IF(($A40&lt;'Alternative 1'!$B$28),(($H40*'Alternative 1'!$B$39)+(2*(($N$92/3)*COS($K$93)))),IF(($A40&lt;'Alternative 1'!$B$29),(($H$3*'Alternative 1'!$B$39+(($N$92/3)*COS($K$93)))),($H40*'Alternative 1'!$B$39))))</f>
        <v>#VALUE!</v>
      </c>
      <c r="BV40" s="78" t="e">
        <f>BT40*'Alternative 1'!$K41/'Alternative 1'!$L41</f>
        <v>#VALUE!</v>
      </c>
      <c r="BW40" s="78" t="e">
        <f>BU40/'Alternative 1'!$M41</f>
        <v>#VALUE!</v>
      </c>
      <c r="BX40" s="78" t="e">
        <f t="shared" si="11"/>
        <v>#VALUE!</v>
      </c>
      <c r="BZ40" s="77">
        <v>150</v>
      </c>
      <c r="CA40" s="77">
        <v>-150</v>
      </c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1"/>
      <c r="DK40" s="281"/>
    </row>
    <row r="41" spans="1:115" ht="15" customHeight="1" x14ac:dyDescent="0.25">
      <c r="A41" s="89" t="str">
        <f>IF('Alternative 1'!F42&gt;0,'Alternative 1'!F42,"x")</f>
        <v>x</v>
      </c>
      <c r="B41" s="89" t="e">
        <f t="shared" si="17"/>
        <v>#VALUE!</v>
      </c>
      <c r="C41" s="89">
        <f t="shared" si="12"/>
        <v>0</v>
      </c>
      <c r="D41" s="89" t="str">
        <f t="shared" si="13"/>
        <v>x</v>
      </c>
      <c r="E41" s="74">
        <f>IF($A41&lt;='Alternative 1'!$B$27, IF($A41='Alternative 1'!$B$27,0,E42+1),0)</f>
        <v>0</v>
      </c>
      <c r="F41" s="74">
        <f>IF($A41&lt;=('Alternative 1'!$B$28), IF($A41=ROUNDDOWN('Alternative 1'!$B$28,0),0,F42+1),0)</f>
        <v>0</v>
      </c>
      <c r="G41" s="74">
        <f>IF($A41&lt;=('Alternative 1'!$B$29), IF($A41=ROUNDDOWN('Alternative 1'!$B$29,0),0,G42+1),0)</f>
        <v>0</v>
      </c>
      <c r="H41" s="89" t="e">
        <f t="shared" si="14"/>
        <v>#VALUE!</v>
      </c>
      <c r="J41" s="77">
        <f t="shared" si="15"/>
        <v>38</v>
      </c>
      <c r="K41" s="77">
        <f t="shared" si="16"/>
        <v>0.66322511575784515</v>
      </c>
      <c r="L41" s="78">
        <f>'Alternative 1'!$B$27*SIN(K41)+'Alternative 1'!$B$28*SIN(K41)+'Alternative 1'!$B$29*SIN(K41)</f>
        <v>41.86498032214476</v>
      </c>
      <c r="M41" s="77">
        <f>(('Alternative 1'!$B$27)*(((('Alternative 1'!$B$28-'Alternative 1'!$B$27)/2)+'Alternative 1'!$B$27)*'Alternative 1'!$B$39)*COS('Alternative 1-Tilt Up'!K41))+(('Alternative 1'!$B$28)*((('Alternative 1'!$B$28-'Alternative 1'!$B$27)/2)+(('Alternative 1'!$B$29-'Alternative 1'!$B$28)/2))*('Alternative 1'!$B$39)*COS('Alternative 1-Tilt Up'!K41))+(('Alternative 1'!$B$29)*((('Alternative 1'!$B$12-'Alternative 1'!$B$29+(('Alternative 1'!$B$29-'Alternative 1'!$B$28)/2)*('Alternative 1'!$B$39)*COS('Alternative 1-Tilt Up'!K41)))))</f>
        <v>3740029.099074916</v>
      </c>
      <c r="N41" s="77">
        <f t="shared" si="0"/>
        <v>268006.51071343775</v>
      </c>
      <c r="O41" s="77">
        <f>(((('Alternative 1'!$B$28-'Alternative 1'!$B$27)/2)+'Alternative 1'!$B$27)*('Alternative 1'!$B$39)*COS('Alternative 1-Tilt Up'!K41))+(((('Alternative 1'!$B$28-'Alternative 1'!$B$27)/2)+(('Alternative 1'!$B$29-'Alternative 1'!$B$28)/2))*('Alternative 1'!$B$39)*COS('Alternative 1-Tilt Up'!K41))+(((('Alternative 1'!$B$12-'Alternative 1'!$B$29)+(('Alternative 1'!$B$29-'Alternative 1'!$B$28)/2))*('Alternative 1'!$B$39)*COS('Alternative 1-Tilt Up'!K41)))</f>
        <v>241225.77831359472</v>
      </c>
      <c r="P41" s="77">
        <f t="shared" si="1"/>
        <v>211192.0124788041</v>
      </c>
      <c r="R41" s="78" t="e">
        <f>'Alternative 1'!$B$39*$B41*$C41*COS($K$5)-($N$5/3)*$E41*SIN($K$5)-($N$5/3)*$F41*SIN($K$5)-($N$5/3)*$G41*SIN($K$5)</f>
        <v>#VALUE!</v>
      </c>
      <c r="S41" s="79" t="e">
        <f>IF(($A41&lt;'Alternative 1'!$B$27),(($H41*'Alternative 1'!$B$39)+(3*($N$5/3)*COS($K$5))),IF(($A41&lt;'Alternative 1'!$B$28),(($H41*'Alternative 1'!$B$39)+(2*(($N$5/3)*COS($K$5)))),IF(($A41&lt;'Alternative 1'!$B$29),(($H$3*'Alternative 1'!$B$39+(($N$5/3)*COS($K$5)))),($H41*'Alternative 1'!$B$39))))</f>
        <v>#VALUE!</v>
      </c>
      <c r="T41" s="78" t="e">
        <f>R41*'Alternative 1'!$K42/'Alternative 1'!$L42</f>
        <v>#VALUE!</v>
      </c>
      <c r="U41" s="78" t="e">
        <f>S41/'Alternative 1'!$M42</f>
        <v>#VALUE!</v>
      </c>
      <c r="V41" s="78" t="e">
        <f t="shared" si="2"/>
        <v>#VALUE!</v>
      </c>
      <c r="X41" s="78" t="e">
        <f>'Alternative 1'!$B$39*$B41*$C41*COS($K$13)-($N$12/3)*$E41*SIN($K$13)-($N$12/3)*$F41*SIN($K$13)-($N$12/3)*$G41*SIN($K$13)</f>
        <v>#VALUE!</v>
      </c>
      <c r="Y41" s="79" t="e">
        <f>IF(($A41&lt;'Alternative 1'!$B$27),(($H41*'Alternative 1'!$B$39)+(3*($N$12/3)*COS($K$13))),IF(($A41&lt;'Alternative 1'!$B$28),(($H41*'Alternative 1'!$B$39)+(2*(($N$12/3)*COS($K$13)))),IF(($A41&lt;'Alternative 1'!$B$29),(($H$3*'Alternative 1'!$B$39+(($N$12/3)*COS($K$13)))),($H41*'Alternative 1'!$B$39))))</f>
        <v>#VALUE!</v>
      </c>
      <c r="Z41" s="78" t="e">
        <f>X41*'Alternative 1'!$K42/'Alternative 1'!$L42</f>
        <v>#VALUE!</v>
      </c>
      <c r="AA41" s="78" t="e">
        <f>Y41/'Alternative 1'!$M42</f>
        <v>#VALUE!</v>
      </c>
      <c r="AB41" s="78" t="e">
        <f t="shared" si="3"/>
        <v>#VALUE!</v>
      </c>
      <c r="AD41" s="78" t="e">
        <f>'Alternative 1'!$B$39*$B41*$C41*COS($K$23)-($N$22/3)*$E41*SIN($K$23)-($N$22/3)*$F41*SIN($K$23)-($N$22/3)*$G41*SIN($K$23)</f>
        <v>#VALUE!</v>
      </c>
      <c r="AE41" s="79" t="e">
        <f>IF(($A41&lt;'Alternative 1'!$B$27),(($H41*'Alternative 1'!$B$39)+(3*($N$22/3)*COS($K$23))),IF(($A41&lt;'Alternative 1'!$B$28),(($H41*'Alternative 1'!$B$39)+(2*(($N$22/3)*COS($K$23)))),IF(($A41&lt;'Alternative 1'!$B$29),(($H$3*'Alternative 1'!$B$39+(($N$22/3)*COS($K$23)))),($H41*'Alternative 1'!$B$39))))</f>
        <v>#VALUE!</v>
      </c>
      <c r="AF41" s="78" t="e">
        <f>AD41*'Alternative 1'!$K42/'Alternative 1'!$L42</f>
        <v>#VALUE!</v>
      </c>
      <c r="AG41" s="78" t="e">
        <f>AE41/'Alternative 1'!$M42</f>
        <v>#VALUE!</v>
      </c>
      <c r="AH41" s="78" t="e">
        <f t="shared" si="4"/>
        <v>#VALUE!</v>
      </c>
      <c r="AJ41" s="78" t="e">
        <f>'Alternative 1'!$B$39*$B41*$C41*COS($K$33)-($N$32/3)*$E41*SIN($K$33)-($N$32/3)*$F41*SIN($K$33)-($N$32/3)*$G41*SIN($K$33)</f>
        <v>#VALUE!</v>
      </c>
      <c r="AK41" s="79" t="e">
        <f>IF(($A41&lt;'Alternative 1'!$B$27),(($H41*'Alternative 1'!$B$39)+(3*($N$32/3)*COS($K$33))),IF(($A41&lt;'Alternative 1'!$B$28),(($H41*'Alternative 1'!$B$39)+(2*(($N$32/3)*COS($K$33)))),IF(($A41&lt;'Alternative 1'!$B$29),(($H$3*'Alternative 1'!$B$39+(($N$32/3)*COS($K$33)))),($H41*'Alternative 1'!$B$39))))</f>
        <v>#VALUE!</v>
      </c>
      <c r="AL41" s="78" t="e">
        <f>AJ41*'Alternative 1'!$K42/'Alternative 1'!$L42</f>
        <v>#VALUE!</v>
      </c>
      <c r="AM41" s="78" t="e">
        <f>AK41/'Alternative 1'!$M42</f>
        <v>#VALUE!</v>
      </c>
      <c r="AN41" s="78" t="e">
        <f t="shared" si="5"/>
        <v>#VALUE!</v>
      </c>
      <c r="AP41" s="78" t="e">
        <f>'Alternative 1'!$B$39*$B41*$C41*COS($K$43)-($N$42/3)*$E41*SIN($K$43)-($N$42/3)*$F41*SIN($K$43)-($N$42/3)*$G41*SIN($K$43)</f>
        <v>#VALUE!</v>
      </c>
      <c r="AQ41" s="79" t="e">
        <f>IF(($A41&lt;'Alternative 1'!$B$27),(($H41*'Alternative 1'!$B$39)+(3*($N$42/3)*COS($K$43))),IF(($A41&lt;'Alternative 1'!$B$28),(($H41*'Alternative 1'!$B$39)+(2*(($N$42/3)*COS($K$43)))),IF(($A41&lt;'Alternative 1'!$B$29),(($H$3*'Alternative 1'!$B$39+(($N$42/3)*COS($K$43)))),($H41*'Alternative 1'!$B$39))))</f>
        <v>#VALUE!</v>
      </c>
      <c r="AR41" s="78" t="e">
        <f>AP41*'Alternative 1'!$K42/'Alternative 1'!$L42</f>
        <v>#VALUE!</v>
      </c>
      <c r="AS41" s="78" t="e">
        <f>AQ41/'Alternative 1'!$M42</f>
        <v>#VALUE!</v>
      </c>
      <c r="AT41" s="78" t="e">
        <f t="shared" si="6"/>
        <v>#VALUE!</v>
      </c>
      <c r="AV41" s="78" t="e">
        <f>'Alternative 1'!$B$39*$B41*$C41*COS($K$53)-($N$52/3)*$E41*SIN($K$53)-($N$52/3)*$F41*SIN($K$53)-($N$52/3)*$G41*SIN($K$53)</f>
        <v>#VALUE!</v>
      </c>
      <c r="AW41" s="79" t="e">
        <f>IF(($A41&lt;'Alternative 1'!$B$27),(($H41*'Alternative 1'!$B$39)+(3*($N$52/3)*COS($K$53))),IF(($A41&lt;'Alternative 1'!$B$28),(($H41*'Alternative 1'!$B$39)+(2*(($N$52/3)*COS($K$53)))),IF(($A41&lt;'Alternative 1'!$B$29),(($H$3*'Alternative 1'!$B$39+(($N$52/3)*COS($K$53)))),($H41*'Alternative 1'!$B$39))))</f>
        <v>#VALUE!</v>
      </c>
      <c r="AX41" s="78" t="e">
        <f>AV41*'Alternative 1'!$K42/'Alternative 1'!$L42</f>
        <v>#VALUE!</v>
      </c>
      <c r="AY41" s="78" t="e">
        <f>AW41/'Alternative 1'!$M42</f>
        <v>#VALUE!</v>
      </c>
      <c r="AZ41" s="78" t="e">
        <f t="shared" si="7"/>
        <v>#VALUE!</v>
      </c>
      <c r="BB41" s="78" t="e">
        <f>'Alternative 1'!$B$39*$B41*$C41*COS($K$63)-($N$62/3)*$E41*SIN($K$63)-($N$62/3)*$F41*SIN($K$63)-($N$62/3)*$G41*SIN($K$63)</f>
        <v>#VALUE!</v>
      </c>
      <c r="BC41" s="79" t="e">
        <f>IF(($A41&lt;'Alternative 1'!$B$27),(($H41*'Alternative 1'!$B$39)+(3*($N$62/3)*COS($K$63))),IF(($A41&lt;'Alternative 1'!$B$28),(($H41*'Alternative 1'!$B$39)+(2*(($N$62/3)*COS($K$63)))),IF(($A41&lt;'Alternative 1'!$B$29),(($H$3*'Alternative 1'!$B$39+(($N$62/3)*COS($K$63)))),($H41*'Alternative 1'!$B$39))))</f>
        <v>#VALUE!</v>
      </c>
      <c r="BD41" s="78" t="e">
        <f>BB41*'Alternative 1'!$K42/'Alternative 1'!$L42</f>
        <v>#VALUE!</v>
      </c>
      <c r="BE41" s="78" t="e">
        <f>BC41/'Alternative 1'!$M42</f>
        <v>#VALUE!</v>
      </c>
      <c r="BF41" s="78" t="e">
        <f t="shared" si="8"/>
        <v>#VALUE!</v>
      </c>
      <c r="BH41" s="78" t="e">
        <f>'Alternative 1'!$B$39*$B41*$C41*COS($K$73)-($N$72/3)*$E41*SIN($K$73)-($N$72/3)*$F41*SIN($K$73)-($N$72/3)*$G41*SIN($K$73)</f>
        <v>#VALUE!</v>
      </c>
      <c r="BI41" s="79" t="e">
        <f>IF(($A41&lt;'Alternative 1'!$B$27),(($H41*'Alternative 1'!$B$39)+(3*($N$72/3)*COS($K$73))),IF(($A41&lt;'Alternative 1'!$B$28),(($H41*'Alternative 1'!$B$39)+(2*(($N$72/3)*COS($K$73)))),IF(($A41&lt;'Alternative 1'!$B$29),(($H$3*'Alternative 1'!$B$39+(($N$72/3)*COS($K$73)))),($H41*'Alternative 1'!$B$39))))</f>
        <v>#VALUE!</v>
      </c>
      <c r="BJ41" s="78" t="e">
        <f>BH41*'Alternative 1'!$K42/'Alternative 1'!$L42</f>
        <v>#VALUE!</v>
      </c>
      <c r="BK41" s="78" t="e">
        <f>BI41/'Alternative 1'!$M42</f>
        <v>#VALUE!</v>
      </c>
      <c r="BL41" s="78" t="e">
        <f t="shared" si="9"/>
        <v>#VALUE!</v>
      </c>
      <c r="BN41" s="78" t="e">
        <f>'Alternative 1'!$B$39*$B41*$C41*COS($K$83)-($N$82/3)*$E41*SIN($K$83)-($N$82/3)*$F41*SIN($K$83)-($N$82/3)*$G41*SIN($K$83)</f>
        <v>#VALUE!</v>
      </c>
      <c r="BO41" s="79" t="e">
        <f>IF(($A41&lt;'Alternative 1'!$B$27),(($H41*'Alternative 1'!$B$39)+(3*($N$82/3)*COS($K$83))),IF(($A41&lt;'Alternative 1'!$B$28),(($H41*'Alternative 1'!$B$39)+(2*(($N$82/3)*COS($K$83)))),IF(($A41&lt;'Alternative 1'!$B$29),(($H$3*'Alternative 1'!$B$39+(($N$82/3)*COS($K$83)))),($H41*'Alternative 1'!$B$39))))</f>
        <v>#VALUE!</v>
      </c>
      <c r="BP41" s="78" t="e">
        <f>BN41*'Alternative 1'!$K42/'Alternative 1'!$L42</f>
        <v>#VALUE!</v>
      </c>
      <c r="BQ41" s="78" t="e">
        <f>BO41/'Alternative 1'!$M42</f>
        <v>#VALUE!</v>
      </c>
      <c r="BR41" s="78" t="e">
        <f t="shared" si="10"/>
        <v>#VALUE!</v>
      </c>
      <c r="BT41" s="78" t="e">
        <f>'Alternative 1'!$B$39*$B41*$C41*COS($K$93)-($K$92/3)*$E41*SIN($K$93)-($K$92/3)*$F41*SIN($K$93)-($K$92/3)*$G41*SIN($K$93)</f>
        <v>#VALUE!</v>
      </c>
      <c r="BU41" s="79" t="e">
        <f>IF(($A41&lt;'Alternative 1'!$B$27),(($H41*'Alternative 1'!$B$39)+(3*($N$92/3)*COS($K$93))),IF(($A41&lt;'Alternative 1'!$B$28),(($H41*'Alternative 1'!$B$39)+(2*(($N$92/3)*COS($K$93)))),IF(($A41&lt;'Alternative 1'!$B$29),(($H$3*'Alternative 1'!$B$39+(($N$92/3)*COS($K$93)))),($H41*'Alternative 1'!$B$39))))</f>
        <v>#VALUE!</v>
      </c>
      <c r="BV41" s="78" t="e">
        <f>BT41*'Alternative 1'!$K42/'Alternative 1'!$L42</f>
        <v>#VALUE!</v>
      </c>
      <c r="BW41" s="78" t="e">
        <f>BU41/'Alternative 1'!$M42</f>
        <v>#VALUE!</v>
      </c>
      <c r="BX41" s="78" t="e">
        <f t="shared" si="11"/>
        <v>#VALUE!</v>
      </c>
      <c r="BZ41" s="77">
        <v>150</v>
      </c>
      <c r="CA41" s="77">
        <v>-150</v>
      </c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1"/>
      <c r="DK41" s="281"/>
    </row>
    <row r="42" spans="1:115" ht="15" customHeight="1" x14ac:dyDescent="0.25">
      <c r="A42" s="89" t="str">
        <f>IF('Alternative 1'!F43&gt;0,'Alternative 1'!F43,"x")</f>
        <v>x</v>
      </c>
      <c r="B42" s="89" t="e">
        <f t="shared" si="17"/>
        <v>#VALUE!</v>
      </c>
      <c r="C42" s="89">
        <f t="shared" si="12"/>
        <v>0</v>
      </c>
      <c r="D42" s="89" t="str">
        <f t="shared" si="13"/>
        <v>x</v>
      </c>
      <c r="E42" s="74">
        <f>IF($A42&lt;='Alternative 1'!$B$27, IF($A42='Alternative 1'!$B$27,0,E43+1),0)</f>
        <v>0</v>
      </c>
      <c r="F42" s="74">
        <f>IF($A42&lt;=('Alternative 1'!$B$28), IF($A42=ROUNDDOWN('Alternative 1'!$B$28,0),0,F43+1),0)</f>
        <v>0</v>
      </c>
      <c r="G42" s="74">
        <f>IF($A42&lt;=('Alternative 1'!$B$29), IF($A42=ROUNDDOWN('Alternative 1'!$B$29,0),0,G43+1),0)</f>
        <v>0</v>
      </c>
      <c r="H42" s="89" t="e">
        <f t="shared" si="14"/>
        <v>#VALUE!</v>
      </c>
      <c r="J42" s="77">
        <f t="shared" si="15"/>
        <v>39</v>
      </c>
      <c r="K42" s="77">
        <f t="shared" si="16"/>
        <v>0.68067840827778847</v>
      </c>
      <c r="L42" s="78">
        <f>'Alternative 1'!$B$27*SIN(K42)+'Alternative 1'!$B$28*SIN(K42)+'Alternative 1'!$B$29*SIN(K42)</f>
        <v>42.793786591388944</v>
      </c>
      <c r="M42" s="77">
        <f>(('Alternative 1'!$B$27)*(((('Alternative 1'!$B$28-'Alternative 1'!$B$27)/2)+'Alternative 1'!$B$27)*'Alternative 1'!$B$39)*COS('Alternative 1-Tilt Up'!K42))+(('Alternative 1'!$B$28)*((('Alternative 1'!$B$28-'Alternative 1'!$B$27)/2)+(('Alternative 1'!$B$29-'Alternative 1'!$B$28)/2))*('Alternative 1'!$B$39)*COS('Alternative 1-Tilt Up'!K42))+(('Alternative 1'!$B$29)*((('Alternative 1'!$B$12-'Alternative 1'!$B$29+(('Alternative 1'!$B$29-'Alternative 1'!$B$28)/2)*('Alternative 1'!$B$39)*COS('Alternative 1-Tilt Up'!K42)))))</f>
        <v>3688465.6995676691</v>
      </c>
      <c r="N42" s="82">
        <f t="shared" si="0"/>
        <v>258574.85350290575</v>
      </c>
      <c r="O42" s="77">
        <f>(((('Alternative 1'!$B$28-'Alternative 1'!$B$27)/2)+'Alternative 1'!$B$27)*('Alternative 1'!$B$39)*COS('Alternative 1-Tilt Up'!K42))+(((('Alternative 1'!$B$28-'Alternative 1'!$B$27)/2)+(('Alternative 1'!$B$29-'Alternative 1'!$B$28)/2))*('Alternative 1'!$B$39)*COS('Alternative 1-Tilt Up'!K42))+(((('Alternative 1'!$B$12-'Alternative 1'!$B$29)+(('Alternative 1'!$B$29-'Alternative 1'!$B$28)/2))*('Alternative 1'!$B$39)*COS('Alternative 1-Tilt Up'!K42)))</f>
        <v>237899.84915521275</v>
      </c>
      <c r="P42" s="77">
        <f t="shared" si="1"/>
        <v>200950.40313411108</v>
      </c>
      <c r="R42" s="78" t="e">
        <f>'Alternative 1'!$B$39*$B42*$C42*COS($K$5)-($N$5/3)*$E42*SIN($K$5)-($N$5/3)*$F42*SIN($K$5)-($N$5/3)*$G42*SIN($K$5)</f>
        <v>#VALUE!</v>
      </c>
      <c r="S42" s="79" t="e">
        <f>IF(($A42&lt;'Alternative 1'!$B$27),(($H42*'Alternative 1'!$B$39)+(3*($N$5/3)*COS($K$5))),IF(($A42&lt;'Alternative 1'!$B$28),(($H42*'Alternative 1'!$B$39)+(2*(($N$5/3)*COS($K$5)))),IF(($A42&lt;'Alternative 1'!$B$29),(($H$3*'Alternative 1'!$B$39+(($N$5/3)*COS($K$5)))),($H42*'Alternative 1'!$B$39))))</f>
        <v>#VALUE!</v>
      </c>
      <c r="T42" s="78" t="e">
        <f>R42*'Alternative 1'!$K43/'Alternative 1'!$L43</f>
        <v>#VALUE!</v>
      </c>
      <c r="U42" s="78" t="e">
        <f>S42/'Alternative 1'!$M43</f>
        <v>#VALUE!</v>
      </c>
      <c r="V42" s="78" t="e">
        <f t="shared" si="2"/>
        <v>#VALUE!</v>
      </c>
      <c r="X42" s="78" t="e">
        <f>'Alternative 1'!$B$39*$B42*$C42*COS($K$13)-($N$12/3)*$E42*SIN($K$13)-($N$12/3)*$F42*SIN($K$13)-($N$12/3)*$G42*SIN($K$13)</f>
        <v>#VALUE!</v>
      </c>
      <c r="Y42" s="79" t="e">
        <f>IF(($A42&lt;'Alternative 1'!$B$27),(($H42*'Alternative 1'!$B$39)+(3*($N$12/3)*COS($K$13))),IF(($A42&lt;'Alternative 1'!$B$28),(($H42*'Alternative 1'!$B$39)+(2*(($N$12/3)*COS($K$13)))),IF(($A42&lt;'Alternative 1'!$B$29),(($H$3*'Alternative 1'!$B$39+(($N$12/3)*COS($K$13)))),($H42*'Alternative 1'!$B$39))))</f>
        <v>#VALUE!</v>
      </c>
      <c r="Z42" s="78" t="e">
        <f>X42*'Alternative 1'!$K43/'Alternative 1'!$L43</f>
        <v>#VALUE!</v>
      </c>
      <c r="AA42" s="78" t="e">
        <f>Y42/'Alternative 1'!$M43</f>
        <v>#VALUE!</v>
      </c>
      <c r="AB42" s="78" t="e">
        <f t="shared" si="3"/>
        <v>#VALUE!</v>
      </c>
      <c r="AD42" s="78" t="e">
        <f>'Alternative 1'!$B$39*$B42*$C42*COS($K$23)-($N$22/3)*$E42*SIN($K$23)-($N$22/3)*$F42*SIN($K$23)-($N$22/3)*$G42*SIN($K$23)</f>
        <v>#VALUE!</v>
      </c>
      <c r="AE42" s="79" t="e">
        <f>IF(($A42&lt;'Alternative 1'!$B$27),(($H42*'Alternative 1'!$B$39)+(3*($N$22/3)*COS($K$23))),IF(($A42&lt;'Alternative 1'!$B$28),(($H42*'Alternative 1'!$B$39)+(2*(($N$22/3)*COS($K$23)))),IF(($A42&lt;'Alternative 1'!$B$29),(($H$3*'Alternative 1'!$B$39+(($N$22/3)*COS($K$23)))),($H42*'Alternative 1'!$B$39))))</f>
        <v>#VALUE!</v>
      </c>
      <c r="AF42" s="78" t="e">
        <f>AD42*'Alternative 1'!$K43/'Alternative 1'!$L43</f>
        <v>#VALUE!</v>
      </c>
      <c r="AG42" s="78" t="e">
        <f>AE42/'Alternative 1'!$M43</f>
        <v>#VALUE!</v>
      </c>
      <c r="AH42" s="78" t="e">
        <f t="shared" si="4"/>
        <v>#VALUE!</v>
      </c>
      <c r="AJ42" s="78" t="e">
        <f>'Alternative 1'!$B$39*$B42*$C42*COS($K$33)-($N$32/3)*$E42*SIN($K$33)-($N$32/3)*$F42*SIN($K$33)-($N$32/3)*$G42*SIN($K$33)</f>
        <v>#VALUE!</v>
      </c>
      <c r="AK42" s="79" t="e">
        <f>IF(($A42&lt;'Alternative 1'!$B$27),(($H42*'Alternative 1'!$B$39)+(3*($N$32/3)*COS($K$33))),IF(($A42&lt;'Alternative 1'!$B$28),(($H42*'Alternative 1'!$B$39)+(2*(($N$32/3)*COS($K$33)))),IF(($A42&lt;'Alternative 1'!$B$29),(($H$3*'Alternative 1'!$B$39+(($N$32/3)*COS($K$33)))),($H42*'Alternative 1'!$B$39))))</f>
        <v>#VALUE!</v>
      </c>
      <c r="AL42" s="78" t="e">
        <f>AJ42*'Alternative 1'!$K43/'Alternative 1'!$L43</f>
        <v>#VALUE!</v>
      </c>
      <c r="AM42" s="78" t="e">
        <f>AK42/'Alternative 1'!$M43</f>
        <v>#VALUE!</v>
      </c>
      <c r="AN42" s="78" t="e">
        <f t="shared" si="5"/>
        <v>#VALUE!</v>
      </c>
      <c r="AP42" s="78" t="e">
        <f>'Alternative 1'!$B$39*$B42*$C42*COS($K$43)-($N$42/3)*$E42*SIN($K$43)-($N$42/3)*$F42*SIN($K$43)-($N$42/3)*$G42*SIN($K$43)</f>
        <v>#VALUE!</v>
      </c>
      <c r="AQ42" s="79" t="e">
        <f>IF(($A42&lt;'Alternative 1'!$B$27),(($H42*'Alternative 1'!$B$39)+(3*($N$42/3)*COS($K$43))),IF(($A42&lt;'Alternative 1'!$B$28),(($H42*'Alternative 1'!$B$39)+(2*(($N$42/3)*COS($K$43)))),IF(($A42&lt;'Alternative 1'!$B$29),(($H$3*'Alternative 1'!$B$39+(($N$42/3)*COS($K$43)))),($H42*'Alternative 1'!$B$39))))</f>
        <v>#VALUE!</v>
      </c>
      <c r="AR42" s="78" t="e">
        <f>AP42*'Alternative 1'!$K43/'Alternative 1'!$L43</f>
        <v>#VALUE!</v>
      </c>
      <c r="AS42" s="78" t="e">
        <f>AQ42/'Alternative 1'!$M43</f>
        <v>#VALUE!</v>
      </c>
      <c r="AT42" s="78" t="e">
        <f t="shared" si="6"/>
        <v>#VALUE!</v>
      </c>
      <c r="AV42" s="78" t="e">
        <f>'Alternative 1'!$B$39*$B42*$C42*COS($K$53)-($N$52/3)*$E42*SIN($K$53)-($N$52/3)*$F42*SIN($K$53)-($N$52/3)*$G42*SIN($K$53)</f>
        <v>#VALUE!</v>
      </c>
      <c r="AW42" s="79" t="e">
        <f>IF(($A42&lt;'Alternative 1'!$B$27),(($H42*'Alternative 1'!$B$39)+(3*($N$52/3)*COS($K$53))),IF(($A42&lt;'Alternative 1'!$B$28),(($H42*'Alternative 1'!$B$39)+(2*(($N$52/3)*COS($K$53)))),IF(($A42&lt;'Alternative 1'!$B$29),(($H$3*'Alternative 1'!$B$39+(($N$52/3)*COS($K$53)))),($H42*'Alternative 1'!$B$39))))</f>
        <v>#VALUE!</v>
      </c>
      <c r="AX42" s="78" t="e">
        <f>AV42*'Alternative 1'!$K43/'Alternative 1'!$L43</f>
        <v>#VALUE!</v>
      </c>
      <c r="AY42" s="78" t="e">
        <f>AW42/'Alternative 1'!$M43</f>
        <v>#VALUE!</v>
      </c>
      <c r="AZ42" s="78" t="e">
        <f t="shared" si="7"/>
        <v>#VALUE!</v>
      </c>
      <c r="BB42" s="78" t="e">
        <f>'Alternative 1'!$B$39*$B42*$C42*COS($K$63)-($N$62/3)*$E42*SIN($K$63)-($N$62/3)*$F42*SIN($K$63)-($N$62/3)*$G42*SIN($K$63)</f>
        <v>#VALUE!</v>
      </c>
      <c r="BC42" s="79" t="e">
        <f>IF(($A42&lt;'Alternative 1'!$B$27),(($H42*'Alternative 1'!$B$39)+(3*($N$62/3)*COS($K$63))),IF(($A42&lt;'Alternative 1'!$B$28),(($H42*'Alternative 1'!$B$39)+(2*(($N$62/3)*COS($K$63)))),IF(($A42&lt;'Alternative 1'!$B$29),(($H$3*'Alternative 1'!$B$39+(($N$62/3)*COS($K$63)))),($H42*'Alternative 1'!$B$39))))</f>
        <v>#VALUE!</v>
      </c>
      <c r="BD42" s="78" t="e">
        <f>BB42*'Alternative 1'!$K43/'Alternative 1'!$L43</f>
        <v>#VALUE!</v>
      </c>
      <c r="BE42" s="78" t="e">
        <f>BC42/'Alternative 1'!$M43</f>
        <v>#VALUE!</v>
      </c>
      <c r="BF42" s="78" t="e">
        <f t="shared" si="8"/>
        <v>#VALUE!</v>
      </c>
      <c r="BH42" s="78" t="e">
        <f>'Alternative 1'!$B$39*$B42*$C42*COS($K$73)-($N$72/3)*$E42*SIN($K$73)-($N$72/3)*$F42*SIN($K$73)-($N$72/3)*$G42*SIN($K$73)</f>
        <v>#VALUE!</v>
      </c>
      <c r="BI42" s="79" t="e">
        <f>IF(($A42&lt;'Alternative 1'!$B$27),(($H42*'Alternative 1'!$B$39)+(3*($N$72/3)*COS($K$73))),IF(($A42&lt;'Alternative 1'!$B$28),(($H42*'Alternative 1'!$B$39)+(2*(($N$72/3)*COS($K$73)))),IF(($A42&lt;'Alternative 1'!$B$29),(($H$3*'Alternative 1'!$B$39+(($N$72/3)*COS($K$73)))),($H42*'Alternative 1'!$B$39))))</f>
        <v>#VALUE!</v>
      </c>
      <c r="BJ42" s="78" t="e">
        <f>BH42*'Alternative 1'!$K43/'Alternative 1'!$L43</f>
        <v>#VALUE!</v>
      </c>
      <c r="BK42" s="78" t="e">
        <f>BI42/'Alternative 1'!$M43</f>
        <v>#VALUE!</v>
      </c>
      <c r="BL42" s="78" t="e">
        <f t="shared" si="9"/>
        <v>#VALUE!</v>
      </c>
      <c r="BN42" s="78" t="e">
        <f>'Alternative 1'!$B$39*$B42*$C42*COS($K$83)-($N$82/3)*$E42*SIN($K$83)-($N$82/3)*$F42*SIN($K$83)-($N$82/3)*$G42*SIN($K$83)</f>
        <v>#VALUE!</v>
      </c>
      <c r="BO42" s="79" t="e">
        <f>IF(($A42&lt;'Alternative 1'!$B$27),(($H42*'Alternative 1'!$B$39)+(3*($N$82/3)*COS($K$83))),IF(($A42&lt;'Alternative 1'!$B$28),(($H42*'Alternative 1'!$B$39)+(2*(($N$82/3)*COS($K$83)))),IF(($A42&lt;'Alternative 1'!$B$29),(($H$3*'Alternative 1'!$B$39+(($N$82/3)*COS($K$83)))),($H42*'Alternative 1'!$B$39))))</f>
        <v>#VALUE!</v>
      </c>
      <c r="BP42" s="78" t="e">
        <f>BN42*'Alternative 1'!$K43/'Alternative 1'!$L43</f>
        <v>#VALUE!</v>
      </c>
      <c r="BQ42" s="78" t="e">
        <f>BO42/'Alternative 1'!$M43</f>
        <v>#VALUE!</v>
      </c>
      <c r="BR42" s="78" t="e">
        <f t="shared" si="10"/>
        <v>#VALUE!</v>
      </c>
      <c r="BT42" s="78" t="e">
        <f>'Alternative 1'!$B$39*$B42*$C42*COS($K$93)-($K$92/3)*$E42*SIN($K$93)-($K$92/3)*$F42*SIN($K$93)-($K$92/3)*$G42*SIN($K$93)</f>
        <v>#VALUE!</v>
      </c>
      <c r="BU42" s="79" t="e">
        <f>IF(($A42&lt;'Alternative 1'!$B$27),(($H42*'Alternative 1'!$B$39)+(3*($N$92/3)*COS($K$93))),IF(($A42&lt;'Alternative 1'!$B$28),(($H42*'Alternative 1'!$B$39)+(2*(($N$92/3)*COS($K$93)))),IF(($A42&lt;'Alternative 1'!$B$29),(($H$3*'Alternative 1'!$B$39+(($N$92/3)*COS($K$93)))),($H42*'Alternative 1'!$B$39))))</f>
        <v>#VALUE!</v>
      </c>
      <c r="BV42" s="78" t="e">
        <f>BT42*'Alternative 1'!$K43/'Alternative 1'!$L43</f>
        <v>#VALUE!</v>
      </c>
      <c r="BW42" s="78" t="e">
        <f>BU42/'Alternative 1'!$M43</f>
        <v>#VALUE!</v>
      </c>
      <c r="BX42" s="78" t="e">
        <f t="shared" si="11"/>
        <v>#VALUE!</v>
      </c>
      <c r="BZ42" s="77">
        <v>150</v>
      </c>
      <c r="CA42" s="77">
        <v>-150</v>
      </c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</row>
    <row r="43" spans="1:115" ht="15" customHeight="1" x14ac:dyDescent="0.25">
      <c r="A43" s="89" t="str">
        <f>IF('Alternative 1'!F44&gt;0,'Alternative 1'!F44,"x")</f>
        <v>x</v>
      </c>
      <c r="B43" s="89" t="e">
        <f t="shared" si="17"/>
        <v>#VALUE!</v>
      </c>
      <c r="C43" s="89">
        <f t="shared" si="12"/>
        <v>0</v>
      </c>
      <c r="D43" s="89" t="str">
        <f t="shared" si="13"/>
        <v>x</v>
      </c>
      <c r="E43" s="74">
        <f>IF($A43&lt;='Alternative 1'!$B$27, IF($A43='Alternative 1'!$B$27,0,E44+1),0)</f>
        <v>0</v>
      </c>
      <c r="F43" s="74">
        <f>IF($A43&lt;=('Alternative 1'!$B$28), IF($A43=ROUNDDOWN('Alternative 1'!$B$28,0),0,F44+1),0)</f>
        <v>0</v>
      </c>
      <c r="G43" s="74">
        <f>IF($A43&lt;=('Alternative 1'!$B$29), IF($A43=ROUNDDOWN('Alternative 1'!$B$29,0),0,G44+1),0)</f>
        <v>0</v>
      </c>
      <c r="H43" s="89" t="e">
        <f t="shared" si="14"/>
        <v>#VALUE!</v>
      </c>
      <c r="J43" s="77">
        <f t="shared" si="15"/>
        <v>40</v>
      </c>
      <c r="K43" s="82">
        <f t="shared" si="16"/>
        <v>0.69813170079773179</v>
      </c>
      <c r="L43" s="78">
        <f>'Alternative 1'!$B$27*SIN(K43)+'Alternative 1'!$B$28*SIN(K43)+'Alternative 1'!$B$29*SIN(K43)</f>
        <v>43.709557458684671</v>
      </c>
      <c r="M43" s="77">
        <f>(('Alternative 1'!$B$27)*(((('Alternative 1'!$B$28-'Alternative 1'!$B$27)/2)+'Alternative 1'!$B$27)*'Alternative 1'!$B$39)*COS('Alternative 1-Tilt Up'!K43))+(('Alternative 1'!$B$28)*((('Alternative 1'!$B$28-'Alternative 1'!$B$27)/2)+(('Alternative 1'!$B$29-'Alternative 1'!$B$28)/2))*('Alternative 1'!$B$39)*COS('Alternative 1-Tilt Up'!K43))+(('Alternative 1'!$B$29)*((('Alternative 1'!$B$12-'Alternative 1'!$B$29+(('Alternative 1'!$B$29-'Alternative 1'!$B$28)/2)*('Alternative 1'!$B$39)*COS('Alternative 1-Tilt Up'!K43)))))</f>
        <v>3635778.8172684922</v>
      </c>
      <c r="N43" s="77">
        <f t="shared" si="0"/>
        <v>249541.22361260129</v>
      </c>
      <c r="O43" s="77">
        <f>(((('Alternative 1'!$B$28-'Alternative 1'!$B$27)/2)+'Alternative 1'!$B$27)*('Alternative 1'!$B$39)*COS('Alternative 1-Tilt Up'!K43))+(((('Alternative 1'!$B$28-'Alternative 1'!$B$27)/2)+(('Alternative 1'!$B$29-'Alternative 1'!$B$28)/2))*('Alternative 1'!$B$39)*COS('Alternative 1-Tilt Up'!K43))+(((('Alternative 1'!$B$12-'Alternative 1'!$B$29)+(('Alternative 1'!$B$29-'Alternative 1'!$B$28)/2))*('Alternative 1'!$B$39)*COS('Alternative 1-Tilt Up'!K43)))</f>
        <v>234501.45339819053</v>
      </c>
      <c r="P43" s="82">
        <f t="shared" si="1"/>
        <v>191159.66767754353</v>
      </c>
      <c r="R43" s="78" t="e">
        <f>'Alternative 1'!$B$39*$B43*$C43*COS($K$5)-($N$5/3)*$E43*SIN($K$5)-($N$5/3)*$F43*SIN($K$5)-($N$5/3)*$G43*SIN($K$5)</f>
        <v>#VALUE!</v>
      </c>
      <c r="S43" s="79" t="e">
        <f>IF(($A43&lt;'Alternative 1'!$B$27),(($H43*'Alternative 1'!$B$39)+(3*($N$5/3)*COS($K$5))),IF(($A43&lt;'Alternative 1'!$B$28),(($H43*'Alternative 1'!$B$39)+(2*(($N$5/3)*COS($K$5)))),IF(($A43&lt;'Alternative 1'!$B$29),(($H$3*'Alternative 1'!$B$39+(($N$5/3)*COS($K$5)))),($H43*'Alternative 1'!$B$39))))</f>
        <v>#VALUE!</v>
      </c>
      <c r="T43" s="78" t="e">
        <f>R43*'Alternative 1'!$K44/'Alternative 1'!$L44</f>
        <v>#VALUE!</v>
      </c>
      <c r="U43" s="78" t="e">
        <f>S43/'Alternative 1'!$M44</f>
        <v>#VALUE!</v>
      </c>
      <c r="V43" s="78" t="e">
        <f t="shared" si="2"/>
        <v>#VALUE!</v>
      </c>
      <c r="X43" s="78" t="e">
        <f>'Alternative 1'!$B$39*$B43*$C43*COS($K$13)-($N$12/3)*$E43*SIN($K$13)-($N$12/3)*$F43*SIN($K$13)-($N$12/3)*$G43*SIN($K$13)</f>
        <v>#VALUE!</v>
      </c>
      <c r="Y43" s="79" t="e">
        <f>IF(($A43&lt;'Alternative 1'!$B$27),(($H43*'Alternative 1'!$B$39)+(3*($N$12/3)*COS($K$13))),IF(($A43&lt;'Alternative 1'!$B$28),(($H43*'Alternative 1'!$B$39)+(2*(($N$12/3)*COS($K$13)))),IF(($A43&lt;'Alternative 1'!$B$29),(($H$3*'Alternative 1'!$B$39+(($N$12/3)*COS($K$13)))),($H43*'Alternative 1'!$B$39))))</f>
        <v>#VALUE!</v>
      </c>
      <c r="Z43" s="78" t="e">
        <f>X43*'Alternative 1'!$K44/'Alternative 1'!$L44</f>
        <v>#VALUE!</v>
      </c>
      <c r="AA43" s="78" t="e">
        <f>Y43/'Alternative 1'!$M44</f>
        <v>#VALUE!</v>
      </c>
      <c r="AB43" s="78" t="e">
        <f t="shared" si="3"/>
        <v>#VALUE!</v>
      </c>
      <c r="AD43" s="78" t="e">
        <f>'Alternative 1'!$B$39*$B43*$C43*COS($K$23)-($N$22/3)*$E43*SIN($K$23)-($N$22/3)*$F43*SIN($K$23)-($N$22/3)*$G43*SIN($K$23)</f>
        <v>#VALUE!</v>
      </c>
      <c r="AE43" s="79" t="e">
        <f>IF(($A43&lt;'Alternative 1'!$B$27),(($H43*'Alternative 1'!$B$39)+(3*($N$22/3)*COS($K$23))),IF(($A43&lt;'Alternative 1'!$B$28),(($H43*'Alternative 1'!$B$39)+(2*(($N$22/3)*COS($K$23)))),IF(($A43&lt;'Alternative 1'!$B$29),(($H$3*'Alternative 1'!$B$39+(($N$22/3)*COS($K$23)))),($H43*'Alternative 1'!$B$39))))</f>
        <v>#VALUE!</v>
      </c>
      <c r="AF43" s="78" t="e">
        <f>AD43*'Alternative 1'!$K44/'Alternative 1'!$L44</f>
        <v>#VALUE!</v>
      </c>
      <c r="AG43" s="78" t="e">
        <f>AE43/'Alternative 1'!$M44</f>
        <v>#VALUE!</v>
      </c>
      <c r="AH43" s="78" t="e">
        <f t="shared" si="4"/>
        <v>#VALUE!</v>
      </c>
      <c r="AJ43" s="78" t="e">
        <f>'Alternative 1'!$B$39*$B43*$C43*COS($K$33)-($N$32/3)*$E43*SIN($K$33)-($N$32/3)*$F43*SIN($K$33)-($N$32/3)*$G43*SIN($K$33)</f>
        <v>#VALUE!</v>
      </c>
      <c r="AK43" s="79" t="e">
        <f>IF(($A43&lt;'Alternative 1'!$B$27),(($H43*'Alternative 1'!$B$39)+(3*($N$32/3)*COS($K$33))),IF(($A43&lt;'Alternative 1'!$B$28),(($H43*'Alternative 1'!$B$39)+(2*(($N$32/3)*COS($K$33)))),IF(($A43&lt;'Alternative 1'!$B$29),(($H$3*'Alternative 1'!$B$39+(($N$32/3)*COS($K$33)))),($H43*'Alternative 1'!$B$39))))</f>
        <v>#VALUE!</v>
      </c>
      <c r="AL43" s="78" t="e">
        <f>AJ43*'Alternative 1'!$K44/'Alternative 1'!$L44</f>
        <v>#VALUE!</v>
      </c>
      <c r="AM43" s="78" t="e">
        <f>AK43/'Alternative 1'!$M44</f>
        <v>#VALUE!</v>
      </c>
      <c r="AN43" s="78" t="e">
        <f t="shared" si="5"/>
        <v>#VALUE!</v>
      </c>
      <c r="AP43" s="78" t="e">
        <f>'Alternative 1'!$B$39*$B43*$C43*COS($K$43)-($N$42/3)*$E43*SIN($K$43)-($N$42/3)*$F43*SIN($K$43)-($N$42/3)*$G43*SIN($K$43)</f>
        <v>#VALUE!</v>
      </c>
      <c r="AQ43" s="79" t="e">
        <f>IF(($A43&lt;'Alternative 1'!$B$27),(($H43*'Alternative 1'!$B$39)+(3*($N$42/3)*COS($K$43))),IF(($A43&lt;'Alternative 1'!$B$28),(($H43*'Alternative 1'!$B$39)+(2*(($N$42/3)*COS($K$43)))),IF(($A43&lt;'Alternative 1'!$B$29),(($H$3*'Alternative 1'!$B$39+(($N$42/3)*COS($K$43)))),($H43*'Alternative 1'!$B$39))))</f>
        <v>#VALUE!</v>
      </c>
      <c r="AR43" s="78" t="e">
        <f>AP43*'Alternative 1'!$K44/'Alternative 1'!$L44</f>
        <v>#VALUE!</v>
      </c>
      <c r="AS43" s="78" t="e">
        <f>AQ43/'Alternative 1'!$M44</f>
        <v>#VALUE!</v>
      </c>
      <c r="AT43" s="78" t="e">
        <f t="shared" si="6"/>
        <v>#VALUE!</v>
      </c>
      <c r="AV43" s="78" t="e">
        <f>'Alternative 1'!$B$39*$B43*$C43*COS($K$53)-($N$52/3)*$E43*SIN($K$53)-($N$52/3)*$F43*SIN($K$53)-($N$52/3)*$G43*SIN($K$53)</f>
        <v>#VALUE!</v>
      </c>
      <c r="AW43" s="79" t="e">
        <f>IF(($A43&lt;'Alternative 1'!$B$27),(($H43*'Alternative 1'!$B$39)+(3*($N$52/3)*COS($K$53))),IF(($A43&lt;'Alternative 1'!$B$28),(($H43*'Alternative 1'!$B$39)+(2*(($N$52/3)*COS($K$53)))),IF(($A43&lt;'Alternative 1'!$B$29),(($H$3*'Alternative 1'!$B$39+(($N$52/3)*COS($K$53)))),($H43*'Alternative 1'!$B$39))))</f>
        <v>#VALUE!</v>
      </c>
      <c r="AX43" s="78" t="e">
        <f>AV43*'Alternative 1'!$K44/'Alternative 1'!$L44</f>
        <v>#VALUE!</v>
      </c>
      <c r="AY43" s="78" t="e">
        <f>AW43/'Alternative 1'!$M44</f>
        <v>#VALUE!</v>
      </c>
      <c r="AZ43" s="78" t="e">
        <f t="shared" si="7"/>
        <v>#VALUE!</v>
      </c>
      <c r="BB43" s="78" t="e">
        <f>'Alternative 1'!$B$39*$B43*$C43*COS($K$63)-($N$62/3)*$E43*SIN($K$63)-($N$62/3)*$F43*SIN($K$63)-($N$62/3)*$G43*SIN($K$63)</f>
        <v>#VALUE!</v>
      </c>
      <c r="BC43" s="79" t="e">
        <f>IF(($A43&lt;'Alternative 1'!$B$27),(($H43*'Alternative 1'!$B$39)+(3*($N$62/3)*COS($K$63))),IF(($A43&lt;'Alternative 1'!$B$28),(($H43*'Alternative 1'!$B$39)+(2*(($N$62/3)*COS($K$63)))),IF(($A43&lt;'Alternative 1'!$B$29),(($H$3*'Alternative 1'!$B$39+(($N$62/3)*COS($K$63)))),($H43*'Alternative 1'!$B$39))))</f>
        <v>#VALUE!</v>
      </c>
      <c r="BD43" s="78" t="e">
        <f>BB43*'Alternative 1'!$K44/'Alternative 1'!$L44</f>
        <v>#VALUE!</v>
      </c>
      <c r="BE43" s="78" t="e">
        <f>BC43/'Alternative 1'!$M44</f>
        <v>#VALUE!</v>
      </c>
      <c r="BF43" s="78" t="e">
        <f t="shared" si="8"/>
        <v>#VALUE!</v>
      </c>
      <c r="BH43" s="78" t="e">
        <f>'Alternative 1'!$B$39*$B43*$C43*COS($K$73)-($N$72/3)*$E43*SIN($K$73)-($N$72/3)*$F43*SIN($K$73)-($N$72/3)*$G43*SIN($K$73)</f>
        <v>#VALUE!</v>
      </c>
      <c r="BI43" s="79" t="e">
        <f>IF(($A43&lt;'Alternative 1'!$B$27),(($H43*'Alternative 1'!$B$39)+(3*($N$72/3)*COS($K$73))),IF(($A43&lt;'Alternative 1'!$B$28),(($H43*'Alternative 1'!$B$39)+(2*(($N$72/3)*COS($K$73)))),IF(($A43&lt;'Alternative 1'!$B$29),(($H$3*'Alternative 1'!$B$39+(($N$72/3)*COS($K$73)))),($H43*'Alternative 1'!$B$39))))</f>
        <v>#VALUE!</v>
      </c>
      <c r="BJ43" s="78" t="e">
        <f>BH43*'Alternative 1'!$K44/'Alternative 1'!$L44</f>
        <v>#VALUE!</v>
      </c>
      <c r="BK43" s="78" t="e">
        <f>BI43/'Alternative 1'!$M44</f>
        <v>#VALUE!</v>
      </c>
      <c r="BL43" s="78" t="e">
        <f t="shared" si="9"/>
        <v>#VALUE!</v>
      </c>
      <c r="BN43" s="78" t="e">
        <f>'Alternative 1'!$B$39*$B43*$C43*COS($K$83)-($N$82/3)*$E43*SIN($K$83)-($N$82/3)*$F43*SIN($K$83)-($N$82/3)*$G43*SIN($K$83)</f>
        <v>#VALUE!</v>
      </c>
      <c r="BO43" s="79" t="e">
        <f>IF(($A43&lt;'Alternative 1'!$B$27),(($H43*'Alternative 1'!$B$39)+(3*($N$82/3)*COS($K$83))),IF(($A43&lt;'Alternative 1'!$B$28),(($H43*'Alternative 1'!$B$39)+(2*(($N$82/3)*COS($K$83)))),IF(($A43&lt;'Alternative 1'!$B$29),(($H$3*'Alternative 1'!$B$39+(($N$82/3)*COS($K$83)))),($H43*'Alternative 1'!$B$39))))</f>
        <v>#VALUE!</v>
      </c>
      <c r="BP43" s="78" t="e">
        <f>BN43*'Alternative 1'!$K44/'Alternative 1'!$L44</f>
        <v>#VALUE!</v>
      </c>
      <c r="BQ43" s="78" t="e">
        <f>BO43/'Alternative 1'!$M44</f>
        <v>#VALUE!</v>
      </c>
      <c r="BR43" s="78" t="e">
        <f t="shared" si="10"/>
        <v>#VALUE!</v>
      </c>
      <c r="BT43" s="78" t="e">
        <f>'Alternative 1'!$B$39*$B43*$C43*COS($K$93)-($K$92/3)*$E43*SIN($K$93)-($K$92/3)*$F43*SIN($K$93)-($K$92/3)*$G43*SIN($K$93)</f>
        <v>#VALUE!</v>
      </c>
      <c r="BU43" s="79" t="e">
        <f>IF(($A43&lt;'Alternative 1'!$B$27),(($H43*'Alternative 1'!$B$39)+(3*($N$92/3)*COS($K$93))),IF(($A43&lt;'Alternative 1'!$B$28),(($H43*'Alternative 1'!$B$39)+(2*(($N$92/3)*COS($K$93)))),IF(($A43&lt;'Alternative 1'!$B$29),(($H$3*'Alternative 1'!$B$39+(($N$92/3)*COS($K$93)))),($H43*'Alternative 1'!$B$39))))</f>
        <v>#VALUE!</v>
      </c>
      <c r="BV43" s="78" t="e">
        <f>BT43*'Alternative 1'!$K44/'Alternative 1'!$L44</f>
        <v>#VALUE!</v>
      </c>
      <c r="BW43" s="78" t="e">
        <f>BU43/'Alternative 1'!$M44</f>
        <v>#VALUE!</v>
      </c>
      <c r="BX43" s="78" t="e">
        <f t="shared" si="11"/>
        <v>#VALUE!</v>
      </c>
      <c r="BZ43" s="77">
        <v>150</v>
      </c>
      <c r="CA43" s="77">
        <v>-150</v>
      </c>
      <c r="CB43" s="281"/>
      <c r="CC43" s="281"/>
      <c r="CD43" s="281"/>
      <c r="CE43" s="281"/>
      <c r="CF43" s="281"/>
      <c r="CG43" s="281"/>
      <c r="CH43" s="281"/>
      <c r="CI43" s="281"/>
      <c r="CJ43" s="281"/>
      <c r="CK43" s="281"/>
      <c r="CL43" s="281"/>
      <c r="CM43" s="281"/>
      <c r="CN43" s="281"/>
      <c r="CO43" s="281"/>
      <c r="CP43" s="281"/>
      <c r="CQ43" s="281"/>
      <c r="CR43" s="281"/>
      <c r="CS43" s="281"/>
      <c r="CT43" s="281"/>
      <c r="CU43" s="281"/>
      <c r="CV43" s="281"/>
      <c r="CW43" s="281"/>
      <c r="CX43" s="281"/>
      <c r="CY43" s="281"/>
      <c r="CZ43" s="281"/>
      <c r="DA43" s="281"/>
      <c r="DB43" s="281"/>
      <c r="DC43" s="281"/>
      <c r="DD43" s="281"/>
      <c r="DE43" s="281"/>
      <c r="DF43" s="281"/>
      <c r="DG43" s="281"/>
      <c r="DH43" s="281"/>
      <c r="DI43" s="281"/>
      <c r="DJ43" s="281"/>
      <c r="DK43" s="281"/>
    </row>
    <row r="44" spans="1:115" ht="15" customHeight="1" x14ac:dyDescent="0.25">
      <c r="A44" s="89" t="str">
        <f>IF('Alternative 1'!F45&gt;0,'Alternative 1'!F45,"x")</f>
        <v>x</v>
      </c>
      <c r="B44" s="89" t="e">
        <f t="shared" si="17"/>
        <v>#VALUE!</v>
      </c>
      <c r="C44" s="89">
        <f t="shared" si="12"/>
        <v>0</v>
      </c>
      <c r="D44" s="89" t="str">
        <f t="shared" si="13"/>
        <v>x</v>
      </c>
      <c r="E44" s="74">
        <f>IF($A44&lt;='Alternative 1'!$B$27, IF($A44='Alternative 1'!$B$27,0,E45+1),0)</f>
        <v>0</v>
      </c>
      <c r="F44" s="74">
        <f>IF($A44&lt;=('Alternative 1'!$B$28), IF($A44=ROUNDDOWN('Alternative 1'!$B$28,0),0,F45+1),0)</f>
        <v>0</v>
      </c>
      <c r="G44" s="74">
        <f>IF($A44&lt;=('Alternative 1'!$B$29), IF($A44=ROUNDDOWN('Alternative 1'!$B$29,0),0,G45+1),0)</f>
        <v>0</v>
      </c>
      <c r="H44" s="89" t="e">
        <f t="shared" si="14"/>
        <v>#VALUE!</v>
      </c>
      <c r="J44" s="77">
        <f t="shared" si="15"/>
        <v>41</v>
      </c>
      <c r="K44" s="77">
        <f t="shared" si="16"/>
        <v>0.715584993317675</v>
      </c>
      <c r="L44" s="78">
        <f>'Alternative 1'!$B$27*SIN(K44)+'Alternative 1'!$B$28*SIN(K44)+'Alternative 1'!$B$29*SIN(K44)</f>
        <v>44.612013971354486</v>
      </c>
      <c r="M44" s="77">
        <f>(('Alternative 1'!$B$27)*(((('Alternative 1'!$B$28-'Alternative 1'!$B$27)/2)+'Alternative 1'!$B$27)*'Alternative 1'!$B$39)*COS('Alternative 1-Tilt Up'!K44))+(('Alternative 1'!$B$28)*((('Alternative 1'!$B$28-'Alternative 1'!$B$27)/2)+(('Alternative 1'!$B$29-'Alternative 1'!$B$28)/2))*('Alternative 1'!$B$39)*COS('Alternative 1-Tilt Up'!K44))+(('Alternative 1'!$B$29)*((('Alternative 1'!$B$12-'Alternative 1'!$B$29+(('Alternative 1'!$B$29-'Alternative 1'!$B$28)/2)*('Alternative 1'!$B$39)*COS('Alternative 1-Tilt Up'!K44)))))</f>
        <v>3581984.501112124</v>
      </c>
      <c r="N44" s="77">
        <f t="shared" si="0"/>
        <v>240875.77642731805</v>
      </c>
      <c r="O44" s="77">
        <f>(((('Alternative 1'!$B$28-'Alternative 1'!$B$27)/2)+'Alternative 1'!$B$27)*('Alternative 1'!$B$39)*COS('Alternative 1-Tilt Up'!K44))+(((('Alternative 1'!$B$28-'Alternative 1'!$B$27)/2)+(('Alternative 1'!$B$29-'Alternative 1'!$B$28)/2))*('Alternative 1'!$B$39)*COS('Alternative 1-Tilt Up'!K44))+(((('Alternative 1'!$B$12-'Alternative 1'!$B$29)+(('Alternative 1'!$B$29-'Alternative 1'!$B$28)/2))*('Alternative 1'!$B$39)*COS('Alternative 1-Tilt Up'!K44)))</f>
        <v>231031.62622679668</v>
      </c>
      <c r="P44" s="77">
        <f t="shared" si="1"/>
        <v>181791.2561132955</v>
      </c>
      <c r="R44" s="78" t="e">
        <f>'Alternative 1'!$B$39*$B44*$C44*COS($K$5)-($N$5/3)*$E44*SIN($K$5)-($N$5/3)*$F44*SIN($K$5)-($N$5/3)*$G44*SIN($K$5)</f>
        <v>#VALUE!</v>
      </c>
      <c r="S44" s="79" t="e">
        <f>IF(($A44&lt;'Alternative 1'!$B$27),(($H44*'Alternative 1'!$B$39)+(3*($N$5/3)*COS($K$5))),IF(($A44&lt;'Alternative 1'!$B$28),(($H44*'Alternative 1'!$B$39)+(2*(($N$5/3)*COS($K$5)))),IF(($A44&lt;'Alternative 1'!$B$29),(($H$3*'Alternative 1'!$B$39+(($N$5/3)*COS($K$5)))),($H44*'Alternative 1'!$B$39))))</f>
        <v>#VALUE!</v>
      </c>
      <c r="T44" s="78" t="e">
        <f>R44*'Alternative 1'!$K45/'Alternative 1'!$L45</f>
        <v>#VALUE!</v>
      </c>
      <c r="U44" s="78" t="e">
        <f>S44/'Alternative 1'!$M45</f>
        <v>#VALUE!</v>
      </c>
      <c r="V44" s="78" t="e">
        <f t="shared" si="2"/>
        <v>#VALUE!</v>
      </c>
      <c r="X44" s="78" t="e">
        <f>'Alternative 1'!$B$39*$B44*$C44*COS($K$13)-($N$12/3)*$E44*SIN($K$13)-($N$12/3)*$F44*SIN($K$13)-($N$12/3)*$G44*SIN($K$13)</f>
        <v>#VALUE!</v>
      </c>
      <c r="Y44" s="79" t="e">
        <f>IF(($A44&lt;'Alternative 1'!$B$27),(($H44*'Alternative 1'!$B$39)+(3*($N$12/3)*COS($K$13))),IF(($A44&lt;'Alternative 1'!$B$28),(($H44*'Alternative 1'!$B$39)+(2*(($N$12/3)*COS($K$13)))),IF(($A44&lt;'Alternative 1'!$B$29),(($H$3*'Alternative 1'!$B$39+(($N$12/3)*COS($K$13)))),($H44*'Alternative 1'!$B$39))))</f>
        <v>#VALUE!</v>
      </c>
      <c r="Z44" s="78" t="e">
        <f>X44*'Alternative 1'!$K45/'Alternative 1'!$L45</f>
        <v>#VALUE!</v>
      </c>
      <c r="AA44" s="78" t="e">
        <f>Y44/'Alternative 1'!$M45</f>
        <v>#VALUE!</v>
      </c>
      <c r="AB44" s="78" t="e">
        <f t="shared" si="3"/>
        <v>#VALUE!</v>
      </c>
      <c r="AD44" s="78" t="e">
        <f>'Alternative 1'!$B$39*$B44*$C44*COS($K$23)-($N$22/3)*$E44*SIN($K$23)-($N$22/3)*$F44*SIN($K$23)-($N$22/3)*$G44*SIN($K$23)</f>
        <v>#VALUE!</v>
      </c>
      <c r="AE44" s="79" t="e">
        <f>IF(($A44&lt;'Alternative 1'!$B$27),(($H44*'Alternative 1'!$B$39)+(3*($N$22/3)*COS($K$23))),IF(($A44&lt;'Alternative 1'!$B$28),(($H44*'Alternative 1'!$B$39)+(2*(($N$22/3)*COS($K$23)))),IF(($A44&lt;'Alternative 1'!$B$29),(($H$3*'Alternative 1'!$B$39+(($N$22/3)*COS($K$23)))),($H44*'Alternative 1'!$B$39))))</f>
        <v>#VALUE!</v>
      </c>
      <c r="AF44" s="78" t="e">
        <f>AD44*'Alternative 1'!$K45/'Alternative 1'!$L45</f>
        <v>#VALUE!</v>
      </c>
      <c r="AG44" s="78" t="e">
        <f>AE44/'Alternative 1'!$M45</f>
        <v>#VALUE!</v>
      </c>
      <c r="AH44" s="78" t="e">
        <f t="shared" si="4"/>
        <v>#VALUE!</v>
      </c>
      <c r="AJ44" s="78" t="e">
        <f>'Alternative 1'!$B$39*$B44*$C44*COS($K$33)-($N$32/3)*$E44*SIN($K$33)-($N$32/3)*$F44*SIN($K$33)-($N$32/3)*$G44*SIN($K$33)</f>
        <v>#VALUE!</v>
      </c>
      <c r="AK44" s="79" t="e">
        <f>IF(($A44&lt;'Alternative 1'!$B$27),(($H44*'Alternative 1'!$B$39)+(3*($N$32/3)*COS($K$33))),IF(($A44&lt;'Alternative 1'!$B$28),(($H44*'Alternative 1'!$B$39)+(2*(($N$32/3)*COS($K$33)))),IF(($A44&lt;'Alternative 1'!$B$29),(($H$3*'Alternative 1'!$B$39+(($N$32/3)*COS($K$33)))),($H44*'Alternative 1'!$B$39))))</f>
        <v>#VALUE!</v>
      </c>
      <c r="AL44" s="78" t="e">
        <f>AJ44*'Alternative 1'!$K45/'Alternative 1'!$L45</f>
        <v>#VALUE!</v>
      </c>
      <c r="AM44" s="78" t="e">
        <f>AK44/'Alternative 1'!$M45</f>
        <v>#VALUE!</v>
      </c>
      <c r="AN44" s="78" t="e">
        <f t="shared" si="5"/>
        <v>#VALUE!</v>
      </c>
      <c r="AP44" s="78" t="e">
        <f>'Alternative 1'!$B$39*$B44*$C44*COS($K$43)-($N$42/3)*$E44*SIN($K$43)-($N$42/3)*$F44*SIN($K$43)-($N$42/3)*$G44*SIN($K$43)</f>
        <v>#VALUE!</v>
      </c>
      <c r="AQ44" s="79" t="e">
        <f>IF(($A44&lt;'Alternative 1'!$B$27),(($H44*'Alternative 1'!$B$39)+(3*($N$42/3)*COS($K$43))),IF(($A44&lt;'Alternative 1'!$B$28),(($H44*'Alternative 1'!$B$39)+(2*(($N$42/3)*COS($K$43)))),IF(($A44&lt;'Alternative 1'!$B$29),(($H$3*'Alternative 1'!$B$39+(($N$42/3)*COS($K$43)))),($H44*'Alternative 1'!$B$39))))</f>
        <v>#VALUE!</v>
      </c>
      <c r="AR44" s="78" t="e">
        <f>AP44*'Alternative 1'!$K45/'Alternative 1'!$L45</f>
        <v>#VALUE!</v>
      </c>
      <c r="AS44" s="78" t="e">
        <f>AQ44/'Alternative 1'!$M45</f>
        <v>#VALUE!</v>
      </c>
      <c r="AT44" s="78" t="e">
        <f t="shared" si="6"/>
        <v>#VALUE!</v>
      </c>
      <c r="AV44" s="78" t="e">
        <f>'Alternative 1'!$B$39*$B44*$C44*COS($K$53)-($N$52/3)*$E44*SIN($K$53)-($N$52/3)*$F44*SIN($K$53)-($N$52/3)*$G44*SIN($K$53)</f>
        <v>#VALUE!</v>
      </c>
      <c r="AW44" s="79" t="e">
        <f>IF(($A44&lt;'Alternative 1'!$B$27),(($H44*'Alternative 1'!$B$39)+(3*($N$52/3)*COS($K$53))),IF(($A44&lt;'Alternative 1'!$B$28),(($H44*'Alternative 1'!$B$39)+(2*(($N$52/3)*COS($K$53)))),IF(($A44&lt;'Alternative 1'!$B$29),(($H$3*'Alternative 1'!$B$39+(($N$52/3)*COS($K$53)))),($H44*'Alternative 1'!$B$39))))</f>
        <v>#VALUE!</v>
      </c>
      <c r="AX44" s="78" t="e">
        <f>AV44*'Alternative 1'!$K45/'Alternative 1'!$L45</f>
        <v>#VALUE!</v>
      </c>
      <c r="AY44" s="78" t="e">
        <f>AW44/'Alternative 1'!$M45</f>
        <v>#VALUE!</v>
      </c>
      <c r="AZ44" s="78" t="e">
        <f t="shared" si="7"/>
        <v>#VALUE!</v>
      </c>
      <c r="BB44" s="78" t="e">
        <f>'Alternative 1'!$B$39*$B44*$C44*COS($K$63)-($N$62/3)*$E44*SIN($K$63)-($N$62/3)*$F44*SIN($K$63)-($N$62/3)*$G44*SIN($K$63)</f>
        <v>#VALUE!</v>
      </c>
      <c r="BC44" s="79" t="e">
        <f>IF(($A44&lt;'Alternative 1'!$B$27),(($H44*'Alternative 1'!$B$39)+(3*($N$62/3)*COS($K$63))),IF(($A44&lt;'Alternative 1'!$B$28),(($H44*'Alternative 1'!$B$39)+(2*(($N$62/3)*COS($K$63)))),IF(($A44&lt;'Alternative 1'!$B$29),(($H$3*'Alternative 1'!$B$39+(($N$62/3)*COS($K$63)))),($H44*'Alternative 1'!$B$39))))</f>
        <v>#VALUE!</v>
      </c>
      <c r="BD44" s="78" t="e">
        <f>BB44*'Alternative 1'!$K45/'Alternative 1'!$L45</f>
        <v>#VALUE!</v>
      </c>
      <c r="BE44" s="78" t="e">
        <f>BC44/'Alternative 1'!$M45</f>
        <v>#VALUE!</v>
      </c>
      <c r="BF44" s="78" t="e">
        <f t="shared" si="8"/>
        <v>#VALUE!</v>
      </c>
      <c r="BH44" s="78" t="e">
        <f>'Alternative 1'!$B$39*$B44*$C44*COS($K$73)-($N$72/3)*$E44*SIN($K$73)-($N$72/3)*$F44*SIN($K$73)-($N$72/3)*$G44*SIN($K$73)</f>
        <v>#VALUE!</v>
      </c>
      <c r="BI44" s="79" t="e">
        <f>IF(($A44&lt;'Alternative 1'!$B$27),(($H44*'Alternative 1'!$B$39)+(3*($N$72/3)*COS($K$73))),IF(($A44&lt;'Alternative 1'!$B$28),(($H44*'Alternative 1'!$B$39)+(2*(($N$72/3)*COS($K$73)))),IF(($A44&lt;'Alternative 1'!$B$29),(($H$3*'Alternative 1'!$B$39+(($N$72/3)*COS($K$73)))),($H44*'Alternative 1'!$B$39))))</f>
        <v>#VALUE!</v>
      </c>
      <c r="BJ44" s="78" t="e">
        <f>BH44*'Alternative 1'!$K45/'Alternative 1'!$L45</f>
        <v>#VALUE!</v>
      </c>
      <c r="BK44" s="78" t="e">
        <f>BI44/'Alternative 1'!$M45</f>
        <v>#VALUE!</v>
      </c>
      <c r="BL44" s="78" t="e">
        <f t="shared" si="9"/>
        <v>#VALUE!</v>
      </c>
      <c r="BN44" s="78" t="e">
        <f>'Alternative 1'!$B$39*$B44*$C44*COS($K$83)-($N$82/3)*$E44*SIN($K$83)-($N$82/3)*$F44*SIN($K$83)-($N$82/3)*$G44*SIN($K$83)</f>
        <v>#VALUE!</v>
      </c>
      <c r="BO44" s="79" t="e">
        <f>IF(($A44&lt;'Alternative 1'!$B$27),(($H44*'Alternative 1'!$B$39)+(3*($N$82/3)*COS($K$83))),IF(($A44&lt;'Alternative 1'!$B$28),(($H44*'Alternative 1'!$B$39)+(2*(($N$82/3)*COS($K$83)))),IF(($A44&lt;'Alternative 1'!$B$29),(($H$3*'Alternative 1'!$B$39+(($N$82/3)*COS($K$83)))),($H44*'Alternative 1'!$B$39))))</f>
        <v>#VALUE!</v>
      </c>
      <c r="BP44" s="78" t="e">
        <f>BN44*'Alternative 1'!$K45/'Alternative 1'!$L45</f>
        <v>#VALUE!</v>
      </c>
      <c r="BQ44" s="78" t="e">
        <f>BO44/'Alternative 1'!$M45</f>
        <v>#VALUE!</v>
      </c>
      <c r="BR44" s="78" t="e">
        <f t="shared" si="10"/>
        <v>#VALUE!</v>
      </c>
      <c r="BT44" s="78" t="e">
        <f>'Alternative 1'!$B$39*$B44*$C44*COS($K$93)-($K$92/3)*$E44*SIN($K$93)-($K$92/3)*$F44*SIN($K$93)-($K$92/3)*$G44*SIN($K$93)</f>
        <v>#VALUE!</v>
      </c>
      <c r="BU44" s="79" t="e">
        <f>IF(($A44&lt;'Alternative 1'!$B$27),(($H44*'Alternative 1'!$B$39)+(3*($N$92/3)*COS($K$93))),IF(($A44&lt;'Alternative 1'!$B$28),(($H44*'Alternative 1'!$B$39)+(2*(($N$92/3)*COS($K$93)))),IF(($A44&lt;'Alternative 1'!$B$29),(($H$3*'Alternative 1'!$B$39+(($N$92/3)*COS($K$93)))),($H44*'Alternative 1'!$B$39))))</f>
        <v>#VALUE!</v>
      </c>
      <c r="BV44" s="78" t="e">
        <f>BT44*'Alternative 1'!$K45/'Alternative 1'!$L45</f>
        <v>#VALUE!</v>
      </c>
      <c r="BW44" s="78" t="e">
        <f>BU44/'Alternative 1'!$M45</f>
        <v>#VALUE!</v>
      </c>
      <c r="BX44" s="78" t="e">
        <f t="shared" si="11"/>
        <v>#VALUE!</v>
      </c>
      <c r="BZ44" s="77">
        <v>150</v>
      </c>
      <c r="CA44" s="77">
        <v>-150</v>
      </c>
      <c r="CB44" s="281"/>
      <c r="CC44" s="281"/>
      <c r="CD44" s="281"/>
      <c r="CE44" s="281"/>
      <c r="CF44" s="281"/>
      <c r="CG44" s="281"/>
      <c r="CH44" s="281"/>
      <c r="CI44" s="281"/>
      <c r="CJ44" s="281"/>
      <c r="CK44" s="281"/>
      <c r="CL44" s="281"/>
      <c r="CM44" s="281"/>
      <c r="CN44" s="281"/>
      <c r="CO44" s="281"/>
      <c r="CP44" s="281"/>
      <c r="CQ44" s="281"/>
      <c r="CR44" s="281"/>
      <c r="CS44" s="281"/>
      <c r="CT44" s="281"/>
      <c r="CU44" s="281"/>
      <c r="CV44" s="281"/>
      <c r="CW44" s="281"/>
      <c r="CX44" s="281"/>
      <c r="CY44" s="281"/>
      <c r="CZ44" s="281"/>
      <c r="DA44" s="281"/>
      <c r="DB44" s="281"/>
      <c r="DC44" s="281"/>
      <c r="DD44" s="281"/>
      <c r="DE44" s="281"/>
      <c r="DF44" s="281"/>
      <c r="DG44" s="281"/>
      <c r="DH44" s="281"/>
      <c r="DI44" s="281"/>
      <c r="DJ44" s="281"/>
      <c r="DK44" s="281"/>
    </row>
    <row r="45" spans="1:115" ht="15" customHeight="1" x14ac:dyDescent="0.25">
      <c r="A45" s="89" t="str">
        <f>IF('Alternative 1'!F46&gt;0,'Alternative 1'!F46,"x")</f>
        <v>x</v>
      </c>
      <c r="B45" s="89" t="e">
        <f t="shared" si="17"/>
        <v>#VALUE!</v>
      </c>
      <c r="C45" s="89">
        <f t="shared" si="12"/>
        <v>0</v>
      </c>
      <c r="D45" s="89" t="str">
        <f t="shared" si="13"/>
        <v>x</v>
      </c>
      <c r="E45" s="74">
        <f>IF($A45&lt;='Alternative 1'!$B$27, IF($A45='Alternative 1'!$B$27,0,E46+1),0)</f>
        <v>0</v>
      </c>
      <c r="F45" s="74">
        <f>IF($A45&lt;=('Alternative 1'!$B$28), IF($A45=ROUNDDOWN('Alternative 1'!$B$28,0),0,F46+1),0)</f>
        <v>0</v>
      </c>
      <c r="G45" s="74">
        <f>IF($A45&lt;=('Alternative 1'!$B$29), IF($A45=ROUNDDOWN('Alternative 1'!$B$29,0),0,G46+1),0)</f>
        <v>0</v>
      </c>
      <c r="H45" s="89" t="e">
        <f t="shared" si="14"/>
        <v>#VALUE!</v>
      </c>
      <c r="J45" s="77">
        <f t="shared" si="15"/>
        <v>42</v>
      </c>
      <c r="K45" s="77">
        <f t="shared" si="16"/>
        <v>0.73303828583761843</v>
      </c>
      <c r="L45" s="78">
        <f>'Alternative 1'!$B$27*SIN(K45)+'Alternative 1'!$B$28*SIN(K45)+'Alternative 1'!$B$29*SIN(K45)</f>
        <v>45.500881232402364</v>
      </c>
      <c r="M45" s="77">
        <f>(('Alternative 1'!$B$27)*(((('Alternative 1'!$B$28-'Alternative 1'!$B$27)/2)+'Alternative 1'!$B$27)*'Alternative 1'!$B$39)*COS('Alternative 1-Tilt Up'!K45))+(('Alternative 1'!$B$28)*((('Alternative 1'!$B$28-'Alternative 1'!$B$27)/2)+(('Alternative 1'!$B$29-'Alternative 1'!$B$28)/2))*('Alternative 1'!$B$39)*COS('Alternative 1-Tilt Up'!K45))+(('Alternative 1'!$B$29)*((('Alternative 1'!$B$12-'Alternative 1'!$B$29+(('Alternative 1'!$B$29-'Alternative 1'!$B$28)/2)*('Alternative 1'!$B$39)*COS('Alternative 1-Tilt Up'!K45)))))</f>
        <v>3527099.137368381</v>
      </c>
      <c r="N45" s="77">
        <f t="shared" si="0"/>
        <v>232551.48308138538</v>
      </c>
      <c r="O45" s="77">
        <f>(((('Alternative 1'!$B$28-'Alternative 1'!$B$27)/2)+'Alternative 1'!$B$27)*('Alternative 1'!$B$39)*COS('Alternative 1-Tilt Up'!K45))+(((('Alternative 1'!$B$28-'Alternative 1'!$B$27)/2)+(('Alternative 1'!$B$29-'Alternative 1'!$B$28)/2))*('Alternative 1'!$B$39)*COS('Alternative 1-Tilt Up'!K45))+(((('Alternative 1'!$B$12-'Alternative 1'!$B$29)+(('Alternative 1'!$B$29-'Alternative 1'!$B$28)/2))*('Alternative 1'!$B$39)*COS('Alternative 1-Tilt Up'!K45)))</f>
        <v>227491.42458400043</v>
      </c>
      <c r="P45" s="77">
        <f t="shared" si="1"/>
        <v>172819.43130902533</v>
      </c>
      <c r="R45" s="78" t="e">
        <f>'Alternative 1'!$B$39*$B45*$C45*COS($K$5)-($N$5/3)*$E45*SIN($K$5)-($N$5/3)*$F45*SIN($K$5)-($N$5/3)*$G45*SIN($K$5)</f>
        <v>#VALUE!</v>
      </c>
      <c r="S45" s="79" t="e">
        <f>IF(($A45&lt;'Alternative 1'!$B$27),(($H45*'Alternative 1'!$B$39)+(3*($N$5/3)*COS($K$5))),IF(($A45&lt;'Alternative 1'!$B$28),(($H45*'Alternative 1'!$B$39)+(2*(($N$5/3)*COS($K$5)))),IF(($A45&lt;'Alternative 1'!$B$29),(($H$3*'Alternative 1'!$B$39+(($N$5/3)*COS($K$5)))),($H45*'Alternative 1'!$B$39))))</f>
        <v>#VALUE!</v>
      </c>
      <c r="T45" s="78" t="e">
        <f>R45*'Alternative 1'!$K46/'Alternative 1'!$L46</f>
        <v>#VALUE!</v>
      </c>
      <c r="U45" s="78" t="e">
        <f>S45/'Alternative 1'!$M46</f>
        <v>#VALUE!</v>
      </c>
      <c r="V45" s="78" t="e">
        <f t="shared" si="2"/>
        <v>#VALUE!</v>
      </c>
      <c r="X45" s="78" t="e">
        <f>'Alternative 1'!$B$39*$B45*$C45*COS($K$13)-($N$12/3)*$E45*SIN($K$13)-($N$12/3)*$F45*SIN($K$13)-($N$12/3)*$G45*SIN($K$13)</f>
        <v>#VALUE!</v>
      </c>
      <c r="Y45" s="79" t="e">
        <f>IF(($A45&lt;'Alternative 1'!$B$27),(($H45*'Alternative 1'!$B$39)+(3*($N$12/3)*COS($K$13))),IF(($A45&lt;'Alternative 1'!$B$28),(($H45*'Alternative 1'!$B$39)+(2*(($N$12/3)*COS($K$13)))),IF(($A45&lt;'Alternative 1'!$B$29),(($H$3*'Alternative 1'!$B$39+(($N$12/3)*COS($K$13)))),($H45*'Alternative 1'!$B$39))))</f>
        <v>#VALUE!</v>
      </c>
      <c r="Z45" s="78" t="e">
        <f>X45*'Alternative 1'!$K46/'Alternative 1'!$L46</f>
        <v>#VALUE!</v>
      </c>
      <c r="AA45" s="78" t="e">
        <f>Y45/'Alternative 1'!$M46</f>
        <v>#VALUE!</v>
      </c>
      <c r="AB45" s="78" t="e">
        <f t="shared" si="3"/>
        <v>#VALUE!</v>
      </c>
      <c r="AD45" s="78" t="e">
        <f>'Alternative 1'!$B$39*$B45*$C45*COS($K$23)-($N$22/3)*$E45*SIN($K$23)-($N$22/3)*$F45*SIN($K$23)-($N$22/3)*$G45*SIN($K$23)</f>
        <v>#VALUE!</v>
      </c>
      <c r="AE45" s="79" t="e">
        <f>IF(($A45&lt;'Alternative 1'!$B$27),(($H45*'Alternative 1'!$B$39)+(3*($N$22/3)*COS($K$23))),IF(($A45&lt;'Alternative 1'!$B$28),(($H45*'Alternative 1'!$B$39)+(2*(($N$22/3)*COS($K$23)))),IF(($A45&lt;'Alternative 1'!$B$29),(($H$3*'Alternative 1'!$B$39+(($N$22/3)*COS($K$23)))),($H45*'Alternative 1'!$B$39))))</f>
        <v>#VALUE!</v>
      </c>
      <c r="AF45" s="78" t="e">
        <f>AD45*'Alternative 1'!$K46/'Alternative 1'!$L46</f>
        <v>#VALUE!</v>
      </c>
      <c r="AG45" s="78" t="e">
        <f>AE45/'Alternative 1'!$M46</f>
        <v>#VALUE!</v>
      </c>
      <c r="AH45" s="78" t="e">
        <f t="shared" si="4"/>
        <v>#VALUE!</v>
      </c>
      <c r="AJ45" s="78" t="e">
        <f>'Alternative 1'!$B$39*$B45*$C45*COS($K$33)-($N$32/3)*$E45*SIN($K$33)-($N$32/3)*$F45*SIN($K$33)-($N$32/3)*$G45*SIN($K$33)</f>
        <v>#VALUE!</v>
      </c>
      <c r="AK45" s="79" t="e">
        <f>IF(($A45&lt;'Alternative 1'!$B$27),(($H45*'Alternative 1'!$B$39)+(3*($N$32/3)*COS($K$33))),IF(($A45&lt;'Alternative 1'!$B$28),(($H45*'Alternative 1'!$B$39)+(2*(($N$32/3)*COS($K$33)))),IF(($A45&lt;'Alternative 1'!$B$29),(($H$3*'Alternative 1'!$B$39+(($N$32/3)*COS($K$33)))),($H45*'Alternative 1'!$B$39))))</f>
        <v>#VALUE!</v>
      </c>
      <c r="AL45" s="78" t="e">
        <f>AJ45*'Alternative 1'!$K46/'Alternative 1'!$L46</f>
        <v>#VALUE!</v>
      </c>
      <c r="AM45" s="78" t="e">
        <f>AK45/'Alternative 1'!$M46</f>
        <v>#VALUE!</v>
      </c>
      <c r="AN45" s="78" t="e">
        <f t="shared" si="5"/>
        <v>#VALUE!</v>
      </c>
      <c r="AP45" s="78" t="e">
        <f>'Alternative 1'!$B$39*$B45*$C45*COS($K$43)-($N$42/3)*$E45*SIN($K$43)-($N$42/3)*$F45*SIN($K$43)-($N$42/3)*$G45*SIN($K$43)</f>
        <v>#VALUE!</v>
      </c>
      <c r="AQ45" s="79" t="e">
        <f>IF(($A45&lt;'Alternative 1'!$B$27),(($H45*'Alternative 1'!$B$39)+(3*($N$42/3)*COS($K$43))),IF(($A45&lt;'Alternative 1'!$B$28),(($H45*'Alternative 1'!$B$39)+(2*(($N$42/3)*COS($K$43)))),IF(($A45&lt;'Alternative 1'!$B$29),(($H$3*'Alternative 1'!$B$39+(($N$42/3)*COS($K$43)))),($H45*'Alternative 1'!$B$39))))</f>
        <v>#VALUE!</v>
      </c>
      <c r="AR45" s="78" t="e">
        <f>AP45*'Alternative 1'!$K46/'Alternative 1'!$L46</f>
        <v>#VALUE!</v>
      </c>
      <c r="AS45" s="78" t="e">
        <f>AQ45/'Alternative 1'!$M46</f>
        <v>#VALUE!</v>
      </c>
      <c r="AT45" s="78" t="e">
        <f t="shared" si="6"/>
        <v>#VALUE!</v>
      </c>
      <c r="AV45" s="78" t="e">
        <f>'Alternative 1'!$B$39*$B45*$C45*COS($K$53)-($N$52/3)*$E45*SIN($K$53)-($N$52/3)*$F45*SIN($K$53)-($N$52/3)*$G45*SIN($K$53)</f>
        <v>#VALUE!</v>
      </c>
      <c r="AW45" s="79" t="e">
        <f>IF(($A45&lt;'Alternative 1'!$B$27),(($H45*'Alternative 1'!$B$39)+(3*($N$52/3)*COS($K$53))),IF(($A45&lt;'Alternative 1'!$B$28),(($H45*'Alternative 1'!$B$39)+(2*(($N$52/3)*COS($K$53)))),IF(($A45&lt;'Alternative 1'!$B$29),(($H$3*'Alternative 1'!$B$39+(($N$52/3)*COS($K$53)))),($H45*'Alternative 1'!$B$39))))</f>
        <v>#VALUE!</v>
      </c>
      <c r="AX45" s="78" t="e">
        <f>AV45*'Alternative 1'!$K46/'Alternative 1'!$L46</f>
        <v>#VALUE!</v>
      </c>
      <c r="AY45" s="78" t="e">
        <f>AW45/'Alternative 1'!$M46</f>
        <v>#VALUE!</v>
      </c>
      <c r="AZ45" s="78" t="e">
        <f t="shared" si="7"/>
        <v>#VALUE!</v>
      </c>
      <c r="BB45" s="78" t="e">
        <f>'Alternative 1'!$B$39*$B45*$C45*COS($K$63)-($N$62/3)*$E45*SIN($K$63)-($N$62/3)*$F45*SIN($K$63)-($N$62/3)*$G45*SIN($K$63)</f>
        <v>#VALUE!</v>
      </c>
      <c r="BC45" s="79" t="e">
        <f>IF(($A45&lt;'Alternative 1'!$B$27),(($H45*'Alternative 1'!$B$39)+(3*($N$62/3)*COS($K$63))),IF(($A45&lt;'Alternative 1'!$B$28),(($H45*'Alternative 1'!$B$39)+(2*(($N$62/3)*COS($K$63)))),IF(($A45&lt;'Alternative 1'!$B$29),(($H$3*'Alternative 1'!$B$39+(($N$62/3)*COS($K$63)))),($H45*'Alternative 1'!$B$39))))</f>
        <v>#VALUE!</v>
      </c>
      <c r="BD45" s="78" t="e">
        <f>BB45*'Alternative 1'!$K46/'Alternative 1'!$L46</f>
        <v>#VALUE!</v>
      </c>
      <c r="BE45" s="78" t="e">
        <f>BC45/'Alternative 1'!$M46</f>
        <v>#VALUE!</v>
      </c>
      <c r="BF45" s="78" t="e">
        <f t="shared" si="8"/>
        <v>#VALUE!</v>
      </c>
      <c r="BH45" s="78" t="e">
        <f>'Alternative 1'!$B$39*$B45*$C45*COS($K$73)-($N$72/3)*$E45*SIN($K$73)-($N$72/3)*$F45*SIN($K$73)-($N$72/3)*$G45*SIN($K$73)</f>
        <v>#VALUE!</v>
      </c>
      <c r="BI45" s="79" t="e">
        <f>IF(($A45&lt;'Alternative 1'!$B$27),(($H45*'Alternative 1'!$B$39)+(3*($N$72/3)*COS($K$73))),IF(($A45&lt;'Alternative 1'!$B$28),(($H45*'Alternative 1'!$B$39)+(2*(($N$72/3)*COS($K$73)))),IF(($A45&lt;'Alternative 1'!$B$29),(($H$3*'Alternative 1'!$B$39+(($N$72/3)*COS($K$73)))),($H45*'Alternative 1'!$B$39))))</f>
        <v>#VALUE!</v>
      </c>
      <c r="BJ45" s="78" t="e">
        <f>BH45*'Alternative 1'!$K46/'Alternative 1'!$L46</f>
        <v>#VALUE!</v>
      </c>
      <c r="BK45" s="78" t="e">
        <f>BI45/'Alternative 1'!$M46</f>
        <v>#VALUE!</v>
      </c>
      <c r="BL45" s="78" t="e">
        <f t="shared" si="9"/>
        <v>#VALUE!</v>
      </c>
      <c r="BN45" s="78" t="e">
        <f>'Alternative 1'!$B$39*$B45*$C45*COS($K$83)-($N$82/3)*$E45*SIN($K$83)-($N$82/3)*$F45*SIN($K$83)-($N$82/3)*$G45*SIN($K$83)</f>
        <v>#VALUE!</v>
      </c>
      <c r="BO45" s="79" t="e">
        <f>IF(($A45&lt;'Alternative 1'!$B$27),(($H45*'Alternative 1'!$B$39)+(3*($N$82/3)*COS($K$83))),IF(($A45&lt;'Alternative 1'!$B$28),(($H45*'Alternative 1'!$B$39)+(2*(($N$82/3)*COS($K$83)))),IF(($A45&lt;'Alternative 1'!$B$29),(($H$3*'Alternative 1'!$B$39+(($N$82/3)*COS($K$83)))),($H45*'Alternative 1'!$B$39))))</f>
        <v>#VALUE!</v>
      </c>
      <c r="BP45" s="78" t="e">
        <f>BN45*'Alternative 1'!$K46/'Alternative 1'!$L46</f>
        <v>#VALUE!</v>
      </c>
      <c r="BQ45" s="78" t="e">
        <f>BO45/'Alternative 1'!$M46</f>
        <v>#VALUE!</v>
      </c>
      <c r="BR45" s="78" t="e">
        <f t="shared" si="10"/>
        <v>#VALUE!</v>
      </c>
      <c r="BT45" s="78" t="e">
        <f>'Alternative 1'!$B$39*$B45*$C45*COS($K$93)-($K$92/3)*$E45*SIN($K$93)-($K$92/3)*$F45*SIN($K$93)-($K$92/3)*$G45*SIN($K$93)</f>
        <v>#VALUE!</v>
      </c>
      <c r="BU45" s="79" t="e">
        <f>IF(($A45&lt;'Alternative 1'!$B$27),(($H45*'Alternative 1'!$B$39)+(3*($N$92/3)*COS($K$93))),IF(($A45&lt;'Alternative 1'!$B$28),(($H45*'Alternative 1'!$B$39)+(2*(($N$92/3)*COS($K$93)))),IF(($A45&lt;'Alternative 1'!$B$29),(($H$3*'Alternative 1'!$B$39+(($N$92/3)*COS($K$93)))),($H45*'Alternative 1'!$B$39))))</f>
        <v>#VALUE!</v>
      </c>
      <c r="BV45" s="78" t="e">
        <f>BT45*'Alternative 1'!$K46/'Alternative 1'!$L46</f>
        <v>#VALUE!</v>
      </c>
      <c r="BW45" s="78" t="e">
        <f>BU45/'Alternative 1'!$M46</f>
        <v>#VALUE!</v>
      </c>
      <c r="BX45" s="78" t="e">
        <f t="shared" si="11"/>
        <v>#VALUE!</v>
      </c>
      <c r="BZ45" s="77">
        <v>150</v>
      </c>
      <c r="CA45" s="77">
        <v>-150</v>
      </c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1"/>
      <c r="DA45" s="281"/>
      <c r="DB45" s="281"/>
      <c r="DC45" s="281"/>
      <c r="DD45" s="281"/>
      <c r="DE45" s="281"/>
      <c r="DF45" s="281"/>
      <c r="DG45" s="281"/>
      <c r="DH45" s="281"/>
      <c r="DI45" s="281"/>
      <c r="DJ45" s="281"/>
      <c r="DK45" s="281"/>
    </row>
    <row r="46" spans="1:115" ht="15" customHeight="1" x14ac:dyDescent="0.25">
      <c r="A46" s="89" t="str">
        <f>IF('Alternative 1'!F47&gt;0,'Alternative 1'!F47,"x")</f>
        <v>x</v>
      </c>
      <c r="B46" s="89" t="e">
        <f t="shared" si="17"/>
        <v>#VALUE!</v>
      </c>
      <c r="C46" s="89">
        <f t="shared" si="12"/>
        <v>0</v>
      </c>
      <c r="D46" s="89" t="str">
        <f t="shared" si="13"/>
        <v>x</v>
      </c>
      <c r="E46" s="74">
        <f>IF($A46&lt;='Alternative 1'!$B$27, IF($A46='Alternative 1'!$B$27,0,E47+1),0)</f>
        <v>0</v>
      </c>
      <c r="F46" s="74">
        <f>IF($A46&lt;=('Alternative 1'!$B$28), IF($A46=ROUNDDOWN('Alternative 1'!$B$28,0),0,F47+1),0)</f>
        <v>0</v>
      </c>
      <c r="G46" s="74">
        <f>IF($A46&lt;=('Alternative 1'!$B$29), IF($A46=ROUNDDOWN('Alternative 1'!$B$29,0),0,G47+1),0)</f>
        <v>0</v>
      </c>
      <c r="H46" s="89" t="e">
        <f t="shared" si="14"/>
        <v>#VALUE!</v>
      </c>
      <c r="J46" s="77">
        <f t="shared" si="15"/>
        <v>43</v>
      </c>
      <c r="K46" s="77">
        <f t="shared" si="16"/>
        <v>0.75049157835756164</v>
      </c>
      <c r="L46" s="78">
        <f>'Alternative 1'!$B$27*SIN(K46)+'Alternative 1'!$B$28*SIN(K46)+'Alternative 1'!$B$29*SIN(K46)</f>
        <v>46.375888484249899</v>
      </c>
      <c r="M46" s="77">
        <f>(('Alternative 1'!$B$27)*(((('Alternative 1'!$B$28-'Alternative 1'!$B$27)/2)+'Alternative 1'!$B$27)*'Alternative 1'!$B$39)*COS('Alternative 1-Tilt Up'!K46))+(('Alternative 1'!$B$28)*((('Alternative 1'!$B$28-'Alternative 1'!$B$27)/2)+(('Alternative 1'!$B$29-'Alternative 1'!$B$28)/2))*('Alternative 1'!$B$39)*COS('Alternative 1-Tilt Up'!K46))+(('Alternative 1'!$B$29)*((('Alternative 1'!$B$12-'Alternative 1'!$B$29+(('Alternative 1'!$B$29-'Alternative 1'!$B$28)/2)*('Alternative 1'!$B$39)*COS('Alternative 1-Tilt Up'!K46)))))</f>
        <v>3471139.4446507478</v>
      </c>
      <c r="N46" s="77">
        <f t="shared" si="0"/>
        <v>224543.8022710623</v>
      </c>
      <c r="O46" s="77">
        <f>(((('Alternative 1'!$B$28-'Alternative 1'!$B$27)/2)+'Alternative 1'!$B$27)*('Alternative 1'!$B$39)*COS('Alternative 1-Tilt Up'!K46))+(((('Alternative 1'!$B$28-'Alternative 1'!$B$27)/2)+(('Alternative 1'!$B$29-'Alternative 1'!$B$28)/2))*('Alternative 1'!$B$39)*COS('Alternative 1-Tilt Up'!K46))+(((('Alternative 1'!$B$12-'Alternative 1'!$B$29)+(('Alternative 1'!$B$29-'Alternative 1'!$B$28)/2))*('Alternative 1'!$B$39)*COS('Alternative 1-Tilt Up'!K46)))</f>
        <v>223881.92684951707</v>
      </c>
      <c r="P46" s="77">
        <f t="shared" si="1"/>
        <v>164220.94096658455</v>
      </c>
      <c r="R46" s="78" t="e">
        <f>'Alternative 1'!$B$39*$B46*$C46*COS($K$5)-($N$5/3)*$E46*SIN($K$5)-($N$5/3)*$F46*SIN($K$5)-($N$5/3)*$G46*SIN($K$5)</f>
        <v>#VALUE!</v>
      </c>
      <c r="S46" s="79" t="e">
        <f>IF(($A46&lt;'Alternative 1'!$B$27),(($H46*'Alternative 1'!$B$39)+(3*($N$5/3)*COS($K$5))),IF(($A46&lt;'Alternative 1'!$B$28),(($H46*'Alternative 1'!$B$39)+(2*(($N$5/3)*COS($K$5)))),IF(($A46&lt;'Alternative 1'!$B$29),(($H$3*'Alternative 1'!$B$39+(($N$5/3)*COS($K$5)))),($H46*'Alternative 1'!$B$39))))</f>
        <v>#VALUE!</v>
      </c>
      <c r="T46" s="78" t="e">
        <f>R46*'Alternative 1'!$K47/'Alternative 1'!$L47</f>
        <v>#VALUE!</v>
      </c>
      <c r="U46" s="78" t="e">
        <f>S46/'Alternative 1'!$M47</f>
        <v>#VALUE!</v>
      </c>
      <c r="V46" s="78" t="e">
        <f t="shared" si="2"/>
        <v>#VALUE!</v>
      </c>
      <c r="X46" s="78" t="e">
        <f>'Alternative 1'!$B$39*$B46*$C46*COS($K$13)-($N$12/3)*$E46*SIN($K$13)-($N$12/3)*$F46*SIN($K$13)-($N$12/3)*$G46*SIN($K$13)</f>
        <v>#VALUE!</v>
      </c>
      <c r="Y46" s="79" t="e">
        <f>IF(($A46&lt;'Alternative 1'!$B$27),(($H46*'Alternative 1'!$B$39)+(3*($N$12/3)*COS($K$13))),IF(($A46&lt;'Alternative 1'!$B$28),(($H46*'Alternative 1'!$B$39)+(2*(($N$12/3)*COS($K$13)))),IF(($A46&lt;'Alternative 1'!$B$29),(($H$3*'Alternative 1'!$B$39+(($N$12/3)*COS($K$13)))),($H46*'Alternative 1'!$B$39))))</f>
        <v>#VALUE!</v>
      </c>
      <c r="Z46" s="78" t="e">
        <f>X46*'Alternative 1'!$K47/'Alternative 1'!$L47</f>
        <v>#VALUE!</v>
      </c>
      <c r="AA46" s="78" t="e">
        <f>Y46/'Alternative 1'!$M47</f>
        <v>#VALUE!</v>
      </c>
      <c r="AB46" s="78" t="e">
        <f t="shared" si="3"/>
        <v>#VALUE!</v>
      </c>
      <c r="AD46" s="78" t="e">
        <f>'Alternative 1'!$B$39*$B46*$C46*COS($K$23)-($N$22/3)*$E46*SIN($K$23)-($N$22/3)*$F46*SIN($K$23)-($N$22/3)*$G46*SIN($K$23)</f>
        <v>#VALUE!</v>
      </c>
      <c r="AE46" s="79" t="e">
        <f>IF(($A46&lt;'Alternative 1'!$B$27),(($H46*'Alternative 1'!$B$39)+(3*($N$22/3)*COS($K$23))),IF(($A46&lt;'Alternative 1'!$B$28),(($H46*'Alternative 1'!$B$39)+(2*(($N$22/3)*COS($K$23)))),IF(($A46&lt;'Alternative 1'!$B$29),(($H$3*'Alternative 1'!$B$39+(($N$22/3)*COS($K$23)))),($H46*'Alternative 1'!$B$39))))</f>
        <v>#VALUE!</v>
      </c>
      <c r="AF46" s="78" t="e">
        <f>AD46*'Alternative 1'!$K47/'Alternative 1'!$L47</f>
        <v>#VALUE!</v>
      </c>
      <c r="AG46" s="78" t="e">
        <f>AE46/'Alternative 1'!$M47</f>
        <v>#VALUE!</v>
      </c>
      <c r="AH46" s="78" t="e">
        <f t="shared" si="4"/>
        <v>#VALUE!</v>
      </c>
      <c r="AJ46" s="78" t="e">
        <f>'Alternative 1'!$B$39*$B46*$C46*COS($K$33)-($N$32/3)*$E46*SIN($K$33)-($N$32/3)*$F46*SIN($K$33)-($N$32/3)*$G46*SIN($K$33)</f>
        <v>#VALUE!</v>
      </c>
      <c r="AK46" s="79" t="e">
        <f>IF(($A46&lt;'Alternative 1'!$B$27),(($H46*'Alternative 1'!$B$39)+(3*($N$32/3)*COS($K$33))),IF(($A46&lt;'Alternative 1'!$B$28),(($H46*'Alternative 1'!$B$39)+(2*(($N$32/3)*COS($K$33)))),IF(($A46&lt;'Alternative 1'!$B$29),(($H$3*'Alternative 1'!$B$39+(($N$32/3)*COS($K$33)))),($H46*'Alternative 1'!$B$39))))</f>
        <v>#VALUE!</v>
      </c>
      <c r="AL46" s="78" t="e">
        <f>AJ46*'Alternative 1'!$K47/'Alternative 1'!$L47</f>
        <v>#VALUE!</v>
      </c>
      <c r="AM46" s="78" t="e">
        <f>AK46/'Alternative 1'!$M47</f>
        <v>#VALUE!</v>
      </c>
      <c r="AN46" s="78" t="e">
        <f t="shared" si="5"/>
        <v>#VALUE!</v>
      </c>
      <c r="AP46" s="78" t="e">
        <f>'Alternative 1'!$B$39*$B46*$C46*COS($K$43)-($N$42/3)*$E46*SIN($K$43)-($N$42/3)*$F46*SIN($K$43)-($N$42/3)*$G46*SIN($K$43)</f>
        <v>#VALUE!</v>
      </c>
      <c r="AQ46" s="79" t="e">
        <f>IF(($A46&lt;'Alternative 1'!$B$27),(($H46*'Alternative 1'!$B$39)+(3*($N$42/3)*COS($K$43))),IF(($A46&lt;'Alternative 1'!$B$28),(($H46*'Alternative 1'!$B$39)+(2*(($N$42/3)*COS($K$43)))),IF(($A46&lt;'Alternative 1'!$B$29),(($H$3*'Alternative 1'!$B$39+(($N$42/3)*COS($K$43)))),($H46*'Alternative 1'!$B$39))))</f>
        <v>#VALUE!</v>
      </c>
      <c r="AR46" s="78" t="e">
        <f>AP46*'Alternative 1'!$K47/'Alternative 1'!$L47</f>
        <v>#VALUE!</v>
      </c>
      <c r="AS46" s="78" t="e">
        <f>AQ46/'Alternative 1'!$M47</f>
        <v>#VALUE!</v>
      </c>
      <c r="AT46" s="78" t="e">
        <f t="shared" si="6"/>
        <v>#VALUE!</v>
      </c>
      <c r="AV46" s="78" t="e">
        <f>'Alternative 1'!$B$39*$B46*$C46*COS($K$53)-($N$52/3)*$E46*SIN($K$53)-($N$52/3)*$F46*SIN($K$53)-($N$52/3)*$G46*SIN($K$53)</f>
        <v>#VALUE!</v>
      </c>
      <c r="AW46" s="79" t="e">
        <f>IF(($A46&lt;'Alternative 1'!$B$27),(($H46*'Alternative 1'!$B$39)+(3*($N$52/3)*COS($K$53))),IF(($A46&lt;'Alternative 1'!$B$28),(($H46*'Alternative 1'!$B$39)+(2*(($N$52/3)*COS($K$53)))),IF(($A46&lt;'Alternative 1'!$B$29),(($H$3*'Alternative 1'!$B$39+(($N$52/3)*COS($K$53)))),($H46*'Alternative 1'!$B$39))))</f>
        <v>#VALUE!</v>
      </c>
      <c r="AX46" s="78" t="e">
        <f>AV46*'Alternative 1'!$K47/'Alternative 1'!$L47</f>
        <v>#VALUE!</v>
      </c>
      <c r="AY46" s="78" t="e">
        <f>AW46/'Alternative 1'!$M47</f>
        <v>#VALUE!</v>
      </c>
      <c r="AZ46" s="78" t="e">
        <f t="shared" si="7"/>
        <v>#VALUE!</v>
      </c>
      <c r="BB46" s="78" t="e">
        <f>'Alternative 1'!$B$39*$B46*$C46*COS($K$63)-($N$62/3)*$E46*SIN($K$63)-($N$62/3)*$F46*SIN($K$63)-($N$62/3)*$G46*SIN($K$63)</f>
        <v>#VALUE!</v>
      </c>
      <c r="BC46" s="79" t="e">
        <f>IF(($A46&lt;'Alternative 1'!$B$27),(($H46*'Alternative 1'!$B$39)+(3*($N$62/3)*COS($K$63))),IF(($A46&lt;'Alternative 1'!$B$28),(($H46*'Alternative 1'!$B$39)+(2*(($N$62/3)*COS($K$63)))),IF(($A46&lt;'Alternative 1'!$B$29),(($H$3*'Alternative 1'!$B$39+(($N$62/3)*COS($K$63)))),($H46*'Alternative 1'!$B$39))))</f>
        <v>#VALUE!</v>
      </c>
      <c r="BD46" s="78" t="e">
        <f>BB46*'Alternative 1'!$K47/'Alternative 1'!$L47</f>
        <v>#VALUE!</v>
      </c>
      <c r="BE46" s="78" t="e">
        <f>BC46/'Alternative 1'!$M47</f>
        <v>#VALUE!</v>
      </c>
      <c r="BF46" s="78" t="e">
        <f t="shared" si="8"/>
        <v>#VALUE!</v>
      </c>
      <c r="BH46" s="78" t="e">
        <f>'Alternative 1'!$B$39*$B46*$C46*COS($K$73)-($N$72/3)*$E46*SIN($K$73)-($N$72/3)*$F46*SIN($K$73)-($N$72/3)*$G46*SIN($K$73)</f>
        <v>#VALUE!</v>
      </c>
      <c r="BI46" s="79" t="e">
        <f>IF(($A46&lt;'Alternative 1'!$B$27),(($H46*'Alternative 1'!$B$39)+(3*($N$72/3)*COS($K$73))),IF(($A46&lt;'Alternative 1'!$B$28),(($H46*'Alternative 1'!$B$39)+(2*(($N$72/3)*COS($K$73)))),IF(($A46&lt;'Alternative 1'!$B$29),(($H$3*'Alternative 1'!$B$39+(($N$72/3)*COS($K$73)))),($H46*'Alternative 1'!$B$39))))</f>
        <v>#VALUE!</v>
      </c>
      <c r="BJ46" s="78" t="e">
        <f>BH46*'Alternative 1'!$K47/'Alternative 1'!$L47</f>
        <v>#VALUE!</v>
      </c>
      <c r="BK46" s="78" t="e">
        <f>BI46/'Alternative 1'!$M47</f>
        <v>#VALUE!</v>
      </c>
      <c r="BL46" s="78" t="e">
        <f t="shared" si="9"/>
        <v>#VALUE!</v>
      </c>
      <c r="BN46" s="78" t="e">
        <f>'Alternative 1'!$B$39*$B46*$C46*COS($K$83)-($N$82/3)*$E46*SIN($K$83)-($N$82/3)*$F46*SIN($K$83)-($N$82/3)*$G46*SIN($K$83)</f>
        <v>#VALUE!</v>
      </c>
      <c r="BO46" s="79" t="e">
        <f>IF(($A46&lt;'Alternative 1'!$B$27),(($H46*'Alternative 1'!$B$39)+(3*($N$82/3)*COS($K$83))),IF(($A46&lt;'Alternative 1'!$B$28),(($H46*'Alternative 1'!$B$39)+(2*(($N$82/3)*COS($K$83)))),IF(($A46&lt;'Alternative 1'!$B$29),(($H$3*'Alternative 1'!$B$39+(($N$82/3)*COS($K$83)))),($H46*'Alternative 1'!$B$39))))</f>
        <v>#VALUE!</v>
      </c>
      <c r="BP46" s="78" t="e">
        <f>BN46*'Alternative 1'!$K47/'Alternative 1'!$L47</f>
        <v>#VALUE!</v>
      </c>
      <c r="BQ46" s="78" t="e">
        <f>BO46/'Alternative 1'!$M47</f>
        <v>#VALUE!</v>
      </c>
      <c r="BR46" s="78" t="e">
        <f t="shared" si="10"/>
        <v>#VALUE!</v>
      </c>
      <c r="BT46" s="78" t="e">
        <f>'Alternative 1'!$B$39*$B46*$C46*COS($K$93)-($K$92/3)*$E46*SIN($K$93)-($K$92/3)*$F46*SIN($K$93)-($K$92/3)*$G46*SIN($K$93)</f>
        <v>#VALUE!</v>
      </c>
      <c r="BU46" s="79" t="e">
        <f>IF(($A46&lt;'Alternative 1'!$B$27),(($H46*'Alternative 1'!$B$39)+(3*($N$92/3)*COS($K$93))),IF(($A46&lt;'Alternative 1'!$B$28),(($H46*'Alternative 1'!$B$39)+(2*(($N$92/3)*COS($K$93)))),IF(($A46&lt;'Alternative 1'!$B$29),(($H$3*'Alternative 1'!$B$39+(($N$92/3)*COS($K$93)))),($H46*'Alternative 1'!$B$39))))</f>
        <v>#VALUE!</v>
      </c>
      <c r="BV46" s="78" t="e">
        <f>BT46*'Alternative 1'!$K47/'Alternative 1'!$L47</f>
        <v>#VALUE!</v>
      </c>
      <c r="BW46" s="78" t="e">
        <f>BU46/'Alternative 1'!$M47</f>
        <v>#VALUE!</v>
      </c>
      <c r="BX46" s="78" t="e">
        <f t="shared" si="11"/>
        <v>#VALUE!</v>
      </c>
      <c r="BZ46" s="77">
        <v>150</v>
      </c>
      <c r="CA46" s="77">
        <v>-150</v>
      </c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  <c r="DE46" s="281"/>
      <c r="DF46" s="281"/>
      <c r="DG46" s="281"/>
      <c r="DH46" s="281"/>
      <c r="DI46" s="281"/>
      <c r="DJ46" s="281"/>
      <c r="DK46" s="281"/>
    </row>
    <row r="47" spans="1:115" ht="15" customHeight="1" x14ac:dyDescent="0.25">
      <c r="A47" s="89" t="str">
        <f>IF('Alternative 1'!F48&gt;0,'Alternative 1'!F48,"x")</f>
        <v>x</v>
      </c>
      <c r="B47" s="89" t="e">
        <f t="shared" si="17"/>
        <v>#VALUE!</v>
      </c>
      <c r="C47" s="89">
        <f t="shared" si="12"/>
        <v>0</v>
      </c>
      <c r="D47" s="89" t="str">
        <f t="shared" si="13"/>
        <v>x</v>
      </c>
      <c r="E47" s="74">
        <f>IF($A47&lt;='Alternative 1'!$B$27, IF($A47='Alternative 1'!$B$27,0,E48+1),0)</f>
        <v>0</v>
      </c>
      <c r="F47" s="74">
        <f>IF($A47&lt;=('Alternative 1'!$B$28), IF($A47=ROUNDDOWN('Alternative 1'!$B$28,0),0,F48+1),0)</f>
        <v>0</v>
      </c>
      <c r="G47" s="74">
        <f>IF($A47&lt;=('Alternative 1'!$B$29), IF($A47=ROUNDDOWN('Alternative 1'!$B$29,0),0,G48+1),0)</f>
        <v>0</v>
      </c>
      <c r="H47" s="89" t="e">
        <f t="shared" si="14"/>
        <v>#VALUE!</v>
      </c>
      <c r="J47" s="77">
        <f t="shared" si="15"/>
        <v>44</v>
      </c>
      <c r="K47" s="77">
        <f t="shared" si="16"/>
        <v>0.76794487087750496</v>
      </c>
      <c r="L47" s="78">
        <f>'Alternative 1'!$B$27*SIN(K47)+'Alternative 1'!$B$28*SIN(K47)+'Alternative 1'!$B$29*SIN(K47)</f>
        <v>47.236769191211813</v>
      </c>
      <c r="M47" s="77">
        <f>(('Alternative 1'!$B$27)*(((('Alternative 1'!$B$28-'Alternative 1'!$B$27)/2)+'Alternative 1'!$B$27)*'Alternative 1'!$B$39)*COS('Alternative 1-Tilt Up'!K47))+(('Alternative 1'!$B$28)*((('Alternative 1'!$B$28-'Alternative 1'!$B$27)/2)+(('Alternative 1'!$B$29-'Alternative 1'!$B$28)/2))*('Alternative 1'!$B$39)*COS('Alternative 1-Tilt Up'!K47))+(('Alternative 1'!$B$29)*((('Alternative 1'!$B$12-'Alternative 1'!$B$29+(('Alternative 1'!$B$29-'Alternative 1'!$B$28)/2)*('Alternative 1'!$B$39)*COS('Alternative 1-Tilt Up'!K47)))))</f>
        <v>3414122.4688237198</v>
      </c>
      <c r="N47" s="77">
        <f t="shared" si="0"/>
        <v>216830.39678286688</v>
      </c>
      <c r="O47" s="77">
        <f>(((('Alternative 1'!$B$28-'Alternative 1'!$B$27)/2)+'Alternative 1'!$B$27)*('Alternative 1'!$B$39)*COS('Alternative 1-Tilt Up'!K47))+(((('Alternative 1'!$B$28-'Alternative 1'!$B$27)/2)+(('Alternative 1'!$B$29-'Alternative 1'!$B$28)/2))*('Alternative 1'!$B$39)*COS('Alternative 1-Tilt Up'!K47))+(((('Alternative 1'!$B$12-'Alternative 1'!$B$29)+(('Alternative 1'!$B$29-'Alternative 1'!$B$28)/2))*('Alternative 1'!$B$39)*COS('Alternative 1-Tilt Up'!K47)))</f>
        <v>220204.23251132236</v>
      </c>
      <c r="P47" s="77">
        <f t="shared" si="1"/>
        <v>155974.73432913798</v>
      </c>
      <c r="R47" s="78" t="e">
        <f>'Alternative 1'!$B$39*$B47*$C47*COS($K$5)-($N$5/3)*$E47*SIN($K$5)-($N$5/3)*$F47*SIN($K$5)-($N$5/3)*$G47*SIN($K$5)</f>
        <v>#VALUE!</v>
      </c>
      <c r="S47" s="79" t="e">
        <f>IF(($A47&lt;'Alternative 1'!$B$27),(($H47*'Alternative 1'!$B$39)+(3*($N$5/3)*COS($K$5))),IF(($A47&lt;'Alternative 1'!$B$28),(($H47*'Alternative 1'!$B$39)+(2*(($N$5/3)*COS($K$5)))),IF(($A47&lt;'Alternative 1'!$B$29),(($H$3*'Alternative 1'!$B$39+(($N$5/3)*COS($K$5)))),($H47*'Alternative 1'!$B$39))))</f>
        <v>#VALUE!</v>
      </c>
      <c r="T47" s="78" t="e">
        <f>R47*'Alternative 1'!$K48/'Alternative 1'!$L48</f>
        <v>#VALUE!</v>
      </c>
      <c r="U47" s="78" t="e">
        <f>S47/'Alternative 1'!$M48</f>
        <v>#VALUE!</v>
      </c>
      <c r="V47" s="78" t="e">
        <f t="shared" si="2"/>
        <v>#VALUE!</v>
      </c>
      <c r="X47" s="78" t="e">
        <f>'Alternative 1'!$B$39*$B47*$C47*COS($K$13)-($N$12/3)*$E47*SIN($K$13)-($N$12/3)*$F47*SIN($K$13)-($N$12/3)*$G47*SIN($K$13)</f>
        <v>#VALUE!</v>
      </c>
      <c r="Y47" s="79" t="e">
        <f>IF(($A47&lt;'Alternative 1'!$B$27),(($H47*'Alternative 1'!$B$39)+(3*($N$12/3)*COS($K$13))),IF(($A47&lt;'Alternative 1'!$B$28),(($H47*'Alternative 1'!$B$39)+(2*(($N$12/3)*COS($K$13)))),IF(($A47&lt;'Alternative 1'!$B$29),(($H$3*'Alternative 1'!$B$39+(($N$12/3)*COS($K$13)))),($H47*'Alternative 1'!$B$39))))</f>
        <v>#VALUE!</v>
      </c>
      <c r="Z47" s="78" t="e">
        <f>X47*'Alternative 1'!$K48/'Alternative 1'!$L48</f>
        <v>#VALUE!</v>
      </c>
      <c r="AA47" s="78" t="e">
        <f>Y47/'Alternative 1'!$M48</f>
        <v>#VALUE!</v>
      </c>
      <c r="AB47" s="78" t="e">
        <f t="shared" si="3"/>
        <v>#VALUE!</v>
      </c>
      <c r="AD47" s="78" t="e">
        <f>'Alternative 1'!$B$39*$B47*$C47*COS($K$23)-($N$22/3)*$E47*SIN($K$23)-($N$22/3)*$F47*SIN($K$23)-($N$22/3)*$G47*SIN($K$23)</f>
        <v>#VALUE!</v>
      </c>
      <c r="AE47" s="79" t="e">
        <f>IF(($A47&lt;'Alternative 1'!$B$27),(($H47*'Alternative 1'!$B$39)+(3*($N$22/3)*COS($K$23))),IF(($A47&lt;'Alternative 1'!$B$28),(($H47*'Alternative 1'!$B$39)+(2*(($N$22/3)*COS($K$23)))),IF(($A47&lt;'Alternative 1'!$B$29),(($H$3*'Alternative 1'!$B$39+(($N$22/3)*COS($K$23)))),($H47*'Alternative 1'!$B$39))))</f>
        <v>#VALUE!</v>
      </c>
      <c r="AF47" s="78" t="e">
        <f>AD47*'Alternative 1'!$K48/'Alternative 1'!$L48</f>
        <v>#VALUE!</v>
      </c>
      <c r="AG47" s="78" t="e">
        <f>AE47/'Alternative 1'!$M48</f>
        <v>#VALUE!</v>
      </c>
      <c r="AH47" s="78" t="e">
        <f t="shared" si="4"/>
        <v>#VALUE!</v>
      </c>
      <c r="AJ47" s="78" t="e">
        <f>'Alternative 1'!$B$39*$B47*$C47*COS($K$33)-($N$32/3)*$E47*SIN($K$33)-($N$32/3)*$F47*SIN($K$33)-($N$32/3)*$G47*SIN($K$33)</f>
        <v>#VALUE!</v>
      </c>
      <c r="AK47" s="79" t="e">
        <f>IF(($A47&lt;'Alternative 1'!$B$27),(($H47*'Alternative 1'!$B$39)+(3*($N$32/3)*COS($K$33))),IF(($A47&lt;'Alternative 1'!$B$28),(($H47*'Alternative 1'!$B$39)+(2*(($N$32/3)*COS($K$33)))),IF(($A47&lt;'Alternative 1'!$B$29),(($H$3*'Alternative 1'!$B$39+(($N$32/3)*COS($K$33)))),($H47*'Alternative 1'!$B$39))))</f>
        <v>#VALUE!</v>
      </c>
      <c r="AL47" s="78" t="e">
        <f>AJ47*'Alternative 1'!$K48/'Alternative 1'!$L48</f>
        <v>#VALUE!</v>
      </c>
      <c r="AM47" s="78" t="e">
        <f>AK47/'Alternative 1'!$M48</f>
        <v>#VALUE!</v>
      </c>
      <c r="AN47" s="78" t="e">
        <f t="shared" si="5"/>
        <v>#VALUE!</v>
      </c>
      <c r="AP47" s="78" t="e">
        <f>'Alternative 1'!$B$39*$B47*$C47*COS($K$43)-($N$42/3)*$E47*SIN($K$43)-($N$42/3)*$F47*SIN($K$43)-($N$42/3)*$G47*SIN($K$43)</f>
        <v>#VALUE!</v>
      </c>
      <c r="AQ47" s="79" t="e">
        <f>IF(($A47&lt;'Alternative 1'!$B$27),(($H47*'Alternative 1'!$B$39)+(3*($N$42/3)*COS($K$43))),IF(($A47&lt;'Alternative 1'!$B$28),(($H47*'Alternative 1'!$B$39)+(2*(($N$42/3)*COS($K$43)))),IF(($A47&lt;'Alternative 1'!$B$29),(($H$3*'Alternative 1'!$B$39+(($N$42/3)*COS($K$43)))),($H47*'Alternative 1'!$B$39))))</f>
        <v>#VALUE!</v>
      </c>
      <c r="AR47" s="78" t="e">
        <f>AP47*'Alternative 1'!$K48/'Alternative 1'!$L48</f>
        <v>#VALUE!</v>
      </c>
      <c r="AS47" s="78" t="e">
        <f>AQ47/'Alternative 1'!$M48</f>
        <v>#VALUE!</v>
      </c>
      <c r="AT47" s="78" t="e">
        <f t="shared" si="6"/>
        <v>#VALUE!</v>
      </c>
      <c r="AV47" s="78" t="e">
        <f>'Alternative 1'!$B$39*$B47*$C47*COS($K$53)-($N$52/3)*$E47*SIN($K$53)-($N$52/3)*$F47*SIN($K$53)-($N$52/3)*$G47*SIN($K$53)</f>
        <v>#VALUE!</v>
      </c>
      <c r="AW47" s="79" t="e">
        <f>IF(($A47&lt;'Alternative 1'!$B$27),(($H47*'Alternative 1'!$B$39)+(3*($N$52/3)*COS($K$53))),IF(($A47&lt;'Alternative 1'!$B$28),(($H47*'Alternative 1'!$B$39)+(2*(($N$52/3)*COS($K$53)))),IF(($A47&lt;'Alternative 1'!$B$29),(($H$3*'Alternative 1'!$B$39+(($N$52/3)*COS($K$53)))),($H47*'Alternative 1'!$B$39))))</f>
        <v>#VALUE!</v>
      </c>
      <c r="AX47" s="78" t="e">
        <f>AV47*'Alternative 1'!$K48/'Alternative 1'!$L48</f>
        <v>#VALUE!</v>
      </c>
      <c r="AY47" s="78" t="e">
        <f>AW47/'Alternative 1'!$M48</f>
        <v>#VALUE!</v>
      </c>
      <c r="AZ47" s="78" t="e">
        <f t="shared" si="7"/>
        <v>#VALUE!</v>
      </c>
      <c r="BB47" s="78" t="e">
        <f>'Alternative 1'!$B$39*$B47*$C47*COS($K$63)-($N$62/3)*$E47*SIN($K$63)-($N$62/3)*$F47*SIN($K$63)-($N$62/3)*$G47*SIN($K$63)</f>
        <v>#VALUE!</v>
      </c>
      <c r="BC47" s="79" t="e">
        <f>IF(($A47&lt;'Alternative 1'!$B$27),(($H47*'Alternative 1'!$B$39)+(3*($N$62/3)*COS($K$63))),IF(($A47&lt;'Alternative 1'!$B$28),(($H47*'Alternative 1'!$B$39)+(2*(($N$62/3)*COS($K$63)))),IF(($A47&lt;'Alternative 1'!$B$29),(($H$3*'Alternative 1'!$B$39+(($N$62/3)*COS($K$63)))),($H47*'Alternative 1'!$B$39))))</f>
        <v>#VALUE!</v>
      </c>
      <c r="BD47" s="78" t="e">
        <f>BB47*'Alternative 1'!$K48/'Alternative 1'!$L48</f>
        <v>#VALUE!</v>
      </c>
      <c r="BE47" s="78" t="e">
        <f>BC47/'Alternative 1'!$M48</f>
        <v>#VALUE!</v>
      </c>
      <c r="BF47" s="78" t="e">
        <f t="shared" si="8"/>
        <v>#VALUE!</v>
      </c>
      <c r="BH47" s="78" t="e">
        <f>'Alternative 1'!$B$39*$B47*$C47*COS($K$73)-($N$72/3)*$E47*SIN($K$73)-($N$72/3)*$F47*SIN($K$73)-($N$72/3)*$G47*SIN($K$73)</f>
        <v>#VALUE!</v>
      </c>
      <c r="BI47" s="79" t="e">
        <f>IF(($A47&lt;'Alternative 1'!$B$27),(($H47*'Alternative 1'!$B$39)+(3*($N$72/3)*COS($K$73))),IF(($A47&lt;'Alternative 1'!$B$28),(($H47*'Alternative 1'!$B$39)+(2*(($N$72/3)*COS($K$73)))),IF(($A47&lt;'Alternative 1'!$B$29),(($H$3*'Alternative 1'!$B$39+(($N$72/3)*COS($K$73)))),($H47*'Alternative 1'!$B$39))))</f>
        <v>#VALUE!</v>
      </c>
      <c r="BJ47" s="78" t="e">
        <f>BH47*'Alternative 1'!$K48/'Alternative 1'!$L48</f>
        <v>#VALUE!</v>
      </c>
      <c r="BK47" s="78" t="e">
        <f>BI47/'Alternative 1'!$M48</f>
        <v>#VALUE!</v>
      </c>
      <c r="BL47" s="78" t="e">
        <f t="shared" si="9"/>
        <v>#VALUE!</v>
      </c>
      <c r="BN47" s="78" t="e">
        <f>'Alternative 1'!$B$39*$B47*$C47*COS($K$83)-($N$82/3)*$E47*SIN($K$83)-($N$82/3)*$F47*SIN($K$83)-($N$82/3)*$G47*SIN($K$83)</f>
        <v>#VALUE!</v>
      </c>
      <c r="BO47" s="79" t="e">
        <f>IF(($A47&lt;'Alternative 1'!$B$27),(($H47*'Alternative 1'!$B$39)+(3*($N$82/3)*COS($K$83))),IF(($A47&lt;'Alternative 1'!$B$28),(($H47*'Alternative 1'!$B$39)+(2*(($N$82/3)*COS($K$83)))),IF(($A47&lt;'Alternative 1'!$B$29),(($H$3*'Alternative 1'!$B$39+(($N$82/3)*COS($K$83)))),($H47*'Alternative 1'!$B$39))))</f>
        <v>#VALUE!</v>
      </c>
      <c r="BP47" s="78" t="e">
        <f>BN47*'Alternative 1'!$K48/'Alternative 1'!$L48</f>
        <v>#VALUE!</v>
      </c>
      <c r="BQ47" s="78" t="e">
        <f>BO47/'Alternative 1'!$M48</f>
        <v>#VALUE!</v>
      </c>
      <c r="BR47" s="78" t="e">
        <f t="shared" si="10"/>
        <v>#VALUE!</v>
      </c>
      <c r="BT47" s="78" t="e">
        <f>'Alternative 1'!$B$39*$B47*$C47*COS($K$93)-($K$92/3)*$E47*SIN($K$93)-($K$92/3)*$F47*SIN($K$93)-($K$92/3)*$G47*SIN($K$93)</f>
        <v>#VALUE!</v>
      </c>
      <c r="BU47" s="79" t="e">
        <f>IF(($A47&lt;'Alternative 1'!$B$27),(($H47*'Alternative 1'!$B$39)+(3*($N$92/3)*COS($K$93))),IF(($A47&lt;'Alternative 1'!$B$28),(($H47*'Alternative 1'!$B$39)+(2*(($N$92/3)*COS($K$93)))),IF(($A47&lt;'Alternative 1'!$B$29),(($H$3*'Alternative 1'!$B$39+(($N$92/3)*COS($K$93)))),($H47*'Alternative 1'!$B$39))))</f>
        <v>#VALUE!</v>
      </c>
      <c r="BV47" s="78" t="e">
        <f>BT47*'Alternative 1'!$K48/'Alternative 1'!$L48</f>
        <v>#VALUE!</v>
      </c>
      <c r="BW47" s="78" t="e">
        <f>BU47/'Alternative 1'!$M48</f>
        <v>#VALUE!</v>
      </c>
      <c r="BX47" s="78" t="e">
        <f t="shared" si="11"/>
        <v>#VALUE!</v>
      </c>
      <c r="BZ47" s="77">
        <v>150</v>
      </c>
      <c r="CA47" s="77">
        <v>-150</v>
      </c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</row>
    <row r="48" spans="1:115" ht="15" customHeight="1" x14ac:dyDescent="0.25">
      <c r="A48" s="89" t="str">
        <f>IF('Alternative 1'!F49&gt;0,'Alternative 1'!F49,"x")</f>
        <v>x</v>
      </c>
      <c r="B48" s="89" t="e">
        <f t="shared" si="17"/>
        <v>#VALUE!</v>
      </c>
      <c r="C48" s="89">
        <f t="shared" si="12"/>
        <v>0</v>
      </c>
      <c r="D48" s="89" t="str">
        <f t="shared" si="13"/>
        <v>x</v>
      </c>
      <c r="E48" s="74">
        <f>IF($A48&lt;='Alternative 1'!$B$27, IF($A48='Alternative 1'!$B$27,0,E49+1),0)</f>
        <v>0</v>
      </c>
      <c r="F48" s="74">
        <f>IF($A48&lt;=('Alternative 1'!$B$28), IF($A48=ROUNDDOWN('Alternative 1'!$B$28,0),0,F49+1),0)</f>
        <v>0</v>
      </c>
      <c r="G48" s="74">
        <f>IF($A48&lt;=('Alternative 1'!$B$29), IF($A48=ROUNDDOWN('Alternative 1'!$B$29,0),0,G49+1),0)</f>
        <v>0</v>
      </c>
      <c r="H48" s="89" t="e">
        <f t="shared" si="14"/>
        <v>#VALUE!</v>
      </c>
      <c r="J48" s="77">
        <f t="shared" si="15"/>
        <v>45</v>
      </c>
      <c r="K48" s="77">
        <f t="shared" si="16"/>
        <v>0.78539816339744828</v>
      </c>
      <c r="L48" s="78">
        <f>'Alternative 1'!$B$27*SIN(K48)+'Alternative 1'!$B$28*SIN(K48)+'Alternative 1'!$B$29*SIN(K48)</f>
        <v>48.083261120685229</v>
      </c>
      <c r="M48" s="77">
        <f>(('Alternative 1'!$B$27)*(((('Alternative 1'!$B$28-'Alternative 1'!$B$27)/2)+'Alternative 1'!$B$27)*'Alternative 1'!$B$39)*COS('Alternative 1-Tilt Up'!K48))+(('Alternative 1'!$B$28)*((('Alternative 1'!$B$28-'Alternative 1'!$B$27)/2)+(('Alternative 1'!$B$29-'Alternative 1'!$B$28)/2))*('Alternative 1'!$B$39)*COS('Alternative 1-Tilt Up'!K48))+(('Alternative 1'!$B$29)*((('Alternative 1'!$B$12-'Alternative 1'!$B$29+(('Alternative 1'!$B$29-'Alternative 1'!$B$28)/2)*('Alternative 1'!$B$39)*COS('Alternative 1-Tilt Up'!K48)))))</f>
        <v>3356065.5778104682</v>
      </c>
      <c r="N48" s="77">
        <f t="shared" si="0"/>
        <v>209390.88778028215</v>
      </c>
      <c r="O48" s="77">
        <f>(((('Alternative 1'!$B$28-'Alternative 1'!$B$27)/2)+'Alternative 1'!$B$27)*('Alternative 1'!$B$39)*COS('Alternative 1-Tilt Up'!K48))+(((('Alternative 1'!$B$28-'Alternative 1'!$B$27)/2)+(('Alternative 1'!$B$29-'Alternative 1'!$B$28)/2))*('Alternative 1'!$B$39)*COS('Alternative 1-Tilt Up'!K48))+(((('Alternative 1'!$B$12-'Alternative 1'!$B$29)+(('Alternative 1'!$B$29-'Alternative 1'!$B$28)/2))*('Alternative 1'!$B$39)*COS('Alternative 1-Tilt Up'!K48)))</f>
        <v>216459.46183073841</v>
      </c>
      <c r="P48" s="77">
        <f t="shared" si="1"/>
        <v>148061.71666810891</v>
      </c>
      <c r="R48" s="78" t="e">
        <f>'Alternative 1'!$B$39*$B48*$C48*COS($K$5)-($N$5/3)*$E48*SIN($K$5)-($N$5/3)*$F48*SIN($K$5)-($N$5/3)*$G48*SIN($K$5)</f>
        <v>#VALUE!</v>
      </c>
      <c r="S48" s="79" t="e">
        <f>IF(($A48&lt;'Alternative 1'!$B$27),(($H48*'Alternative 1'!$B$39)+(3*($N$5/3)*COS($K$5))),IF(($A48&lt;'Alternative 1'!$B$28),(($H48*'Alternative 1'!$B$39)+(2*(($N$5/3)*COS($K$5)))),IF(($A48&lt;'Alternative 1'!$B$29),(($H$3*'Alternative 1'!$B$39+(($N$5/3)*COS($K$5)))),($H48*'Alternative 1'!$B$39))))</f>
        <v>#VALUE!</v>
      </c>
      <c r="T48" s="78" t="e">
        <f>R48*'Alternative 1'!$K49/'Alternative 1'!$L49</f>
        <v>#VALUE!</v>
      </c>
      <c r="U48" s="78" t="e">
        <f>S48/'Alternative 1'!$M49</f>
        <v>#VALUE!</v>
      </c>
      <c r="V48" s="78" t="e">
        <f t="shared" si="2"/>
        <v>#VALUE!</v>
      </c>
      <c r="X48" s="78" t="e">
        <f>'Alternative 1'!$B$39*$B48*$C48*COS($K$13)-($N$12/3)*$E48*SIN($K$13)-($N$12/3)*$F48*SIN($K$13)-($N$12/3)*$G48*SIN($K$13)</f>
        <v>#VALUE!</v>
      </c>
      <c r="Y48" s="79" t="e">
        <f>IF(($A48&lt;'Alternative 1'!$B$27),(($H48*'Alternative 1'!$B$39)+(3*($N$12/3)*COS($K$13))),IF(($A48&lt;'Alternative 1'!$B$28),(($H48*'Alternative 1'!$B$39)+(2*(($N$12/3)*COS($K$13)))),IF(($A48&lt;'Alternative 1'!$B$29),(($H$3*'Alternative 1'!$B$39+(($N$12/3)*COS($K$13)))),($H48*'Alternative 1'!$B$39))))</f>
        <v>#VALUE!</v>
      </c>
      <c r="Z48" s="78" t="e">
        <f>X48*'Alternative 1'!$K49/'Alternative 1'!$L49</f>
        <v>#VALUE!</v>
      </c>
      <c r="AA48" s="78" t="e">
        <f>Y48/'Alternative 1'!$M49</f>
        <v>#VALUE!</v>
      </c>
      <c r="AB48" s="78" t="e">
        <f t="shared" si="3"/>
        <v>#VALUE!</v>
      </c>
      <c r="AD48" s="78" t="e">
        <f>'Alternative 1'!$B$39*$B48*$C48*COS($K$23)-($N$22/3)*$E48*SIN($K$23)-($N$22/3)*$F48*SIN($K$23)-($N$22/3)*$G48*SIN($K$23)</f>
        <v>#VALUE!</v>
      </c>
      <c r="AE48" s="79" t="e">
        <f>IF(($A48&lt;'Alternative 1'!$B$27),(($H48*'Alternative 1'!$B$39)+(3*($N$22/3)*COS($K$23))),IF(($A48&lt;'Alternative 1'!$B$28),(($H48*'Alternative 1'!$B$39)+(2*(($N$22/3)*COS($K$23)))),IF(($A48&lt;'Alternative 1'!$B$29),(($H$3*'Alternative 1'!$B$39+(($N$22/3)*COS($K$23)))),($H48*'Alternative 1'!$B$39))))</f>
        <v>#VALUE!</v>
      </c>
      <c r="AF48" s="78" t="e">
        <f>AD48*'Alternative 1'!$K49/'Alternative 1'!$L49</f>
        <v>#VALUE!</v>
      </c>
      <c r="AG48" s="78" t="e">
        <f>AE48/'Alternative 1'!$M49</f>
        <v>#VALUE!</v>
      </c>
      <c r="AH48" s="78" t="e">
        <f t="shared" si="4"/>
        <v>#VALUE!</v>
      </c>
      <c r="AJ48" s="78" t="e">
        <f>'Alternative 1'!$B$39*$B48*$C48*COS($K$33)-($N$32/3)*$E48*SIN($K$33)-($N$32/3)*$F48*SIN($K$33)-($N$32/3)*$G48*SIN($K$33)</f>
        <v>#VALUE!</v>
      </c>
      <c r="AK48" s="79" t="e">
        <f>IF(($A48&lt;'Alternative 1'!$B$27),(($H48*'Alternative 1'!$B$39)+(3*($N$32/3)*COS($K$33))),IF(($A48&lt;'Alternative 1'!$B$28),(($H48*'Alternative 1'!$B$39)+(2*(($N$32/3)*COS($K$33)))),IF(($A48&lt;'Alternative 1'!$B$29),(($H$3*'Alternative 1'!$B$39+(($N$32/3)*COS($K$33)))),($H48*'Alternative 1'!$B$39))))</f>
        <v>#VALUE!</v>
      </c>
      <c r="AL48" s="78" t="e">
        <f>AJ48*'Alternative 1'!$K49/'Alternative 1'!$L49</f>
        <v>#VALUE!</v>
      </c>
      <c r="AM48" s="78" t="e">
        <f>AK48/'Alternative 1'!$M49</f>
        <v>#VALUE!</v>
      </c>
      <c r="AN48" s="78" t="e">
        <f t="shared" si="5"/>
        <v>#VALUE!</v>
      </c>
      <c r="AP48" s="78" t="e">
        <f>'Alternative 1'!$B$39*$B48*$C48*COS($K$43)-($N$42/3)*$E48*SIN($K$43)-($N$42/3)*$F48*SIN($K$43)-($N$42/3)*$G48*SIN($K$43)</f>
        <v>#VALUE!</v>
      </c>
      <c r="AQ48" s="79" t="e">
        <f>IF(($A48&lt;'Alternative 1'!$B$27),(($H48*'Alternative 1'!$B$39)+(3*($N$42/3)*COS($K$43))),IF(($A48&lt;'Alternative 1'!$B$28),(($H48*'Alternative 1'!$B$39)+(2*(($N$42/3)*COS($K$43)))),IF(($A48&lt;'Alternative 1'!$B$29),(($H$3*'Alternative 1'!$B$39+(($N$42/3)*COS($K$43)))),($H48*'Alternative 1'!$B$39))))</f>
        <v>#VALUE!</v>
      </c>
      <c r="AR48" s="78" t="e">
        <f>AP48*'Alternative 1'!$K49/'Alternative 1'!$L49</f>
        <v>#VALUE!</v>
      </c>
      <c r="AS48" s="78" t="e">
        <f>AQ48/'Alternative 1'!$M49</f>
        <v>#VALUE!</v>
      </c>
      <c r="AT48" s="78" t="e">
        <f t="shared" si="6"/>
        <v>#VALUE!</v>
      </c>
      <c r="AV48" s="78" t="e">
        <f>'Alternative 1'!$B$39*$B48*$C48*COS($K$53)-($N$52/3)*$E48*SIN($K$53)-($N$52/3)*$F48*SIN($K$53)-($N$52/3)*$G48*SIN($K$53)</f>
        <v>#VALUE!</v>
      </c>
      <c r="AW48" s="79" t="e">
        <f>IF(($A48&lt;'Alternative 1'!$B$27),(($H48*'Alternative 1'!$B$39)+(3*($N$52/3)*COS($K$53))),IF(($A48&lt;'Alternative 1'!$B$28),(($H48*'Alternative 1'!$B$39)+(2*(($N$52/3)*COS($K$53)))),IF(($A48&lt;'Alternative 1'!$B$29),(($H$3*'Alternative 1'!$B$39+(($N$52/3)*COS($K$53)))),($H48*'Alternative 1'!$B$39))))</f>
        <v>#VALUE!</v>
      </c>
      <c r="AX48" s="78" t="e">
        <f>AV48*'Alternative 1'!$K49/'Alternative 1'!$L49</f>
        <v>#VALUE!</v>
      </c>
      <c r="AY48" s="78" t="e">
        <f>AW48/'Alternative 1'!$M49</f>
        <v>#VALUE!</v>
      </c>
      <c r="AZ48" s="78" t="e">
        <f t="shared" si="7"/>
        <v>#VALUE!</v>
      </c>
      <c r="BB48" s="78" t="e">
        <f>'Alternative 1'!$B$39*$B48*$C48*COS($K$63)-($N$62/3)*$E48*SIN($K$63)-($N$62/3)*$F48*SIN($K$63)-($N$62/3)*$G48*SIN($K$63)</f>
        <v>#VALUE!</v>
      </c>
      <c r="BC48" s="79" t="e">
        <f>IF(($A48&lt;'Alternative 1'!$B$27),(($H48*'Alternative 1'!$B$39)+(3*($N$62/3)*COS($K$63))),IF(($A48&lt;'Alternative 1'!$B$28),(($H48*'Alternative 1'!$B$39)+(2*(($N$62/3)*COS($K$63)))),IF(($A48&lt;'Alternative 1'!$B$29),(($H$3*'Alternative 1'!$B$39+(($N$62/3)*COS($K$63)))),($H48*'Alternative 1'!$B$39))))</f>
        <v>#VALUE!</v>
      </c>
      <c r="BD48" s="78" t="e">
        <f>BB48*'Alternative 1'!$K49/'Alternative 1'!$L49</f>
        <v>#VALUE!</v>
      </c>
      <c r="BE48" s="78" t="e">
        <f>BC48/'Alternative 1'!$M49</f>
        <v>#VALUE!</v>
      </c>
      <c r="BF48" s="78" t="e">
        <f t="shared" si="8"/>
        <v>#VALUE!</v>
      </c>
      <c r="BH48" s="78" t="e">
        <f>'Alternative 1'!$B$39*$B48*$C48*COS($K$73)-($N$72/3)*$E48*SIN($K$73)-($N$72/3)*$F48*SIN($K$73)-($N$72/3)*$G48*SIN($K$73)</f>
        <v>#VALUE!</v>
      </c>
      <c r="BI48" s="79" t="e">
        <f>IF(($A48&lt;'Alternative 1'!$B$27),(($H48*'Alternative 1'!$B$39)+(3*($N$72/3)*COS($K$73))),IF(($A48&lt;'Alternative 1'!$B$28),(($H48*'Alternative 1'!$B$39)+(2*(($N$72/3)*COS($K$73)))),IF(($A48&lt;'Alternative 1'!$B$29),(($H$3*'Alternative 1'!$B$39+(($N$72/3)*COS($K$73)))),($H48*'Alternative 1'!$B$39))))</f>
        <v>#VALUE!</v>
      </c>
      <c r="BJ48" s="78" t="e">
        <f>BH48*'Alternative 1'!$K49/'Alternative 1'!$L49</f>
        <v>#VALUE!</v>
      </c>
      <c r="BK48" s="78" t="e">
        <f>BI48/'Alternative 1'!$M49</f>
        <v>#VALUE!</v>
      </c>
      <c r="BL48" s="78" t="e">
        <f t="shared" si="9"/>
        <v>#VALUE!</v>
      </c>
      <c r="BN48" s="78" t="e">
        <f>'Alternative 1'!$B$39*$B48*$C48*COS($K$83)-($N$82/3)*$E48*SIN($K$83)-($N$82/3)*$F48*SIN($K$83)-($N$82/3)*$G48*SIN($K$83)</f>
        <v>#VALUE!</v>
      </c>
      <c r="BO48" s="79" t="e">
        <f>IF(($A48&lt;'Alternative 1'!$B$27),(($H48*'Alternative 1'!$B$39)+(3*($N$82/3)*COS($K$83))),IF(($A48&lt;'Alternative 1'!$B$28),(($H48*'Alternative 1'!$B$39)+(2*(($N$82/3)*COS($K$83)))),IF(($A48&lt;'Alternative 1'!$B$29),(($H$3*'Alternative 1'!$B$39+(($N$82/3)*COS($K$83)))),($H48*'Alternative 1'!$B$39))))</f>
        <v>#VALUE!</v>
      </c>
      <c r="BP48" s="78" t="e">
        <f>BN48*'Alternative 1'!$K49/'Alternative 1'!$L49</f>
        <v>#VALUE!</v>
      </c>
      <c r="BQ48" s="78" t="e">
        <f>BO48/'Alternative 1'!$M49</f>
        <v>#VALUE!</v>
      </c>
      <c r="BR48" s="78" t="e">
        <f t="shared" si="10"/>
        <v>#VALUE!</v>
      </c>
      <c r="BT48" s="78" t="e">
        <f>'Alternative 1'!$B$39*$B48*$C48*COS($K$93)-($K$92/3)*$E48*SIN($K$93)-($K$92/3)*$F48*SIN($K$93)-($K$92/3)*$G48*SIN($K$93)</f>
        <v>#VALUE!</v>
      </c>
      <c r="BU48" s="79" t="e">
        <f>IF(($A48&lt;'Alternative 1'!$B$27),(($H48*'Alternative 1'!$B$39)+(3*($N$92/3)*COS($K$93))),IF(($A48&lt;'Alternative 1'!$B$28),(($H48*'Alternative 1'!$B$39)+(2*(($N$92/3)*COS($K$93)))),IF(($A48&lt;'Alternative 1'!$B$29),(($H$3*'Alternative 1'!$B$39+(($N$92/3)*COS($K$93)))),($H48*'Alternative 1'!$B$39))))</f>
        <v>#VALUE!</v>
      </c>
      <c r="BV48" s="78" t="e">
        <f>BT48*'Alternative 1'!$K49/'Alternative 1'!$L49</f>
        <v>#VALUE!</v>
      </c>
      <c r="BW48" s="78" t="e">
        <f>BU48/'Alternative 1'!$M49</f>
        <v>#VALUE!</v>
      </c>
      <c r="BX48" s="78" t="e">
        <f t="shared" si="11"/>
        <v>#VALUE!</v>
      </c>
      <c r="BZ48" s="77">
        <v>150</v>
      </c>
      <c r="CA48" s="77">
        <v>-150</v>
      </c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  <c r="DE48" s="281"/>
      <c r="DF48" s="281"/>
      <c r="DG48" s="281"/>
      <c r="DH48" s="281"/>
      <c r="DI48" s="281"/>
      <c r="DJ48" s="281"/>
      <c r="DK48" s="281"/>
    </row>
    <row r="49" spans="1:115" ht="15" customHeight="1" x14ac:dyDescent="0.25">
      <c r="A49" s="89" t="str">
        <f>IF('Alternative 1'!F50&gt;0,'Alternative 1'!F50,"x")</f>
        <v>x</v>
      </c>
      <c r="B49" s="89" t="e">
        <f t="shared" si="17"/>
        <v>#VALUE!</v>
      </c>
      <c r="C49" s="89">
        <f t="shared" si="12"/>
        <v>0</v>
      </c>
      <c r="D49" s="89" t="str">
        <f t="shared" si="13"/>
        <v>x</v>
      </c>
      <c r="E49" s="74">
        <f>IF($A49&lt;='Alternative 1'!$B$27, IF($A49='Alternative 1'!$B$27,0,E50+1),0)</f>
        <v>0</v>
      </c>
      <c r="F49" s="74">
        <f>IF($A49&lt;=('Alternative 1'!$B$28), IF($A49=ROUNDDOWN('Alternative 1'!$B$28,0),0,F50+1),0)</f>
        <v>0</v>
      </c>
      <c r="G49" s="74">
        <f>IF($A49&lt;=('Alternative 1'!$B$29), IF($A49=ROUNDDOWN('Alternative 1'!$B$29,0),0,G50+1),0)</f>
        <v>0</v>
      </c>
      <c r="H49" s="89" t="e">
        <f t="shared" si="14"/>
        <v>#VALUE!</v>
      </c>
      <c r="J49" s="77">
        <f t="shared" si="15"/>
        <v>46</v>
      </c>
      <c r="K49" s="77">
        <f t="shared" si="16"/>
        <v>0.80285145591739149</v>
      </c>
      <c r="L49" s="78">
        <f>'Alternative 1'!$B$27*SIN(K49)+'Alternative 1'!$B$28*SIN(K49)+'Alternative 1'!$B$29*SIN(K49)</f>
        <v>48.915106423028277</v>
      </c>
      <c r="M49" s="77">
        <f>(('Alternative 1'!$B$27)*(((('Alternative 1'!$B$28-'Alternative 1'!$B$27)/2)+'Alternative 1'!$B$27)*'Alternative 1'!$B$39)*COS('Alternative 1-Tilt Up'!K49))+(('Alternative 1'!$B$28)*((('Alternative 1'!$B$28-'Alternative 1'!$B$27)/2)+(('Alternative 1'!$B$29-'Alternative 1'!$B$28)/2))*('Alternative 1'!$B$39)*COS('Alternative 1-Tilt Up'!K49))+(('Alternative 1'!$B$29)*((('Alternative 1'!$B$12-'Alternative 1'!$B$29+(('Alternative 1'!$B$29-'Alternative 1'!$B$28)/2)*('Alternative 1'!$B$39)*COS('Alternative 1-Tilt Up'!K49)))))</f>
        <v>3296986.4563024072</v>
      </c>
      <c r="N49" s="77">
        <f t="shared" si="0"/>
        <v>202206.64110117831</v>
      </c>
      <c r="O49" s="77">
        <f>(((('Alternative 1'!$B$28-'Alternative 1'!$B$27)/2)+'Alternative 1'!$B$27)*('Alternative 1'!$B$39)*COS('Alternative 1-Tilt Up'!K49))+(((('Alternative 1'!$B$28-'Alternative 1'!$B$27)/2)+(('Alternative 1'!$B$29-'Alternative 1'!$B$28)/2))*('Alternative 1'!$B$39)*COS('Alternative 1-Tilt Up'!K49))+(((('Alternative 1'!$B$12-'Alternative 1'!$B$29)+(('Alternative 1'!$B$29-'Alternative 1'!$B$28)/2))*('Alternative 1'!$B$39)*COS('Alternative 1-Tilt Up'!K49)))</f>
        <v>212648.75550119096</v>
      </c>
      <c r="P49" s="77">
        <f t="shared" si="1"/>
        <v>140464.53580333185</v>
      </c>
      <c r="R49" s="78" t="e">
        <f>'Alternative 1'!$B$39*$B49*$C49*COS($K$5)-($N$5/3)*$E49*SIN($K$5)-($N$5/3)*$F49*SIN($K$5)-($N$5/3)*$G49*SIN($K$5)</f>
        <v>#VALUE!</v>
      </c>
      <c r="S49" s="79" t="e">
        <f>IF(($A49&lt;'Alternative 1'!$B$27),(($H49*'Alternative 1'!$B$39)+(3*($N$5/3)*COS($K$5))),IF(($A49&lt;'Alternative 1'!$B$28),(($H49*'Alternative 1'!$B$39)+(2*(($N$5/3)*COS($K$5)))),IF(($A49&lt;'Alternative 1'!$B$29),(($H$3*'Alternative 1'!$B$39+(($N$5/3)*COS($K$5)))),($H49*'Alternative 1'!$B$39))))</f>
        <v>#VALUE!</v>
      </c>
      <c r="T49" s="78" t="e">
        <f>R49*'Alternative 1'!$K50/'Alternative 1'!$L50</f>
        <v>#VALUE!</v>
      </c>
      <c r="U49" s="78" t="e">
        <f>S49/'Alternative 1'!$M50</f>
        <v>#VALUE!</v>
      </c>
      <c r="V49" s="78" t="e">
        <f t="shared" si="2"/>
        <v>#VALUE!</v>
      </c>
      <c r="X49" s="78" t="e">
        <f>'Alternative 1'!$B$39*$B49*$C49*COS($K$13)-($N$12/3)*$E49*SIN($K$13)-($N$12/3)*$F49*SIN($K$13)-($N$12/3)*$G49*SIN($K$13)</f>
        <v>#VALUE!</v>
      </c>
      <c r="Y49" s="79" t="e">
        <f>IF(($A49&lt;'Alternative 1'!$B$27),(($H49*'Alternative 1'!$B$39)+(3*($N$12/3)*COS($K$13))),IF(($A49&lt;'Alternative 1'!$B$28),(($H49*'Alternative 1'!$B$39)+(2*(($N$12/3)*COS($K$13)))),IF(($A49&lt;'Alternative 1'!$B$29),(($H$3*'Alternative 1'!$B$39+(($N$12/3)*COS($K$13)))),($H49*'Alternative 1'!$B$39))))</f>
        <v>#VALUE!</v>
      </c>
      <c r="Z49" s="78" t="e">
        <f>X49*'Alternative 1'!$K50/'Alternative 1'!$L50</f>
        <v>#VALUE!</v>
      </c>
      <c r="AA49" s="78" t="e">
        <f>Y49/'Alternative 1'!$M50</f>
        <v>#VALUE!</v>
      </c>
      <c r="AB49" s="78" t="e">
        <f t="shared" si="3"/>
        <v>#VALUE!</v>
      </c>
      <c r="AD49" s="78" t="e">
        <f>'Alternative 1'!$B$39*$B49*$C49*COS($K$23)-($N$22/3)*$E49*SIN($K$23)-($N$22/3)*$F49*SIN($K$23)-($N$22/3)*$G49*SIN($K$23)</f>
        <v>#VALUE!</v>
      </c>
      <c r="AE49" s="79" t="e">
        <f>IF(($A49&lt;'Alternative 1'!$B$27),(($H49*'Alternative 1'!$B$39)+(3*($N$22/3)*COS($K$23))),IF(($A49&lt;'Alternative 1'!$B$28),(($H49*'Alternative 1'!$B$39)+(2*(($N$22/3)*COS($K$23)))),IF(($A49&lt;'Alternative 1'!$B$29),(($H$3*'Alternative 1'!$B$39+(($N$22/3)*COS($K$23)))),($H49*'Alternative 1'!$B$39))))</f>
        <v>#VALUE!</v>
      </c>
      <c r="AF49" s="78" t="e">
        <f>AD49*'Alternative 1'!$K50/'Alternative 1'!$L50</f>
        <v>#VALUE!</v>
      </c>
      <c r="AG49" s="78" t="e">
        <f>AE49/'Alternative 1'!$M50</f>
        <v>#VALUE!</v>
      </c>
      <c r="AH49" s="78" t="e">
        <f t="shared" si="4"/>
        <v>#VALUE!</v>
      </c>
      <c r="AJ49" s="78" t="e">
        <f>'Alternative 1'!$B$39*$B49*$C49*COS($K$33)-($N$32/3)*$E49*SIN($K$33)-($N$32/3)*$F49*SIN($K$33)-($N$32/3)*$G49*SIN($K$33)</f>
        <v>#VALUE!</v>
      </c>
      <c r="AK49" s="79" t="e">
        <f>IF(($A49&lt;'Alternative 1'!$B$27),(($H49*'Alternative 1'!$B$39)+(3*($N$32/3)*COS($K$33))),IF(($A49&lt;'Alternative 1'!$B$28),(($H49*'Alternative 1'!$B$39)+(2*(($N$32/3)*COS($K$33)))),IF(($A49&lt;'Alternative 1'!$B$29),(($H$3*'Alternative 1'!$B$39+(($N$32/3)*COS($K$33)))),($H49*'Alternative 1'!$B$39))))</f>
        <v>#VALUE!</v>
      </c>
      <c r="AL49" s="78" t="e">
        <f>AJ49*'Alternative 1'!$K50/'Alternative 1'!$L50</f>
        <v>#VALUE!</v>
      </c>
      <c r="AM49" s="78" t="e">
        <f>AK49/'Alternative 1'!$M50</f>
        <v>#VALUE!</v>
      </c>
      <c r="AN49" s="78" t="e">
        <f t="shared" si="5"/>
        <v>#VALUE!</v>
      </c>
      <c r="AP49" s="78" t="e">
        <f>'Alternative 1'!$B$39*$B49*$C49*COS($K$43)-($N$42/3)*$E49*SIN($K$43)-($N$42/3)*$F49*SIN($K$43)-($N$42/3)*$G49*SIN($K$43)</f>
        <v>#VALUE!</v>
      </c>
      <c r="AQ49" s="79" t="e">
        <f>IF(($A49&lt;'Alternative 1'!$B$27),(($H49*'Alternative 1'!$B$39)+(3*($N$42/3)*COS($K$43))),IF(($A49&lt;'Alternative 1'!$B$28),(($H49*'Alternative 1'!$B$39)+(2*(($N$42/3)*COS($K$43)))),IF(($A49&lt;'Alternative 1'!$B$29),(($H$3*'Alternative 1'!$B$39+(($N$42/3)*COS($K$43)))),($H49*'Alternative 1'!$B$39))))</f>
        <v>#VALUE!</v>
      </c>
      <c r="AR49" s="78" t="e">
        <f>AP49*'Alternative 1'!$K50/'Alternative 1'!$L50</f>
        <v>#VALUE!</v>
      </c>
      <c r="AS49" s="78" t="e">
        <f>AQ49/'Alternative 1'!$M50</f>
        <v>#VALUE!</v>
      </c>
      <c r="AT49" s="78" t="e">
        <f t="shared" si="6"/>
        <v>#VALUE!</v>
      </c>
      <c r="AV49" s="78" t="e">
        <f>'Alternative 1'!$B$39*$B49*$C49*COS($K$53)-($N$52/3)*$E49*SIN($K$53)-($N$52/3)*$F49*SIN($K$53)-($N$52/3)*$G49*SIN($K$53)</f>
        <v>#VALUE!</v>
      </c>
      <c r="AW49" s="79" t="e">
        <f>IF(($A49&lt;'Alternative 1'!$B$27),(($H49*'Alternative 1'!$B$39)+(3*($N$52/3)*COS($K$53))),IF(($A49&lt;'Alternative 1'!$B$28),(($H49*'Alternative 1'!$B$39)+(2*(($N$52/3)*COS($K$53)))),IF(($A49&lt;'Alternative 1'!$B$29),(($H$3*'Alternative 1'!$B$39+(($N$52/3)*COS($K$53)))),($H49*'Alternative 1'!$B$39))))</f>
        <v>#VALUE!</v>
      </c>
      <c r="AX49" s="78" t="e">
        <f>AV49*'Alternative 1'!$K50/'Alternative 1'!$L50</f>
        <v>#VALUE!</v>
      </c>
      <c r="AY49" s="78" t="e">
        <f>AW49/'Alternative 1'!$M50</f>
        <v>#VALUE!</v>
      </c>
      <c r="AZ49" s="78" t="e">
        <f t="shared" si="7"/>
        <v>#VALUE!</v>
      </c>
      <c r="BB49" s="78" t="e">
        <f>'Alternative 1'!$B$39*$B49*$C49*COS($K$63)-($N$62/3)*$E49*SIN($K$63)-($N$62/3)*$F49*SIN($K$63)-($N$62/3)*$G49*SIN($K$63)</f>
        <v>#VALUE!</v>
      </c>
      <c r="BC49" s="79" t="e">
        <f>IF(($A49&lt;'Alternative 1'!$B$27),(($H49*'Alternative 1'!$B$39)+(3*($N$62/3)*COS($K$63))),IF(($A49&lt;'Alternative 1'!$B$28),(($H49*'Alternative 1'!$B$39)+(2*(($N$62/3)*COS($K$63)))),IF(($A49&lt;'Alternative 1'!$B$29),(($H$3*'Alternative 1'!$B$39+(($N$62/3)*COS($K$63)))),($H49*'Alternative 1'!$B$39))))</f>
        <v>#VALUE!</v>
      </c>
      <c r="BD49" s="78" t="e">
        <f>BB49*'Alternative 1'!$K50/'Alternative 1'!$L50</f>
        <v>#VALUE!</v>
      </c>
      <c r="BE49" s="78" t="e">
        <f>BC49/'Alternative 1'!$M50</f>
        <v>#VALUE!</v>
      </c>
      <c r="BF49" s="78" t="e">
        <f t="shared" si="8"/>
        <v>#VALUE!</v>
      </c>
      <c r="BH49" s="78" t="e">
        <f>'Alternative 1'!$B$39*$B49*$C49*COS($K$73)-($N$72/3)*$E49*SIN($K$73)-($N$72/3)*$F49*SIN($K$73)-($N$72/3)*$G49*SIN($K$73)</f>
        <v>#VALUE!</v>
      </c>
      <c r="BI49" s="79" t="e">
        <f>IF(($A49&lt;'Alternative 1'!$B$27),(($H49*'Alternative 1'!$B$39)+(3*($N$72/3)*COS($K$73))),IF(($A49&lt;'Alternative 1'!$B$28),(($H49*'Alternative 1'!$B$39)+(2*(($N$72/3)*COS($K$73)))),IF(($A49&lt;'Alternative 1'!$B$29),(($H$3*'Alternative 1'!$B$39+(($N$72/3)*COS($K$73)))),($H49*'Alternative 1'!$B$39))))</f>
        <v>#VALUE!</v>
      </c>
      <c r="BJ49" s="78" t="e">
        <f>BH49*'Alternative 1'!$K50/'Alternative 1'!$L50</f>
        <v>#VALUE!</v>
      </c>
      <c r="BK49" s="78" t="e">
        <f>BI49/'Alternative 1'!$M50</f>
        <v>#VALUE!</v>
      </c>
      <c r="BL49" s="78" t="e">
        <f t="shared" si="9"/>
        <v>#VALUE!</v>
      </c>
      <c r="BN49" s="78" t="e">
        <f>'Alternative 1'!$B$39*$B49*$C49*COS($K$83)-($N$82/3)*$E49*SIN($K$83)-($N$82/3)*$F49*SIN($K$83)-($N$82/3)*$G49*SIN($K$83)</f>
        <v>#VALUE!</v>
      </c>
      <c r="BO49" s="79" t="e">
        <f>IF(($A49&lt;'Alternative 1'!$B$27),(($H49*'Alternative 1'!$B$39)+(3*($N$82/3)*COS($K$83))),IF(($A49&lt;'Alternative 1'!$B$28),(($H49*'Alternative 1'!$B$39)+(2*(($N$82/3)*COS($K$83)))),IF(($A49&lt;'Alternative 1'!$B$29),(($H$3*'Alternative 1'!$B$39+(($N$82/3)*COS($K$83)))),($H49*'Alternative 1'!$B$39))))</f>
        <v>#VALUE!</v>
      </c>
      <c r="BP49" s="78" t="e">
        <f>BN49*'Alternative 1'!$K50/'Alternative 1'!$L50</f>
        <v>#VALUE!</v>
      </c>
      <c r="BQ49" s="78" t="e">
        <f>BO49/'Alternative 1'!$M50</f>
        <v>#VALUE!</v>
      </c>
      <c r="BR49" s="78" t="e">
        <f t="shared" si="10"/>
        <v>#VALUE!</v>
      </c>
      <c r="BT49" s="78" t="e">
        <f>'Alternative 1'!$B$39*$B49*$C49*COS($K$93)-($K$92/3)*$E49*SIN($K$93)-($K$92/3)*$F49*SIN($K$93)-($K$92/3)*$G49*SIN($K$93)</f>
        <v>#VALUE!</v>
      </c>
      <c r="BU49" s="79" t="e">
        <f>IF(($A49&lt;'Alternative 1'!$B$27),(($H49*'Alternative 1'!$B$39)+(3*($N$92/3)*COS($K$93))),IF(($A49&lt;'Alternative 1'!$B$28),(($H49*'Alternative 1'!$B$39)+(2*(($N$92/3)*COS($K$93)))),IF(($A49&lt;'Alternative 1'!$B$29),(($H$3*'Alternative 1'!$B$39+(($N$92/3)*COS($K$93)))),($H49*'Alternative 1'!$B$39))))</f>
        <v>#VALUE!</v>
      </c>
      <c r="BV49" s="78" t="e">
        <f>BT49*'Alternative 1'!$K50/'Alternative 1'!$L50</f>
        <v>#VALUE!</v>
      </c>
      <c r="BW49" s="78" t="e">
        <f>BU49/'Alternative 1'!$M50</f>
        <v>#VALUE!</v>
      </c>
      <c r="BX49" s="78" t="e">
        <f t="shared" si="11"/>
        <v>#VALUE!</v>
      </c>
      <c r="BZ49" s="77">
        <v>150</v>
      </c>
      <c r="CA49" s="77">
        <v>-150</v>
      </c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1"/>
      <c r="CQ49" s="281"/>
      <c r="CR49" s="281"/>
      <c r="CS49" s="281"/>
      <c r="CT49" s="281"/>
      <c r="CU49" s="281"/>
      <c r="CV49" s="281"/>
      <c r="CW49" s="281"/>
      <c r="CX49" s="281"/>
      <c r="CY49" s="281"/>
      <c r="CZ49" s="281"/>
      <c r="DA49" s="281"/>
      <c r="DB49" s="281"/>
      <c r="DC49" s="281"/>
      <c r="DD49" s="281"/>
      <c r="DE49" s="281"/>
      <c r="DF49" s="281"/>
      <c r="DG49" s="281"/>
      <c r="DH49" s="281"/>
      <c r="DI49" s="281"/>
      <c r="DJ49" s="281"/>
      <c r="DK49" s="281"/>
    </row>
    <row r="50" spans="1:115" ht="15" customHeight="1" x14ac:dyDescent="0.25">
      <c r="A50" s="89" t="str">
        <f>IF('Alternative 1'!F51&gt;0,'Alternative 1'!F51,"x")</f>
        <v>x</v>
      </c>
      <c r="B50" s="89" t="e">
        <f t="shared" si="17"/>
        <v>#VALUE!</v>
      </c>
      <c r="C50" s="89">
        <f t="shared" si="12"/>
        <v>0</v>
      </c>
      <c r="D50" s="89" t="str">
        <f t="shared" si="13"/>
        <v>x</v>
      </c>
      <c r="E50" s="74">
        <f>IF($A50&lt;='Alternative 1'!$B$27, IF($A50='Alternative 1'!$B$27,0,E51+1),0)</f>
        <v>0</v>
      </c>
      <c r="F50" s="74">
        <f>IF($A50&lt;=('Alternative 1'!$B$28), IF($A50=ROUNDDOWN('Alternative 1'!$B$28,0),0,F51+1),0)</f>
        <v>0</v>
      </c>
      <c r="G50" s="74">
        <f>IF($A50&lt;=('Alternative 1'!$B$29), IF($A50=ROUNDDOWN('Alternative 1'!$B$29,0),0,G51+1),0)</f>
        <v>0</v>
      </c>
      <c r="H50" s="89" t="e">
        <f t="shared" si="14"/>
        <v>#VALUE!</v>
      </c>
      <c r="J50" s="77">
        <f t="shared" si="15"/>
        <v>47</v>
      </c>
      <c r="K50" s="77">
        <f t="shared" si="16"/>
        <v>0.82030474843733492</v>
      </c>
      <c r="L50" s="78">
        <f>'Alternative 1'!$B$27*SIN(K50)+'Alternative 1'!$B$28*SIN(K50)+'Alternative 1'!$B$29*SIN(K50)</f>
        <v>49.73205171010359</v>
      </c>
      <c r="M50" s="77">
        <f>(('Alternative 1'!$B$27)*(((('Alternative 1'!$B$28-'Alternative 1'!$B$27)/2)+'Alternative 1'!$B$27)*'Alternative 1'!$B$39)*COS('Alternative 1-Tilt Up'!K50))+(('Alternative 1'!$B$28)*((('Alternative 1'!$B$28-'Alternative 1'!$B$27)/2)+(('Alternative 1'!$B$29-'Alternative 1'!$B$28)/2))*('Alternative 1'!$B$39)*COS('Alternative 1-Tilt Up'!K50))+(('Alternative 1'!$B$29)*((('Alternative 1'!$B$12-'Alternative 1'!$B$29+(('Alternative 1'!$B$29-'Alternative 1'!$B$28)/2)*('Alternative 1'!$B$39)*COS('Alternative 1-Tilt Up'!K50)))))</f>
        <v>3236903.1003722595</v>
      </c>
      <c r="N50" s="77">
        <f t="shared" si="0"/>
        <v>195260.58079650768</v>
      </c>
      <c r="O50" s="77">
        <f>(((('Alternative 1'!$B$28-'Alternative 1'!$B$27)/2)+'Alternative 1'!$B$27)*('Alternative 1'!$B$39)*COS('Alternative 1-Tilt Up'!K50))+(((('Alternative 1'!$B$28-'Alternative 1'!$B$27)/2)+(('Alternative 1'!$B$29-'Alternative 1'!$B$28)/2))*('Alternative 1'!$B$39)*COS('Alternative 1-Tilt Up'!K50))+(((('Alternative 1'!$B$12-'Alternative 1'!$B$29)+(('Alternative 1'!$B$29-'Alternative 1'!$B$28)/2))*('Alternative 1'!$B$39)*COS('Alternative 1-Tilt Up'!K50)))</f>
        <v>208773.27430074304</v>
      </c>
      <c r="P50" s="77">
        <f t="shared" si="1"/>
        <v>133167.39588806921</v>
      </c>
      <c r="R50" s="78" t="e">
        <f>'Alternative 1'!$B$39*$B50*$C50*COS($K$5)-($N$5/3)*$E50*SIN($K$5)-($N$5/3)*$F50*SIN($K$5)-($N$5/3)*$G50*SIN($K$5)</f>
        <v>#VALUE!</v>
      </c>
      <c r="S50" s="79" t="e">
        <f>IF(($A50&lt;'Alternative 1'!$B$27),(($H50*'Alternative 1'!$B$39)+(3*($N$5/3)*COS($K$5))),IF(($A50&lt;'Alternative 1'!$B$28),(($H50*'Alternative 1'!$B$39)+(2*(($N$5/3)*COS($K$5)))),IF(($A50&lt;'Alternative 1'!$B$29),(($H$3*'Alternative 1'!$B$39+(($N$5/3)*COS($K$5)))),($H50*'Alternative 1'!$B$39))))</f>
        <v>#VALUE!</v>
      </c>
      <c r="T50" s="78" t="e">
        <f>R50*'Alternative 1'!$K51/'Alternative 1'!$L51</f>
        <v>#VALUE!</v>
      </c>
      <c r="U50" s="78" t="e">
        <f>S50/'Alternative 1'!$M51</f>
        <v>#VALUE!</v>
      </c>
      <c r="V50" s="78" t="e">
        <f t="shared" si="2"/>
        <v>#VALUE!</v>
      </c>
      <c r="X50" s="78" t="e">
        <f>'Alternative 1'!$B$39*$B50*$C50*COS($K$13)-($N$12/3)*$E50*SIN($K$13)-($N$12/3)*$F50*SIN($K$13)-($N$12/3)*$G50*SIN($K$13)</f>
        <v>#VALUE!</v>
      </c>
      <c r="Y50" s="79" t="e">
        <f>IF(($A50&lt;'Alternative 1'!$B$27),(($H50*'Alternative 1'!$B$39)+(3*($N$12/3)*COS($K$13))),IF(($A50&lt;'Alternative 1'!$B$28),(($H50*'Alternative 1'!$B$39)+(2*(($N$12/3)*COS($K$13)))),IF(($A50&lt;'Alternative 1'!$B$29),(($H$3*'Alternative 1'!$B$39+(($N$12/3)*COS($K$13)))),($H50*'Alternative 1'!$B$39))))</f>
        <v>#VALUE!</v>
      </c>
      <c r="Z50" s="78" t="e">
        <f>X50*'Alternative 1'!$K51/'Alternative 1'!$L51</f>
        <v>#VALUE!</v>
      </c>
      <c r="AA50" s="78" t="e">
        <f>Y50/'Alternative 1'!$M51</f>
        <v>#VALUE!</v>
      </c>
      <c r="AB50" s="78" t="e">
        <f t="shared" si="3"/>
        <v>#VALUE!</v>
      </c>
      <c r="AD50" s="78" t="e">
        <f>'Alternative 1'!$B$39*$B50*$C50*COS($K$23)-($N$22/3)*$E50*SIN($K$23)-($N$22/3)*$F50*SIN($K$23)-($N$22/3)*$G50*SIN($K$23)</f>
        <v>#VALUE!</v>
      </c>
      <c r="AE50" s="79" t="e">
        <f>IF(($A50&lt;'Alternative 1'!$B$27),(($H50*'Alternative 1'!$B$39)+(3*($N$22/3)*COS($K$23))),IF(($A50&lt;'Alternative 1'!$B$28),(($H50*'Alternative 1'!$B$39)+(2*(($N$22/3)*COS($K$23)))),IF(($A50&lt;'Alternative 1'!$B$29),(($H$3*'Alternative 1'!$B$39+(($N$22/3)*COS($K$23)))),($H50*'Alternative 1'!$B$39))))</f>
        <v>#VALUE!</v>
      </c>
      <c r="AF50" s="78" t="e">
        <f>AD50*'Alternative 1'!$K51/'Alternative 1'!$L51</f>
        <v>#VALUE!</v>
      </c>
      <c r="AG50" s="78" t="e">
        <f>AE50/'Alternative 1'!$M51</f>
        <v>#VALUE!</v>
      </c>
      <c r="AH50" s="78" t="e">
        <f t="shared" si="4"/>
        <v>#VALUE!</v>
      </c>
      <c r="AJ50" s="78" t="e">
        <f>'Alternative 1'!$B$39*$B50*$C50*COS($K$33)-($N$32/3)*$E50*SIN($K$33)-($N$32/3)*$F50*SIN($K$33)-($N$32/3)*$G50*SIN($K$33)</f>
        <v>#VALUE!</v>
      </c>
      <c r="AK50" s="79" t="e">
        <f>IF(($A50&lt;'Alternative 1'!$B$27),(($H50*'Alternative 1'!$B$39)+(3*($N$32/3)*COS($K$33))),IF(($A50&lt;'Alternative 1'!$B$28),(($H50*'Alternative 1'!$B$39)+(2*(($N$32/3)*COS($K$33)))),IF(($A50&lt;'Alternative 1'!$B$29),(($H$3*'Alternative 1'!$B$39+(($N$32/3)*COS($K$33)))),($H50*'Alternative 1'!$B$39))))</f>
        <v>#VALUE!</v>
      </c>
      <c r="AL50" s="78" t="e">
        <f>AJ50*'Alternative 1'!$K51/'Alternative 1'!$L51</f>
        <v>#VALUE!</v>
      </c>
      <c r="AM50" s="78" t="e">
        <f>AK50/'Alternative 1'!$M51</f>
        <v>#VALUE!</v>
      </c>
      <c r="AN50" s="78" t="e">
        <f t="shared" si="5"/>
        <v>#VALUE!</v>
      </c>
      <c r="AP50" s="78" t="e">
        <f>'Alternative 1'!$B$39*$B50*$C50*COS($K$43)-($N$42/3)*$E50*SIN($K$43)-($N$42/3)*$F50*SIN($K$43)-($N$42/3)*$G50*SIN($K$43)</f>
        <v>#VALUE!</v>
      </c>
      <c r="AQ50" s="79" t="e">
        <f>IF(($A50&lt;'Alternative 1'!$B$27),(($H50*'Alternative 1'!$B$39)+(3*($N$42/3)*COS($K$43))),IF(($A50&lt;'Alternative 1'!$B$28),(($H50*'Alternative 1'!$B$39)+(2*(($N$42/3)*COS($K$43)))),IF(($A50&lt;'Alternative 1'!$B$29),(($H$3*'Alternative 1'!$B$39+(($N$42/3)*COS($K$43)))),($H50*'Alternative 1'!$B$39))))</f>
        <v>#VALUE!</v>
      </c>
      <c r="AR50" s="78" t="e">
        <f>AP50*'Alternative 1'!$K51/'Alternative 1'!$L51</f>
        <v>#VALUE!</v>
      </c>
      <c r="AS50" s="78" t="e">
        <f>AQ50/'Alternative 1'!$M51</f>
        <v>#VALUE!</v>
      </c>
      <c r="AT50" s="78" t="e">
        <f t="shared" si="6"/>
        <v>#VALUE!</v>
      </c>
      <c r="AV50" s="78" t="e">
        <f>'Alternative 1'!$B$39*$B50*$C50*COS($K$53)-($N$52/3)*$E50*SIN($K$53)-($N$52/3)*$F50*SIN($K$53)-($N$52/3)*$G50*SIN($K$53)</f>
        <v>#VALUE!</v>
      </c>
      <c r="AW50" s="79" t="e">
        <f>IF(($A50&lt;'Alternative 1'!$B$27),(($H50*'Alternative 1'!$B$39)+(3*($N$52/3)*COS($K$53))),IF(($A50&lt;'Alternative 1'!$B$28),(($H50*'Alternative 1'!$B$39)+(2*(($N$52/3)*COS($K$53)))),IF(($A50&lt;'Alternative 1'!$B$29),(($H$3*'Alternative 1'!$B$39+(($N$52/3)*COS($K$53)))),($H50*'Alternative 1'!$B$39))))</f>
        <v>#VALUE!</v>
      </c>
      <c r="AX50" s="78" t="e">
        <f>AV50*'Alternative 1'!$K51/'Alternative 1'!$L51</f>
        <v>#VALUE!</v>
      </c>
      <c r="AY50" s="78" t="e">
        <f>AW50/'Alternative 1'!$M51</f>
        <v>#VALUE!</v>
      </c>
      <c r="AZ50" s="78" t="e">
        <f t="shared" si="7"/>
        <v>#VALUE!</v>
      </c>
      <c r="BB50" s="78" t="e">
        <f>'Alternative 1'!$B$39*$B50*$C50*COS($K$63)-($N$62/3)*$E50*SIN($K$63)-($N$62/3)*$F50*SIN($K$63)-($N$62/3)*$G50*SIN($K$63)</f>
        <v>#VALUE!</v>
      </c>
      <c r="BC50" s="79" t="e">
        <f>IF(($A50&lt;'Alternative 1'!$B$27),(($H50*'Alternative 1'!$B$39)+(3*($N$62/3)*COS($K$63))),IF(($A50&lt;'Alternative 1'!$B$28),(($H50*'Alternative 1'!$B$39)+(2*(($N$62/3)*COS($K$63)))),IF(($A50&lt;'Alternative 1'!$B$29),(($H$3*'Alternative 1'!$B$39+(($N$62/3)*COS($K$63)))),($H50*'Alternative 1'!$B$39))))</f>
        <v>#VALUE!</v>
      </c>
      <c r="BD50" s="78" t="e">
        <f>BB50*'Alternative 1'!$K51/'Alternative 1'!$L51</f>
        <v>#VALUE!</v>
      </c>
      <c r="BE50" s="78" t="e">
        <f>BC50/'Alternative 1'!$M51</f>
        <v>#VALUE!</v>
      </c>
      <c r="BF50" s="78" t="e">
        <f t="shared" si="8"/>
        <v>#VALUE!</v>
      </c>
      <c r="BH50" s="78" t="e">
        <f>'Alternative 1'!$B$39*$B50*$C50*COS($K$73)-($N$72/3)*$E50*SIN($K$73)-($N$72/3)*$F50*SIN($K$73)-($N$72/3)*$G50*SIN($K$73)</f>
        <v>#VALUE!</v>
      </c>
      <c r="BI50" s="79" t="e">
        <f>IF(($A50&lt;'Alternative 1'!$B$27),(($H50*'Alternative 1'!$B$39)+(3*($N$72/3)*COS($K$73))),IF(($A50&lt;'Alternative 1'!$B$28),(($H50*'Alternative 1'!$B$39)+(2*(($N$72/3)*COS($K$73)))),IF(($A50&lt;'Alternative 1'!$B$29),(($H$3*'Alternative 1'!$B$39+(($N$72/3)*COS($K$73)))),($H50*'Alternative 1'!$B$39))))</f>
        <v>#VALUE!</v>
      </c>
      <c r="BJ50" s="78" t="e">
        <f>BH50*'Alternative 1'!$K51/'Alternative 1'!$L51</f>
        <v>#VALUE!</v>
      </c>
      <c r="BK50" s="78" t="e">
        <f>BI50/'Alternative 1'!$M51</f>
        <v>#VALUE!</v>
      </c>
      <c r="BL50" s="78" t="e">
        <f t="shared" si="9"/>
        <v>#VALUE!</v>
      </c>
      <c r="BN50" s="78" t="e">
        <f>'Alternative 1'!$B$39*$B50*$C50*COS($K$83)-($N$82/3)*$E50*SIN($K$83)-($N$82/3)*$F50*SIN($K$83)-($N$82/3)*$G50*SIN($K$83)</f>
        <v>#VALUE!</v>
      </c>
      <c r="BO50" s="79" t="e">
        <f>IF(($A50&lt;'Alternative 1'!$B$27),(($H50*'Alternative 1'!$B$39)+(3*($N$82/3)*COS($K$83))),IF(($A50&lt;'Alternative 1'!$B$28),(($H50*'Alternative 1'!$B$39)+(2*(($N$82/3)*COS($K$83)))),IF(($A50&lt;'Alternative 1'!$B$29),(($H$3*'Alternative 1'!$B$39+(($N$82/3)*COS($K$83)))),($H50*'Alternative 1'!$B$39))))</f>
        <v>#VALUE!</v>
      </c>
      <c r="BP50" s="78" t="e">
        <f>BN50*'Alternative 1'!$K51/'Alternative 1'!$L51</f>
        <v>#VALUE!</v>
      </c>
      <c r="BQ50" s="78" t="e">
        <f>BO50/'Alternative 1'!$M51</f>
        <v>#VALUE!</v>
      </c>
      <c r="BR50" s="78" t="e">
        <f t="shared" si="10"/>
        <v>#VALUE!</v>
      </c>
      <c r="BT50" s="78" t="e">
        <f>'Alternative 1'!$B$39*$B50*$C50*COS($K$93)-($K$92/3)*$E50*SIN($K$93)-($K$92/3)*$F50*SIN($K$93)-($K$92/3)*$G50*SIN($K$93)</f>
        <v>#VALUE!</v>
      </c>
      <c r="BU50" s="79" t="e">
        <f>IF(($A50&lt;'Alternative 1'!$B$27),(($H50*'Alternative 1'!$B$39)+(3*($N$92/3)*COS($K$93))),IF(($A50&lt;'Alternative 1'!$B$28),(($H50*'Alternative 1'!$B$39)+(2*(($N$92/3)*COS($K$93)))),IF(($A50&lt;'Alternative 1'!$B$29),(($H$3*'Alternative 1'!$B$39+(($N$92/3)*COS($K$93)))),($H50*'Alternative 1'!$B$39))))</f>
        <v>#VALUE!</v>
      </c>
      <c r="BV50" s="78" t="e">
        <f>BT50*'Alternative 1'!$K51/'Alternative 1'!$L51</f>
        <v>#VALUE!</v>
      </c>
      <c r="BW50" s="78" t="e">
        <f>BU50/'Alternative 1'!$M51</f>
        <v>#VALUE!</v>
      </c>
      <c r="BX50" s="78" t="e">
        <f t="shared" si="11"/>
        <v>#VALUE!</v>
      </c>
      <c r="BZ50" s="77">
        <v>150</v>
      </c>
      <c r="CA50" s="77">
        <v>-150</v>
      </c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</row>
    <row r="51" spans="1:115" ht="15" customHeight="1" x14ac:dyDescent="0.25">
      <c r="A51" s="89" t="str">
        <f>IF('Alternative 1'!F52&gt;0,'Alternative 1'!F52,"x")</f>
        <v>x</v>
      </c>
      <c r="B51" s="89" t="e">
        <f t="shared" si="17"/>
        <v>#VALUE!</v>
      </c>
      <c r="C51" s="89">
        <f t="shared" si="12"/>
        <v>0</v>
      </c>
      <c r="D51" s="89" t="str">
        <f t="shared" si="13"/>
        <v>x</v>
      </c>
      <c r="E51" s="74">
        <f>IF($A51&lt;='Alternative 1'!$B$27, IF($A51='Alternative 1'!$B$27,0,E52+1),0)</f>
        <v>0</v>
      </c>
      <c r="F51" s="74">
        <f>IF($A51&lt;=('Alternative 1'!$B$28), IF($A51=ROUNDDOWN('Alternative 1'!$B$28,0),0,F52+1),0)</f>
        <v>0</v>
      </c>
      <c r="G51" s="74">
        <f>IF($A51&lt;=('Alternative 1'!$B$29), IF($A51=ROUNDDOWN('Alternative 1'!$B$29,0),0,G52+1),0)</f>
        <v>0</v>
      </c>
      <c r="H51" s="89" t="e">
        <f t="shared" si="14"/>
        <v>#VALUE!</v>
      </c>
      <c r="J51" s="77">
        <f t="shared" si="15"/>
        <v>48</v>
      </c>
      <c r="K51" s="77">
        <f t="shared" si="16"/>
        <v>0.83775804095727813</v>
      </c>
      <c r="L51" s="78">
        <f>'Alternative 1'!$B$27*SIN(K51)+'Alternative 1'!$B$28*SIN(K51)+'Alternative 1'!$B$29*SIN(K51)</f>
        <v>50.533848132462801</v>
      </c>
      <c r="M51" s="77">
        <f>(('Alternative 1'!$B$27)*(((('Alternative 1'!$B$28-'Alternative 1'!$B$27)/2)+'Alternative 1'!$B$27)*'Alternative 1'!$B$39)*COS('Alternative 1-Tilt Up'!K51))+(('Alternative 1'!$B$28)*((('Alternative 1'!$B$28-'Alternative 1'!$B$27)/2)+(('Alternative 1'!$B$29-'Alternative 1'!$B$28)/2))*('Alternative 1'!$B$39)*COS('Alternative 1-Tilt Up'!K51))+(('Alternative 1'!$B$29)*((('Alternative 1'!$B$12-'Alternative 1'!$B$29+(('Alternative 1'!$B$29-'Alternative 1'!$B$28)/2)*('Alternative 1'!$B$39)*COS('Alternative 1-Tilt Up'!K51)))))</f>
        <v>3175833.8119922825</v>
      </c>
      <c r="N51" s="77">
        <f t="shared" si="0"/>
        <v>188537.02593562054</v>
      </c>
      <c r="O51" s="77">
        <f>(((('Alternative 1'!$B$28-'Alternative 1'!$B$27)/2)+'Alternative 1'!$B$27)*('Alternative 1'!$B$39)*COS('Alternative 1-Tilt Up'!K51))+(((('Alternative 1'!$B$28-'Alternative 1'!$B$27)/2)+(('Alternative 1'!$B$29-'Alternative 1'!$B$28)/2))*('Alternative 1'!$B$39)*COS('Alternative 1-Tilt Up'!K51))+(((('Alternative 1'!$B$12-'Alternative 1'!$B$29)+(('Alternative 1'!$B$29-'Alternative 1'!$B$28)/2))*('Alternative 1'!$B$39)*COS('Alternative 1-Tilt Up'!K51)))</f>
        <v>204834.19873851104</v>
      </c>
      <c r="P51" s="77">
        <f t="shared" si="1"/>
        <v>126155.89448539756</v>
      </c>
      <c r="R51" s="78" t="e">
        <f>'Alternative 1'!$B$39*$B51*$C51*COS($K$5)-($N$5/3)*$E51*SIN($K$5)-($N$5/3)*$F51*SIN($K$5)-($N$5/3)*$G51*SIN($K$5)</f>
        <v>#VALUE!</v>
      </c>
      <c r="S51" s="79" t="e">
        <f>IF(($A51&lt;'Alternative 1'!$B$27),(($H51*'Alternative 1'!$B$39)+(3*($N$5/3)*COS($K$5))),IF(($A51&lt;'Alternative 1'!$B$28),(($H51*'Alternative 1'!$B$39)+(2*(($N$5/3)*COS($K$5)))),IF(($A51&lt;'Alternative 1'!$B$29),(($H$3*'Alternative 1'!$B$39+(($N$5/3)*COS($K$5)))),($H51*'Alternative 1'!$B$39))))</f>
        <v>#VALUE!</v>
      </c>
      <c r="T51" s="78" t="e">
        <f>R51*'Alternative 1'!$K52/'Alternative 1'!$L52</f>
        <v>#VALUE!</v>
      </c>
      <c r="U51" s="78" t="e">
        <f>S51/'Alternative 1'!$M52</f>
        <v>#VALUE!</v>
      </c>
      <c r="V51" s="78" t="e">
        <f t="shared" si="2"/>
        <v>#VALUE!</v>
      </c>
      <c r="X51" s="78" t="e">
        <f>'Alternative 1'!$B$39*$B51*$C51*COS($K$13)-($N$12/3)*$E51*SIN($K$13)-($N$12/3)*$F51*SIN($K$13)-($N$12/3)*$G51*SIN($K$13)</f>
        <v>#VALUE!</v>
      </c>
      <c r="Y51" s="79" t="e">
        <f>IF(($A51&lt;'Alternative 1'!$B$27),(($H51*'Alternative 1'!$B$39)+(3*($N$12/3)*COS($K$13))),IF(($A51&lt;'Alternative 1'!$B$28),(($H51*'Alternative 1'!$B$39)+(2*(($N$12/3)*COS($K$13)))),IF(($A51&lt;'Alternative 1'!$B$29),(($H$3*'Alternative 1'!$B$39+(($N$12/3)*COS($K$13)))),($H51*'Alternative 1'!$B$39))))</f>
        <v>#VALUE!</v>
      </c>
      <c r="Z51" s="78" t="e">
        <f>X51*'Alternative 1'!$K52/'Alternative 1'!$L52</f>
        <v>#VALUE!</v>
      </c>
      <c r="AA51" s="78" t="e">
        <f>Y51/'Alternative 1'!$M52</f>
        <v>#VALUE!</v>
      </c>
      <c r="AB51" s="78" t="e">
        <f t="shared" si="3"/>
        <v>#VALUE!</v>
      </c>
      <c r="AD51" s="78" t="e">
        <f>'Alternative 1'!$B$39*$B51*$C51*COS($K$23)-($N$22/3)*$E51*SIN($K$23)-($N$22/3)*$F51*SIN($K$23)-($N$22/3)*$G51*SIN($K$23)</f>
        <v>#VALUE!</v>
      </c>
      <c r="AE51" s="79" t="e">
        <f>IF(($A51&lt;'Alternative 1'!$B$27),(($H51*'Alternative 1'!$B$39)+(3*($N$22/3)*COS($K$23))),IF(($A51&lt;'Alternative 1'!$B$28),(($H51*'Alternative 1'!$B$39)+(2*(($N$22/3)*COS($K$23)))),IF(($A51&lt;'Alternative 1'!$B$29),(($H$3*'Alternative 1'!$B$39+(($N$22/3)*COS($K$23)))),($H51*'Alternative 1'!$B$39))))</f>
        <v>#VALUE!</v>
      </c>
      <c r="AF51" s="78" t="e">
        <f>AD51*'Alternative 1'!$K52/'Alternative 1'!$L52</f>
        <v>#VALUE!</v>
      </c>
      <c r="AG51" s="78" t="e">
        <f>AE51/'Alternative 1'!$M52</f>
        <v>#VALUE!</v>
      </c>
      <c r="AH51" s="78" t="e">
        <f t="shared" si="4"/>
        <v>#VALUE!</v>
      </c>
      <c r="AJ51" s="78" t="e">
        <f>'Alternative 1'!$B$39*$B51*$C51*COS($K$33)-($N$32/3)*$E51*SIN($K$33)-($N$32/3)*$F51*SIN($K$33)-($N$32/3)*$G51*SIN($K$33)</f>
        <v>#VALUE!</v>
      </c>
      <c r="AK51" s="79" t="e">
        <f>IF(($A51&lt;'Alternative 1'!$B$27),(($H51*'Alternative 1'!$B$39)+(3*($N$32/3)*COS($K$33))),IF(($A51&lt;'Alternative 1'!$B$28),(($H51*'Alternative 1'!$B$39)+(2*(($N$32/3)*COS($K$33)))),IF(($A51&lt;'Alternative 1'!$B$29),(($H$3*'Alternative 1'!$B$39+(($N$32/3)*COS($K$33)))),($H51*'Alternative 1'!$B$39))))</f>
        <v>#VALUE!</v>
      </c>
      <c r="AL51" s="78" t="e">
        <f>AJ51*'Alternative 1'!$K52/'Alternative 1'!$L52</f>
        <v>#VALUE!</v>
      </c>
      <c r="AM51" s="78" t="e">
        <f>AK51/'Alternative 1'!$M52</f>
        <v>#VALUE!</v>
      </c>
      <c r="AN51" s="78" t="e">
        <f t="shared" si="5"/>
        <v>#VALUE!</v>
      </c>
      <c r="AP51" s="78" t="e">
        <f>'Alternative 1'!$B$39*$B51*$C51*COS($K$43)-($N$42/3)*$E51*SIN($K$43)-($N$42/3)*$F51*SIN($K$43)-($N$42/3)*$G51*SIN($K$43)</f>
        <v>#VALUE!</v>
      </c>
      <c r="AQ51" s="79" t="e">
        <f>IF(($A51&lt;'Alternative 1'!$B$27),(($H51*'Alternative 1'!$B$39)+(3*($N$42/3)*COS($K$43))),IF(($A51&lt;'Alternative 1'!$B$28),(($H51*'Alternative 1'!$B$39)+(2*(($N$42/3)*COS($K$43)))),IF(($A51&lt;'Alternative 1'!$B$29),(($H$3*'Alternative 1'!$B$39+(($N$42/3)*COS($K$43)))),($H51*'Alternative 1'!$B$39))))</f>
        <v>#VALUE!</v>
      </c>
      <c r="AR51" s="78" t="e">
        <f>AP51*'Alternative 1'!$K52/'Alternative 1'!$L52</f>
        <v>#VALUE!</v>
      </c>
      <c r="AS51" s="78" t="e">
        <f>AQ51/'Alternative 1'!$M52</f>
        <v>#VALUE!</v>
      </c>
      <c r="AT51" s="78" t="e">
        <f t="shared" si="6"/>
        <v>#VALUE!</v>
      </c>
      <c r="AV51" s="78" t="e">
        <f>'Alternative 1'!$B$39*$B51*$C51*COS($K$53)-($N$52/3)*$E51*SIN($K$53)-($N$52/3)*$F51*SIN($K$53)-($N$52/3)*$G51*SIN($K$53)</f>
        <v>#VALUE!</v>
      </c>
      <c r="AW51" s="79" t="e">
        <f>IF(($A51&lt;'Alternative 1'!$B$27),(($H51*'Alternative 1'!$B$39)+(3*($N$52/3)*COS($K$53))),IF(($A51&lt;'Alternative 1'!$B$28),(($H51*'Alternative 1'!$B$39)+(2*(($N$52/3)*COS($K$53)))),IF(($A51&lt;'Alternative 1'!$B$29),(($H$3*'Alternative 1'!$B$39+(($N$52/3)*COS($K$53)))),($H51*'Alternative 1'!$B$39))))</f>
        <v>#VALUE!</v>
      </c>
      <c r="AX51" s="78" t="e">
        <f>AV51*'Alternative 1'!$K52/'Alternative 1'!$L52</f>
        <v>#VALUE!</v>
      </c>
      <c r="AY51" s="78" t="e">
        <f>AW51/'Alternative 1'!$M52</f>
        <v>#VALUE!</v>
      </c>
      <c r="AZ51" s="78" t="e">
        <f t="shared" si="7"/>
        <v>#VALUE!</v>
      </c>
      <c r="BB51" s="78" t="e">
        <f>'Alternative 1'!$B$39*$B51*$C51*COS($K$63)-($N$62/3)*$E51*SIN($K$63)-($N$62/3)*$F51*SIN($K$63)-($N$62/3)*$G51*SIN($K$63)</f>
        <v>#VALUE!</v>
      </c>
      <c r="BC51" s="79" t="e">
        <f>IF(($A51&lt;'Alternative 1'!$B$27),(($H51*'Alternative 1'!$B$39)+(3*($N$62/3)*COS($K$63))),IF(($A51&lt;'Alternative 1'!$B$28),(($H51*'Alternative 1'!$B$39)+(2*(($N$62/3)*COS($K$63)))),IF(($A51&lt;'Alternative 1'!$B$29),(($H$3*'Alternative 1'!$B$39+(($N$62/3)*COS($K$63)))),($H51*'Alternative 1'!$B$39))))</f>
        <v>#VALUE!</v>
      </c>
      <c r="BD51" s="78" t="e">
        <f>BB51*'Alternative 1'!$K52/'Alternative 1'!$L52</f>
        <v>#VALUE!</v>
      </c>
      <c r="BE51" s="78" t="e">
        <f>BC51/'Alternative 1'!$M52</f>
        <v>#VALUE!</v>
      </c>
      <c r="BF51" s="78" t="e">
        <f t="shared" si="8"/>
        <v>#VALUE!</v>
      </c>
      <c r="BH51" s="78" t="e">
        <f>'Alternative 1'!$B$39*$B51*$C51*COS($K$73)-($N$72/3)*$E51*SIN($K$73)-($N$72/3)*$F51*SIN($K$73)-($N$72/3)*$G51*SIN($K$73)</f>
        <v>#VALUE!</v>
      </c>
      <c r="BI51" s="79" t="e">
        <f>IF(($A51&lt;'Alternative 1'!$B$27),(($H51*'Alternative 1'!$B$39)+(3*($N$72/3)*COS($K$73))),IF(($A51&lt;'Alternative 1'!$B$28),(($H51*'Alternative 1'!$B$39)+(2*(($N$72/3)*COS($K$73)))),IF(($A51&lt;'Alternative 1'!$B$29),(($H$3*'Alternative 1'!$B$39+(($N$72/3)*COS($K$73)))),($H51*'Alternative 1'!$B$39))))</f>
        <v>#VALUE!</v>
      </c>
      <c r="BJ51" s="78" t="e">
        <f>BH51*'Alternative 1'!$K52/'Alternative 1'!$L52</f>
        <v>#VALUE!</v>
      </c>
      <c r="BK51" s="78" t="e">
        <f>BI51/'Alternative 1'!$M52</f>
        <v>#VALUE!</v>
      </c>
      <c r="BL51" s="78" t="e">
        <f t="shared" si="9"/>
        <v>#VALUE!</v>
      </c>
      <c r="BN51" s="78" t="e">
        <f>'Alternative 1'!$B$39*$B51*$C51*COS($K$83)-($N$82/3)*$E51*SIN($K$83)-($N$82/3)*$F51*SIN($K$83)-($N$82/3)*$G51*SIN($K$83)</f>
        <v>#VALUE!</v>
      </c>
      <c r="BO51" s="79" t="e">
        <f>IF(($A51&lt;'Alternative 1'!$B$27),(($H51*'Alternative 1'!$B$39)+(3*($N$82/3)*COS($K$83))),IF(($A51&lt;'Alternative 1'!$B$28),(($H51*'Alternative 1'!$B$39)+(2*(($N$82/3)*COS($K$83)))),IF(($A51&lt;'Alternative 1'!$B$29),(($H$3*'Alternative 1'!$B$39+(($N$82/3)*COS($K$83)))),($H51*'Alternative 1'!$B$39))))</f>
        <v>#VALUE!</v>
      </c>
      <c r="BP51" s="78" t="e">
        <f>BN51*'Alternative 1'!$K52/'Alternative 1'!$L52</f>
        <v>#VALUE!</v>
      </c>
      <c r="BQ51" s="78" t="e">
        <f>BO51/'Alternative 1'!$M52</f>
        <v>#VALUE!</v>
      </c>
      <c r="BR51" s="78" t="e">
        <f t="shared" si="10"/>
        <v>#VALUE!</v>
      </c>
      <c r="BT51" s="78" t="e">
        <f>'Alternative 1'!$B$39*$B51*$C51*COS($K$93)-($K$92/3)*$E51*SIN($K$93)-($K$92/3)*$F51*SIN($K$93)-($K$92/3)*$G51*SIN($K$93)</f>
        <v>#VALUE!</v>
      </c>
      <c r="BU51" s="79" t="e">
        <f>IF(($A51&lt;'Alternative 1'!$B$27),(($H51*'Alternative 1'!$B$39)+(3*($N$92/3)*COS($K$93))),IF(($A51&lt;'Alternative 1'!$B$28),(($H51*'Alternative 1'!$B$39)+(2*(($N$92/3)*COS($K$93)))),IF(($A51&lt;'Alternative 1'!$B$29),(($H$3*'Alternative 1'!$B$39+(($N$92/3)*COS($K$93)))),($H51*'Alternative 1'!$B$39))))</f>
        <v>#VALUE!</v>
      </c>
      <c r="BV51" s="78" t="e">
        <f>BT51*'Alternative 1'!$K52/'Alternative 1'!$L52</f>
        <v>#VALUE!</v>
      </c>
      <c r="BW51" s="78" t="e">
        <f>BU51/'Alternative 1'!$M52</f>
        <v>#VALUE!</v>
      </c>
      <c r="BX51" s="78" t="e">
        <f t="shared" si="11"/>
        <v>#VALUE!</v>
      </c>
      <c r="BZ51" s="77">
        <v>150</v>
      </c>
      <c r="CA51" s="77">
        <v>-150</v>
      </c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  <c r="DE51" s="281"/>
      <c r="DF51" s="281"/>
      <c r="DG51" s="281"/>
      <c r="DH51" s="281"/>
      <c r="DI51" s="281"/>
      <c r="DJ51" s="281"/>
      <c r="DK51" s="281"/>
    </row>
    <row r="52" spans="1:115" ht="15" customHeight="1" x14ac:dyDescent="0.25">
      <c r="A52" s="89" t="str">
        <f>IF('Alternative 1'!F53&gt;0,'Alternative 1'!F53,"x")</f>
        <v>x</v>
      </c>
      <c r="B52" s="89" t="e">
        <f t="shared" si="17"/>
        <v>#VALUE!</v>
      </c>
      <c r="C52" s="89">
        <f t="shared" si="12"/>
        <v>0</v>
      </c>
      <c r="D52" s="89" t="str">
        <f t="shared" si="13"/>
        <v>x</v>
      </c>
      <c r="E52" s="74">
        <f>IF($A52&lt;='Alternative 1'!$B$27, IF($A52='Alternative 1'!$B$27,0,E53+1),0)</f>
        <v>0</v>
      </c>
      <c r="F52" s="74">
        <f>IF($A52&lt;=('Alternative 1'!$B$28), IF($A52=ROUNDDOWN('Alternative 1'!$B$28,0),0,F53+1),0)</f>
        <v>0</v>
      </c>
      <c r="G52" s="74">
        <f>IF($A52&lt;=('Alternative 1'!$B$29), IF($A52=ROUNDDOWN('Alternative 1'!$B$29,0),0,G53+1),0)</f>
        <v>0</v>
      </c>
      <c r="H52" s="89" t="e">
        <f t="shared" si="14"/>
        <v>#VALUE!</v>
      </c>
      <c r="J52" s="77">
        <f t="shared" si="15"/>
        <v>49</v>
      </c>
      <c r="K52" s="77">
        <f t="shared" si="16"/>
        <v>0.85521133347722145</v>
      </c>
      <c r="L52" s="78">
        <f>'Alternative 1'!$B$27*SIN(K52)+'Alternative 1'!$B$28*SIN(K52)+'Alternative 1'!$B$29*SIN(K52)</f>
        <v>51.320251455148494</v>
      </c>
      <c r="M52" s="77">
        <f>(('Alternative 1'!$B$27)*(((('Alternative 1'!$B$28-'Alternative 1'!$B$27)/2)+'Alternative 1'!$B$27)*'Alternative 1'!$B$39)*COS('Alternative 1-Tilt Up'!K52))+(('Alternative 1'!$B$28)*((('Alternative 1'!$B$28-'Alternative 1'!$B$27)/2)+(('Alternative 1'!$B$29-'Alternative 1'!$B$28)/2))*('Alternative 1'!$B$39)*COS('Alternative 1-Tilt Up'!K52))+(('Alternative 1'!$B$29)*((('Alternative 1'!$B$12-'Alternative 1'!$B$29+(('Alternative 1'!$B$29-'Alternative 1'!$B$28)/2)*('Alternative 1'!$B$39)*COS('Alternative 1-Tilt Up'!K52)))))</f>
        <v>3113797.1934593073</v>
      </c>
      <c r="N52" s="82">
        <f t="shared" si="0"/>
        <v>182021.54735235198</v>
      </c>
      <c r="O52" s="77">
        <f>(((('Alternative 1'!$B$28-'Alternative 1'!$B$27)/2)+'Alternative 1'!$B$27)*('Alternative 1'!$B$39)*COS('Alternative 1-Tilt Up'!K52))+(((('Alternative 1'!$B$28-'Alternative 1'!$B$27)/2)+(('Alternative 1'!$B$29-'Alternative 1'!$B$28)/2))*('Alternative 1'!$B$39)*COS('Alternative 1-Tilt Up'!K52))+(((('Alternative 1'!$B$12-'Alternative 1'!$B$29)+(('Alternative 1'!$B$29-'Alternative 1'!$B$28)/2))*('Alternative 1'!$B$39)*COS('Alternative 1-Tilt Up'!K52)))</f>
        <v>200832.72869506985</v>
      </c>
      <c r="P52" s="77">
        <f t="shared" si="1"/>
        <v>119416.87961133367</v>
      </c>
      <c r="R52" s="78" t="e">
        <f>'Alternative 1'!$B$39*$B52*$C52*COS($K$5)-($N$5/3)*$E52*SIN($K$5)-($N$5/3)*$F52*SIN($K$5)-($N$5/3)*$G52*SIN($K$5)</f>
        <v>#VALUE!</v>
      </c>
      <c r="S52" s="79" t="e">
        <f>IF(($A52&lt;'Alternative 1'!$B$27),(($H52*'Alternative 1'!$B$39)+(3*($N$5/3)*COS($K$5))),IF(($A52&lt;'Alternative 1'!$B$28),(($H52*'Alternative 1'!$B$39)+(2*(($N$5/3)*COS($K$5)))),IF(($A52&lt;'Alternative 1'!$B$29),(($H$3*'Alternative 1'!$B$39+(($N$5/3)*COS($K$5)))),($H52*'Alternative 1'!$B$39))))</f>
        <v>#VALUE!</v>
      </c>
      <c r="T52" s="78" t="e">
        <f>R52*'Alternative 1'!$K53/'Alternative 1'!$L53</f>
        <v>#VALUE!</v>
      </c>
      <c r="U52" s="78" t="e">
        <f>S52/'Alternative 1'!$M53</f>
        <v>#VALUE!</v>
      </c>
      <c r="V52" s="78" t="e">
        <f t="shared" si="2"/>
        <v>#VALUE!</v>
      </c>
      <c r="X52" s="78" t="e">
        <f>'Alternative 1'!$B$39*$B52*$C52*COS($K$13)-($N$12/3)*$E52*SIN($K$13)-($N$12/3)*$F52*SIN($K$13)-($N$12/3)*$G52*SIN($K$13)</f>
        <v>#VALUE!</v>
      </c>
      <c r="Y52" s="79" t="e">
        <f>IF(($A52&lt;'Alternative 1'!$B$27),(($H52*'Alternative 1'!$B$39)+(3*($N$12/3)*COS($K$13))),IF(($A52&lt;'Alternative 1'!$B$28),(($H52*'Alternative 1'!$B$39)+(2*(($N$12/3)*COS($K$13)))),IF(($A52&lt;'Alternative 1'!$B$29),(($H$3*'Alternative 1'!$B$39+(($N$12/3)*COS($K$13)))),($H52*'Alternative 1'!$B$39))))</f>
        <v>#VALUE!</v>
      </c>
      <c r="Z52" s="78" t="e">
        <f>X52*'Alternative 1'!$K53/'Alternative 1'!$L53</f>
        <v>#VALUE!</v>
      </c>
      <c r="AA52" s="78" t="e">
        <f>Y52/'Alternative 1'!$M53</f>
        <v>#VALUE!</v>
      </c>
      <c r="AB52" s="78" t="e">
        <f t="shared" si="3"/>
        <v>#VALUE!</v>
      </c>
      <c r="AD52" s="78" t="e">
        <f>'Alternative 1'!$B$39*$B52*$C52*COS($K$23)-($N$22/3)*$E52*SIN($K$23)-($N$22/3)*$F52*SIN($K$23)-($N$22/3)*$G52*SIN($K$23)</f>
        <v>#VALUE!</v>
      </c>
      <c r="AE52" s="79" t="e">
        <f>IF(($A52&lt;'Alternative 1'!$B$27),(($H52*'Alternative 1'!$B$39)+(3*($N$22/3)*COS($K$23))),IF(($A52&lt;'Alternative 1'!$B$28),(($H52*'Alternative 1'!$B$39)+(2*(($N$22/3)*COS($K$23)))),IF(($A52&lt;'Alternative 1'!$B$29),(($H$3*'Alternative 1'!$B$39+(($N$22/3)*COS($K$23)))),($H52*'Alternative 1'!$B$39))))</f>
        <v>#VALUE!</v>
      </c>
      <c r="AF52" s="78" t="e">
        <f>AD52*'Alternative 1'!$K53/'Alternative 1'!$L53</f>
        <v>#VALUE!</v>
      </c>
      <c r="AG52" s="78" t="e">
        <f>AE52/'Alternative 1'!$M53</f>
        <v>#VALUE!</v>
      </c>
      <c r="AH52" s="78" t="e">
        <f t="shared" si="4"/>
        <v>#VALUE!</v>
      </c>
      <c r="AJ52" s="78" t="e">
        <f>'Alternative 1'!$B$39*$B52*$C52*COS($K$33)-($N$32/3)*$E52*SIN($K$33)-($N$32/3)*$F52*SIN($K$33)-($N$32/3)*$G52*SIN($K$33)</f>
        <v>#VALUE!</v>
      </c>
      <c r="AK52" s="79" t="e">
        <f>IF(($A52&lt;'Alternative 1'!$B$27),(($H52*'Alternative 1'!$B$39)+(3*($N$32/3)*COS($K$33))),IF(($A52&lt;'Alternative 1'!$B$28),(($H52*'Alternative 1'!$B$39)+(2*(($N$32/3)*COS($K$33)))),IF(($A52&lt;'Alternative 1'!$B$29),(($H$3*'Alternative 1'!$B$39+(($N$32/3)*COS($K$33)))),($H52*'Alternative 1'!$B$39))))</f>
        <v>#VALUE!</v>
      </c>
      <c r="AL52" s="78" t="e">
        <f>AJ52*'Alternative 1'!$K53/'Alternative 1'!$L53</f>
        <v>#VALUE!</v>
      </c>
      <c r="AM52" s="78" t="e">
        <f>AK52/'Alternative 1'!$M53</f>
        <v>#VALUE!</v>
      </c>
      <c r="AN52" s="78" t="e">
        <f t="shared" si="5"/>
        <v>#VALUE!</v>
      </c>
      <c r="AP52" s="78" t="e">
        <f>'Alternative 1'!$B$39*$B52*$C52*COS($K$43)-($N$42/3)*$E52*SIN($K$43)-($N$42/3)*$F52*SIN($K$43)-($N$42/3)*$G52*SIN($K$43)</f>
        <v>#VALUE!</v>
      </c>
      <c r="AQ52" s="79" t="e">
        <f>IF(($A52&lt;'Alternative 1'!$B$27),(($H52*'Alternative 1'!$B$39)+(3*($N$42/3)*COS($K$43))),IF(($A52&lt;'Alternative 1'!$B$28),(($H52*'Alternative 1'!$B$39)+(2*(($N$42/3)*COS($K$43)))),IF(($A52&lt;'Alternative 1'!$B$29),(($H$3*'Alternative 1'!$B$39+(($N$42/3)*COS($K$43)))),($H52*'Alternative 1'!$B$39))))</f>
        <v>#VALUE!</v>
      </c>
      <c r="AR52" s="78" t="e">
        <f>AP52*'Alternative 1'!$K53/'Alternative 1'!$L53</f>
        <v>#VALUE!</v>
      </c>
      <c r="AS52" s="78" t="e">
        <f>AQ52/'Alternative 1'!$M53</f>
        <v>#VALUE!</v>
      </c>
      <c r="AT52" s="78" t="e">
        <f t="shared" si="6"/>
        <v>#VALUE!</v>
      </c>
      <c r="AV52" s="78" t="e">
        <f>'Alternative 1'!$B$39*$B52*$C52*COS($K$53)-($N$52/3)*$E52*SIN($K$53)-($N$52/3)*$F52*SIN($K$53)-($N$52/3)*$G52*SIN($K$53)</f>
        <v>#VALUE!</v>
      </c>
      <c r="AW52" s="79" t="e">
        <f>IF(($A52&lt;'Alternative 1'!$B$27),(($H52*'Alternative 1'!$B$39)+(3*($N$52/3)*COS($K$53))),IF(($A52&lt;'Alternative 1'!$B$28),(($H52*'Alternative 1'!$B$39)+(2*(($N$52/3)*COS($K$53)))),IF(($A52&lt;'Alternative 1'!$B$29),(($H$3*'Alternative 1'!$B$39+(($N$52/3)*COS($K$53)))),($H52*'Alternative 1'!$B$39))))</f>
        <v>#VALUE!</v>
      </c>
      <c r="AX52" s="78" t="e">
        <f>AV52*'Alternative 1'!$K53/'Alternative 1'!$L53</f>
        <v>#VALUE!</v>
      </c>
      <c r="AY52" s="78" t="e">
        <f>AW52/'Alternative 1'!$M53</f>
        <v>#VALUE!</v>
      </c>
      <c r="AZ52" s="78" t="e">
        <f t="shared" si="7"/>
        <v>#VALUE!</v>
      </c>
      <c r="BB52" s="78" t="e">
        <f>'Alternative 1'!$B$39*$B52*$C52*COS($K$63)-($N$62/3)*$E52*SIN($K$63)-($N$62/3)*$F52*SIN($K$63)-($N$62/3)*$G52*SIN($K$63)</f>
        <v>#VALUE!</v>
      </c>
      <c r="BC52" s="79" t="e">
        <f>IF(($A52&lt;'Alternative 1'!$B$27),(($H52*'Alternative 1'!$B$39)+(3*($N$62/3)*COS($K$63))),IF(($A52&lt;'Alternative 1'!$B$28),(($H52*'Alternative 1'!$B$39)+(2*(($N$62/3)*COS($K$63)))),IF(($A52&lt;'Alternative 1'!$B$29),(($H$3*'Alternative 1'!$B$39+(($N$62/3)*COS($K$63)))),($H52*'Alternative 1'!$B$39))))</f>
        <v>#VALUE!</v>
      </c>
      <c r="BD52" s="78" t="e">
        <f>BB52*'Alternative 1'!$K53/'Alternative 1'!$L53</f>
        <v>#VALUE!</v>
      </c>
      <c r="BE52" s="78" t="e">
        <f>BC52/'Alternative 1'!$M53</f>
        <v>#VALUE!</v>
      </c>
      <c r="BF52" s="78" t="e">
        <f t="shared" si="8"/>
        <v>#VALUE!</v>
      </c>
      <c r="BH52" s="78" t="e">
        <f>'Alternative 1'!$B$39*$B52*$C52*COS($K$73)-($N$72/3)*$E52*SIN($K$73)-($N$72/3)*$F52*SIN($K$73)-($N$72/3)*$G52*SIN($K$73)</f>
        <v>#VALUE!</v>
      </c>
      <c r="BI52" s="79" t="e">
        <f>IF(($A52&lt;'Alternative 1'!$B$27),(($H52*'Alternative 1'!$B$39)+(3*($N$72/3)*COS($K$73))),IF(($A52&lt;'Alternative 1'!$B$28),(($H52*'Alternative 1'!$B$39)+(2*(($N$72/3)*COS($K$73)))),IF(($A52&lt;'Alternative 1'!$B$29),(($H$3*'Alternative 1'!$B$39+(($N$72/3)*COS($K$73)))),($H52*'Alternative 1'!$B$39))))</f>
        <v>#VALUE!</v>
      </c>
      <c r="BJ52" s="78" t="e">
        <f>BH52*'Alternative 1'!$K53/'Alternative 1'!$L53</f>
        <v>#VALUE!</v>
      </c>
      <c r="BK52" s="78" t="e">
        <f>BI52/'Alternative 1'!$M53</f>
        <v>#VALUE!</v>
      </c>
      <c r="BL52" s="78" t="e">
        <f t="shared" si="9"/>
        <v>#VALUE!</v>
      </c>
      <c r="BN52" s="78" t="e">
        <f>'Alternative 1'!$B$39*$B52*$C52*COS($K$83)-($N$82/3)*$E52*SIN($K$83)-($N$82/3)*$F52*SIN($K$83)-($N$82/3)*$G52*SIN($K$83)</f>
        <v>#VALUE!</v>
      </c>
      <c r="BO52" s="79" t="e">
        <f>IF(($A52&lt;'Alternative 1'!$B$27),(($H52*'Alternative 1'!$B$39)+(3*($N$82/3)*COS($K$83))),IF(($A52&lt;'Alternative 1'!$B$28),(($H52*'Alternative 1'!$B$39)+(2*(($N$82/3)*COS($K$83)))),IF(($A52&lt;'Alternative 1'!$B$29),(($H$3*'Alternative 1'!$B$39+(($N$82/3)*COS($K$83)))),($H52*'Alternative 1'!$B$39))))</f>
        <v>#VALUE!</v>
      </c>
      <c r="BP52" s="78" t="e">
        <f>BN52*'Alternative 1'!$K53/'Alternative 1'!$L53</f>
        <v>#VALUE!</v>
      </c>
      <c r="BQ52" s="78" t="e">
        <f>BO52/'Alternative 1'!$M53</f>
        <v>#VALUE!</v>
      </c>
      <c r="BR52" s="78" t="e">
        <f t="shared" si="10"/>
        <v>#VALUE!</v>
      </c>
      <c r="BT52" s="78" t="e">
        <f>'Alternative 1'!$B$39*$B52*$C52*COS($K$93)-($K$92/3)*$E52*SIN($K$93)-($K$92/3)*$F52*SIN($K$93)-($K$92/3)*$G52*SIN($K$93)</f>
        <v>#VALUE!</v>
      </c>
      <c r="BU52" s="79" t="e">
        <f>IF(($A52&lt;'Alternative 1'!$B$27),(($H52*'Alternative 1'!$B$39)+(3*($N$92/3)*COS($K$93))),IF(($A52&lt;'Alternative 1'!$B$28),(($H52*'Alternative 1'!$B$39)+(2*(($N$92/3)*COS($K$93)))),IF(($A52&lt;'Alternative 1'!$B$29),(($H$3*'Alternative 1'!$B$39+(($N$92/3)*COS($K$93)))),($H52*'Alternative 1'!$B$39))))</f>
        <v>#VALUE!</v>
      </c>
      <c r="BV52" s="78" t="e">
        <f>BT52*'Alternative 1'!$K53/'Alternative 1'!$L53</f>
        <v>#VALUE!</v>
      </c>
      <c r="BW52" s="78" t="e">
        <f>BU52/'Alternative 1'!$M53</f>
        <v>#VALUE!</v>
      </c>
      <c r="BX52" s="78" t="e">
        <f t="shared" si="11"/>
        <v>#VALUE!</v>
      </c>
      <c r="BZ52" s="77">
        <v>150</v>
      </c>
      <c r="CA52" s="77">
        <v>-150</v>
      </c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  <c r="DE52" s="281"/>
      <c r="DF52" s="281"/>
      <c r="DG52" s="281"/>
      <c r="DH52" s="281"/>
      <c r="DI52" s="281"/>
      <c r="DJ52" s="281"/>
      <c r="DK52" s="281"/>
    </row>
    <row r="53" spans="1:115" ht="15" customHeight="1" x14ac:dyDescent="0.25">
      <c r="A53" s="89" t="str">
        <f>IF('Alternative 1'!F54&gt;0,'Alternative 1'!F54,"x")</f>
        <v>x</v>
      </c>
      <c r="B53" s="89" t="e">
        <f t="shared" si="17"/>
        <v>#VALUE!</v>
      </c>
      <c r="C53" s="89">
        <f t="shared" si="12"/>
        <v>0</v>
      </c>
      <c r="D53" s="89" t="str">
        <f t="shared" si="13"/>
        <v>x</v>
      </c>
      <c r="E53" s="74">
        <f>IF($A53&lt;='Alternative 1'!$B$27, IF($A53='Alternative 1'!$B$27,0,E54+1),0)</f>
        <v>0</v>
      </c>
      <c r="F53" s="74">
        <f>IF($A53&lt;=('Alternative 1'!$B$28), IF($A53=ROUNDDOWN('Alternative 1'!$B$28,0),0,F54+1),0)</f>
        <v>0</v>
      </c>
      <c r="G53" s="74">
        <f>IF($A53&lt;=('Alternative 1'!$B$29), IF($A53=ROUNDDOWN('Alternative 1'!$B$29,0),0,G54+1),0)</f>
        <v>0</v>
      </c>
      <c r="H53" s="89" t="e">
        <f t="shared" si="14"/>
        <v>#VALUE!</v>
      </c>
      <c r="J53" s="77">
        <f t="shared" si="15"/>
        <v>50</v>
      </c>
      <c r="K53" s="82">
        <f t="shared" si="16"/>
        <v>0.87266462599716477</v>
      </c>
      <c r="L53" s="78">
        <f>'Alternative 1'!$B$27*SIN(K53)+'Alternative 1'!$B$28*SIN(K53)+'Alternative 1'!$B$29*SIN(K53)</f>
        <v>52.091022132090501</v>
      </c>
      <c r="M53" s="77">
        <f>(('Alternative 1'!$B$27)*(((('Alternative 1'!$B$28-'Alternative 1'!$B$27)/2)+'Alternative 1'!$B$27)*'Alternative 1'!$B$39)*COS('Alternative 1-Tilt Up'!K53))+(('Alternative 1'!$B$28)*((('Alternative 1'!$B$28-'Alternative 1'!$B$27)/2)+(('Alternative 1'!$B$29-'Alternative 1'!$B$28)/2))*('Alternative 1'!$B$39)*COS('Alternative 1-Tilt Up'!K53))+(('Alternative 1'!$B$29)*((('Alternative 1'!$B$12-'Alternative 1'!$B$29+(('Alternative 1'!$B$29-'Alternative 1'!$B$28)/2)*('Alternative 1'!$B$39)*COS('Alternative 1-Tilt Up'!K53)))))</f>
        <v>3050812.1417283025</v>
      </c>
      <c r="N53" s="77">
        <f t="shared" si="0"/>
        <v>175700.84153803883</v>
      </c>
      <c r="O53" s="77">
        <f>(((('Alternative 1'!$B$28-'Alternative 1'!$B$27)/2)+'Alternative 1'!$B$27)*('Alternative 1'!$B$39)*COS('Alternative 1-Tilt Up'!K53))+(((('Alternative 1'!$B$28-'Alternative 1'!$B$27)/2)+(('Alternative 1'!$B$29-'Alternative 1'!$B$28)/2))*('Alternative 1'!$B$39)*COS('Alternative 1-Tilt Up'!K53))+(((('Alternative 1'!$B$12-'Alternative 1'!$B$29)+(('Alternative 1'!$B$29-'Alternative 1'!$B$28)/2))*('Alternative 1'!$B$39)*COS('Alternative 1-Tilt Up'!K53)))</f>
        <v>196770.08305695781</v>
      </c>
      <c r="P53" s="82">
        <f t="shared" si="1"/>
        <v>112938.32395214941</v>
      </c>
      <c r="R53" s="78" t="e">
        <f>'Alternative 1'!$B$39*$B53*$C53*COS($K$5)-($N$5/3)*$E53*SIN($K$5)-($N$5/3)*$F53*SIN($K$5)-($N$5/3)*$G53*SIN($K$5)</f>
        <v>#VALUE!</v>
      </c>
      <c r="S53" s="79" t="e">
        <f>IF(($A53&lt;'Alternative 1'!$B$27),(($H53*'Alternative 1'!$B$39)+(3*($N$5/3)*COS($K$5))),IF(($A53&lt;'Alternative 1'!$B$28),(($H53*'Alternative 1'!$B$39)+(2*(($N$5/3)*COS($K$5)))),IF(($A53&lt;'Alternative 1'!$B$29),(($H$3*'Alternative 1'!$B$39+(($N$5/3)*COS($K$5)))),($H53*'Alternative 1'!$B$39))))</f>
        <v>#VALUE!</v>
      </c>
      <c r="T53" s="78" t="e">
        <f>R53*'Alternative 1'!$K54/'Alternative 1'!$L54</f>
        <v>#VALUE!</v>
      </c>
      <c r="U53" s="78" t="e">
        <f>S53/'Alternative 1'!$M54</f>
        <v>#VALUE!</v>
      </c>
      <c r="V53" s="78" t="e">
        <f t="shared" si="2"/>
        <v>#VALUE!</v>
      </c>
      <c r="X53" s="78" t="e">
        <f>'Alternative 1'!$B$39*$B53*$C53*COS($K$13)-($N$12/3)*$E53*SIN($K$13)-($N$12/3)*$F53*SIN($K$13)-($N$12/3)*$G53*SIN($K$13)</f>
        <v>#VALUE!</v>
      </c>
      <c r="Y53" s="79" t="e">
        <f>IF(($A53&lt;'Alternative 1'!$B$27),(($H53*'Alternative 1'!$B$39)+(3*($N$12/3)*COS($K$13))),IF(($A53&lt;'Alternative 1'!$B$28),(($H53*'Alternative 1'!$B$39)+(2*(($N$12/3)*COS($K$13)))),IF(($A53&lt;'Alternative 1'!$B$29),(($H$3*'Alternative 1'!$B$39+(($N$12/3)*COS($K$13)))),($H53*'Alternative 1'!$B$39))))</f>
        <v>#VALUE!</v>
      </c>
      <c r="Z53" s="78" t="e">
        <f>X53*'Alternative 1'!$K54/'Alternative 1'!$L54</f>
        <v>#VALUE!</v>
      </c>
      <c r="AA53" s="78" t="e">
        <f>Y53/'Alternative 1'!$M54</f>
        <v>#VALUE!</v>
      </c>
      <c r="AB53" s="78" t="e">
        <f t="shared" si="3"/>
        <v>#VALUE!</v>
      </c>
      <c r="AD53" s="78" t="e">
        <f>'Alternative 1'!$B$39*$B53*$C53*COS($K$23)-($N$22/3)*$E53*SIN($K$23)-($N$22/3)*$F53*SIN($K$23)-($N$22/3)*$G53*SIN($K$23)</f>
        <v>#VALUE!</v>
      </c>
      <c r="AE53" s="79" t="e">
        <f>IF(($A53&lt;'Alternative 1'!$B$27),(($H53*'Alternative 1'!$B$39)+(3*($N$22/3)*COS($K$23))),IF(($A53&lt;'Alternative 1'!$B$28),(($H53*'Alternative 1'!$B$39)+(2*(($N$22/3)*COS($K$23)))),IF(($A53&lt;'Alternative 1'!$B$29),(($H$3*'Alternative 1'!$B$39+(($N$22/3)*COS($K$23)))),($H53*'Alternative 1'!$B$39))))</f>
        <v>#VALUE!</v>
      </c>
      <c r="AF53" s="78" t="e">
        <f>AD53*'Alternative 1'!$K54/'Alternative 1'!$L54</f>
        <v>#VALUE!</v>
      </c>
      <c r="AG53" s="78" t="e">
        <f>AE53/'Alternative 1'!$M54</f>
        <v>#VALUE!</v>
      </c>
      <c r="AH53" s="78" t="e">
        <f t="shared" si="4"/>
        <v>#VALUE!</v>
      </c>
      <c r="AJ53" s="78" t="e">
        <f>'Alternative 1'!$B$39*$B53*$C53*COS($K$33)-($N$32/3)*$E53*SIN($K$33)-($N$32/3)*$F53*SIN($K$33)-($N$32/3)*$G53*SIN($K$33)</f>
        <v>#VALUE!</v>
      </c>
      <c r="AK53" s="79" t="e">
        <f>IF(($A53&lt;'Alternative 1'!$B$27),(($H53*'Alternative 1'!$B$39)+(3*($N$32/3)*COS($K$33))),IF(($A53&lt;'Alternative 1'!$B$28),(($H53*'Alternative 1'!$B$39)+(2*(($N$32/3)*COS($K$33)))),IF(($A53&lt;'Alternative 1'!$B$29),(($H$3*'Alternative 1'!$B$39+(($N$32/3)*COS($K$33)))),($H53*'Alternative 1'!$B$39))))</f>
        <v>#VALUE!</v>
      </c>
      <c r="AL53" s="78" t="e">
        <f>AJ53*'Alternative 1'!$K54/'Alternative 1'!$L54</f>
        <v>#VALUE!</v>
      </c>
      <c r="AM53" s="78" t="e">
        <f>AK53/'Alternative 1'!$M54</f>
        <v>#VALUE!</v>
      </c>
      <c r="AN53" s="78" t="e">
        <f t="shared" si="5"/>
        <v>#VALUE!</v>
      </c>
      <c r="AP53" s="78" t="e">
        <f>'Alternative 1'!$B$39*$B53*$C53*COS($K$43)-($N$42/3)*$E53*SIN($K$43)-($N$42/3)*$F53*SIN($K$43)-($N$42/3)*$G53*SIN($K$43)</f>
        <v>#VALUE!</v>
      </c>
      <c r="AQ53" s="79" t="e">
        <f>IF(($A53&lt;'Alternative 1'!$B$27),(($H53*'Alternative 1'!$B$39)+(3*($N$42/3)*COS($K$43))),IF(($A53&lt;'Alternative 1'!$B$28),(($H53*'Alternative 1'!$B$39)+(2*(($N$42/3)*COS($K$43)))),IF(($A53&lt;'Alternative 1'!$B$29),(($H$3*'Alternative 1'!$B$39+(($N$42/3)*COS($K$43)))),($H53*'Alternative 1'!$B$39))))</f>
        <v>#VALUE!</v>
      </c>
      <c r="AR53" s="78" t="e">
        <f>AP53*'Alternative 1'!$K54/'Alternative 1'!$L54</f>
        <v>#VALUE!</v>
      </c>
      <c r="AS53" s="78" t="e">
        <f>AQ53/'Alternative 1'!$M54</f>
        <v>#VALUE!</v>
      </c>
      <c r="AT53" s="78" t="e">
        <f t="shared" si="6"/>
        <v>#VALUE!</v>
      </c>
      <c r="AV53" s="78" t="e">
        <f>'Alternative 1'!$B$39*$B53*$C53*COS($K$53)-($N$52/3)*$E53*SIN($K$53)-($N$52/3)*$F53*SIN($K$53)-($N$52/3)*$G53*SIN($K$53)</f>
        <v>#VALUE!</v>
      </c>
      <c r="AW53" s="79" t="e">
        <f>IF(($A53&lt;'Alternative 1'!$B$27),(($H53*'Alternative 1'!$B$39)+(3*($N$52/3)*COS($K$53))),IF(($A53&lt;'Alternative 1'!$B$28),(($H53*'Alternative 1'!$B$39)+(2*(($N$52/3)*COS($K$53)))),IF(($A53&lt;'Alternative 1'!$B$29),(($H$3*'Alternative 1'!$B$39+(($N$52/3)*COS($K$53)))),($H53*'Alternative 1'!$B$39))))</f>
        <v>#VALUE!</v>
      </c>
      <c r="AX53" s="78" t="e">
        <f>AV53*'Alternative 1'!$K54/'Alternative 1'!$L54</f>
        <v>#VALUE!</v>
      </c>
      <c r="AY53" s="78" t="e">
        <f>AW53/'Alternative 1'!$M54</f>
        <v>#VALUE!</v>
      </c>
      <c r="AZ53" s="78" t="e">
        <f t="shared" si="7"/>
        <v>#VALUE!</v>
      </c>
      <c r="BB53" s="78" t="e">
        <f>'Alternative 1'!$B$39*$B53*$C53*COS($K$63)-($N$62/3)*$E53*SIN($K$63)-($N$62/3)*$F53*SIN($K$63)-($N$62/3)*$G53*SIN($K$63)</f>
        <v>#VALUE!</v>
      </c>
      <c r="BC53" s="79" t="e">
        <f>IF(($A53&lt;'Alternative 1'!$B$27),(($H53*'Alternative 1'!$B$39)+(3*($N$62/3)*COS($K$63))),IF(($A53&lt;'Alternative 1'!$B$28),(($H53*'Alternative 1'!$B$39)+(2*(($N$62/3)*COS($K$63)))),IF(($A53&lt;'Alternative 1'!$B$29),(($H$3*'Alternative 1'!$B$39+(($N$62/3)*COS($K$63)))),($H53*'Alternative 1'!$B$39))))</f>
        <v>#VALUE!</v>
      </c>
      <c r="BD53" s="78" t="e">
        <f>BB53*'Alternative 1'!$K54/'Alternative 1'!$L54</f>
        <v>#VALUE!</v>
      </c>
      <c r="BE53" s="78" t="e">
        <f>BC53/'Alternative 1'!$M54</f>
        <v>#VALUE!</v>
      </c>
      <c r="BF53" s="78" t="e">
        <f t="shared" si="8"/>
        <v>#VALUE!</v>
      </c>
      <c r="BH53" s="78" t="e">
        <f>'Alternative 1'!$B$39*$B53*$C53*COS($K$73)-($N$72/3)*$E53*SIN($K$73)-($N$72/3)*$F53*SIN($K$73)-($N$72/3)*$G53*SIN($K$73)</f>
        <v>#VALUE!</v>
      </c>
      <c r="BI53" s="79" t="e">
        <f>IF(($A53&lt;'Alternative 1'!$B$27),(($H53*'Alternative 1'!$B$39)+(3*($N$72/3)*COS($K$73))),IF(($A53&lt;'Alternative 1'!$B$28),(($H53*'Alternative 1'!$B$39)+(2*(($N$72/3)*COS($K$73)))),IF(($A53&lt;'Alternative 1'!$B$29),(($H$3*'Alternative 1'!$B$39+(($N$72/3)*COS($K$73)))),($H53*'Alternative 1'!$B$39))))</f>
        <v>#VALUE!</v>
      </c>
      <c r="BJ53" s="78" t="e">
        <f>BH53*'Alternative 1'!$K54/'Alternative 1'!$L54</f>
        <v>#VALUE!</v>
      </c>
      <c r="BK53" s="78" t="e">
        <f>BI53/'Alternative 1'!$M54</f>
        <v>#VALUE!</v>
      </c>
      <c r="BL53" s="78" t="e">
        <f t="shared" si="9"/>
        <v>#VALUE!</v>
      </c>
      <c r="BN53" s="78" t="e">
        <f>'Alternative 1'!$B$39*$B53*$C53*COS($K$83)-($N$82/3)*$E53*SIN($K$83)-($N$82/3)*$F53*SIN($K$83)-($N$82/3)*$G53*SIN($K$83)</f>
        <v>#VALUE!</v>
      </c>
      <c r="BO53" s="79" t="e">
        <f>IF(($A53&lt;'Alternative 1'!$B$27),(($H53*'Alternative 1'!$B$39)+(3*($N$82/3)*COS($K$83))),IF(($A53&lt;'Alternative 1'!$B$28),(($H53*'Alternative 1'!$B$39)+(2*(($N$82/3)*COS($K$83)))),IF(($A53&lt;'Alternative 1'!$B$29),(($H$3*'Alternative 1'!$B$39+(($N$82/3)*COS($K$83)))),($H53*'Alternative 1'!$B$39))))</f>
        <v>#VALUE!</v>
      </c>
      <c r="BP53" s="78" t="e">
        <f>BN53*'Alternative 1'!$K54/'Alternative 1'!$L54</f>
        <v>#VALUE!</v>
      </c>
      <c r="BQ53" s="78" t="e">
        <f>BO53/'Alternative 1'!$M54</f>
        <v>#VALUE!</v>
      </c>
      <c r="BR53" s="78" t="e">
        <f t="shared" si="10"/>
        <v>#VALUE!</v>
      </c>
      <c r="BT53" s="78" t="e">
        <f>'Alternative 1'!$B$39*$B53*$C53*COS($K$93)-($K$92/3)*$E53*SIN($K$93)-($K$92/3)*$F53*SIN($K$93)-($K$92/3)*$G53*SIN($K$93)</f>
        <v>#VALUE!</v>
      </c>
      <c r="BU53" s="79" t="e">
        <f>IF(($A53&lt;'Alternative 1'!$B$27),(($H53*'Alternative 1'!$B$39)+(3*($N$92/3)*COS($K$93))),IF(($A53&lt;'Alternative 1'!$B$28),(($H53*'Alternative 1'!$B$39)+(2*(($N$92/3)*COS($K$93)))),IF(($A53&lt;'Alternative 1'!$B$29),(($H$3*'Alternative 1'!$B$39+(($N$92/3)*COS($K$93)))),($H53*'Alternative 1'!$B$39))))</f>
        <v>#VALUE!</v>
      </c>
      <c r="BV53" s="78" t="e">
        <f>BT53*'Alternative 1'!$K54/'Alternative 1'!$L54</f>
        <v>#VALUE!</v>
      </c>
      <c r="BW53" s="78" t="e">
        <f>BU53/'Alternative 1'!$M54</f>
        <v>#VALUE!</v>
      </c>
      <c r="BX53" s="78" t="e">
        <f t="shared" si="11"/>
        <v>#VALUE!</v>
      </c>
      <c r="BZ53" s="77">
        <v>150</v>
      </c>
      <c r="CA53" s="77">
        <v>-150</v>
      </c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1"/>
      <c r="DK53" s="281"/>
    </row>
    <row r="54" spans="1:115" ht="15" customHeight="1" x14ac:dyDescent="0.25">
      <c r="A54" s="89" t="str">
        <f>IF('Alternative 1'!F55&gt;0,'Alternative 1'!F55,"x")</f>
        <v>x</v>
      </c>
      <c r="B54" s="89" t="e">
        <f t="shared" si="17"/>
        <v>#VALUE!</v>
      </c>
      <c r="C54" s="89">
        <f t="shared" si="12"/>
        <v>0</v>
      </c>
      <c r="D54" s="89" t="str">
        <f t="shared" si="13"/>
        <v>x</v>
      </c>
      <c r="E54" s="74">
        <f>IF($A54&lt;='Alternative 1'!$B$27, IF($A54='Alternative 1'!$B$27,0,E55+1),0)</f>
        <v>0</v>
      </c>
      <c r="F54" s="74">
        <f>IF($A54&lt;=('Alternative 1'!$B$28), IF($A54=ROUNDDOWN('Alternative 1'!$B$28,0),0,F55+1),0)</f>
        <v>0</v>
      </c>
      <c r="G54" s="74">
        <f>IF($A54&lt;=('Alternative 1'!$B$29), IF($A54=ROUNDDOWN('Alternative 1'!$B$29,0),0,G55+1),0)</f>
        <v>0</v>
      </c>
      <c r="H54" s="89" t="e">
        <f t="shared" si="14"/>
        <v>#VALUE!</v>
      </c>
      <c r="J54" s="77">
        <f t="shared" si="15"/>
        <v>51</v>
      </c>
      <c r="K54" s="77">
        <f t="shared" si="16"/>
        <v>0.89011791851710798</v>
      </c>
      <c r="L54" s="78">
        <f>'Alternative 1'!$B$27*SIN(K54)+'Alternative 1'!$B$28*SIN(K54)+'Alternative 1'!$B$29*SIN(K54)</f>
        <v>52.845925379074018</v>
      </c>
      <c r="M54" s="77">
        <f>(('Alternative 1'!$B$27)*(((('Alternative 1'!$B$28-'Alternative 1'!$B$27)/2)+'Alternative 1'!$B$27)*'Alternative 1'!$B$39)*COS('Alternative 1-Tilt Up'!K54))+(('Alternative 1'!$B$28)*((('Alternative 1'!$B$28-'Alternative 1'!$B$27)/2)+(('Alternative 1'!$B$29-'Alternative 1'!$B$28)/2))*('Alternative 1'!$B$39)*COS('Alternative 1-Tilt Up'!K54))+(('Alternative 1'!$B$29)*((('Alternative 1'!$B$12-'Alternative 1'!$B$29+(('Alternative 1'!$B$29-'Alternative 1'!$B$28)/2)*('Alternative 1'!$B$39)*COS('Alternative 1-Tilt Up'!K54)))))</f>
        <v>2986897.8426561742</v>
      </c>
      <c r="N54" s="77">
        <f t="shared" si="0"/>
        <v>169562.6193257425</v>
      </c>
      <c r="O54" s="77">
        <f>(((('Alternative 1'!$B$28-'Alternative 1'!$B$27)/2)+'Alternative 1'!$B$27)*('Alternative 1'!$B$39)*COS('Alternative 1-Tilt Up'!K54))+(((('Alternative 1'!$B$28-'Alternative 1'!$B$27)/2)+(('Alternative 1'!$B$29-'Alternative 1'!$B$28)/2))*('Alternative 1'!$B$39)*COS('Alternative 1-Tilt Up'!K54))+(((('Alternative 1'!$B$12-'Alternative 1'!$B$29)+(('Alternative 1'!$B$29-'Alternative 1'!$B$28)/2))*('Alternative 1'!$B$39)*COS('Alternative 1-Tilt Up'!K54)))</f>
        <v>192647.49934539199</v>
      </c>
      <c r="P54" s="77">
        <f t="shared" si="1"/>
        <v>106709.213901511</v>
      </c>
      <c r="R54" s="78" t="e">
        <f>'Alternative 1'!$B$39*$B54*$C54*COS($K$5)-($N$5/3)*$E54*SIN($K$5)-($N$5/3)*$F54*SIN($K$5)-($N$5/3)*$G54*SIN($K$5)</f>
        <v>#VALUE!</v>
      </c>
      <c r="S54" s="79" t="e">
        <f>IF(($A54&lt;'Alternative 1'!$B$27),(($H54*'Alternative 1'!$B$39)+(3*($N$5/3)*COS($K$5))),IF(($A54&lt;'Alternative 1'!$B$28),(($H54*'Alternative 1'!$B$39)+(2*(($N$5/3)*COS($K$5)))),IF(($A54&lt;'Alternative 1'!$B$29),(($H$3*'Alternative 1'!$B$39+(($N$5/3)*COS($K$5)))),($H54*'Alternative 1'!$B$39))))</f>
        <v>#VALUE!</v>
      </c>
      <c r="T54" s="78" t="e">
        <f>R54*'Alternative 1'!$K55/'Alternative 1'!$L55</f>
        <v>#VALUE!</v>
      </c>
      <c r="U54" s="78" t="e">
        <f>S54/'Alternative 1'!$M55</f>
        <v>#VALUE!</v>
      </c>
      <c r="V54" s="78" t="e">
        <f t="shared" si="2"/>
        <v>#VALUE!</v>
      </c>
      <c r="X54" s="78" t="e">
        <f>'Alternative 1'!$B$39*$B54*$C54*COS($K$13)-($N$12/3)*$E54*SIN($K$13)-($N$12/3)*$F54*SIN($K$13)-($N$12/3)*$G54*SIN($K$13)</f>
        <v>#VALUE!</v>
      </c>
      <c r="Y54" s="79" t="e">
        <f>IF(($A54&lt;'Alternative 1'!$B$27),(($H54*'Alternative 1'!$B$39)+(3*($N$12/3)*COS($K$13))),IF(($A54&lt;'Alternative 1'!$B$28),(($H54*'Alternative 1'!$B$39)+(2*(($N$12/3)*COS($K$13)))),IF(($A54&lt;'Alternative 1'!$B$29),(($H$3*'Alternative 1'!$B$39+(($N$12/3)*COS($K$13)))),($H54*'Alternative 1'!$B$39))))</f>
        <v>#VALUE!</v>
      </c>
      <c r="Z54" s="78" t="e">
        <f>X54*'Alternative 1'!$K55/'Alternative 1'!$L55</f>
        <v>#VALUE!</v>
      </c>
      <c r="AA54" s="78" t="e">
        <f>Y54/'Alternative 1'!$M55</f>
        <v>#VALUE!</v>
      </c>
      <c r="AB54" s="78" t="e">
        <f t="shared" si="3"/>
        <v>#VALUE!</v>
      </c>
      <c r="AD54" s="78" t="e">
        <f>'Alternative 1'!$B$39*$B54*$C54*COS($K$23)-($N$22/3)*$E54*SIN($K$23)-($N$22/3)*$F54*SIN($K$23)-($N$22/3)*$G54*SIN($K$23)</f>
        <v>#VALUE!</v>
      </c>
      <c r="AE54" s="79" t="e">
        <f>IF(($A54&lt;'Alternative 1'!$B$27),(($H54*'Alternative 1'!$B$39)+(3*($N$22/3)*COS($K$23))),IF(($A54&lt;'Alternative 1'!$B$28),(($H54*'Alternative 1'!$B$39)+(2*(($N$22/3)*COS($K$23)))),IF(($A54&lt;'Alternative 1'!$B$29),(($H$3*'Alternative 1'!$B$39+(($N$22/3)*COS($K$23)))),($H54*'Alternative 1'!$B$39))))</f>
        <v>#VALUE!</v>
      </c>
      <c r="AF54" s="78" t="e">
        <f>AD54*'Alternative 1'!$K55/'Alternative 1'!$L55</f>
        <v>#VALUE!</v>
      </c>
      <c r="AG54" s="78" t="e">
        <f>AE54/'Alternative 1'!$M55</f>
        <v>#VALUE!</v>
      </c>
      <c r="AH54" s="78" t="e">
        <f t="shared" si="4"/>
        <v>#VALUE!</v>
      </c>
      <c r="AJ54" s="78" t="e">
        <f>'Alternative 1'!$B$39*$B54*$C54*COS($K$33)-($N$32/3)*$E54*SIN($K$33)-($N$32/3)*$F54*SIN($K$33)-($N$32/3)*$G54*SIN($K$33)</f>
        <v>#VALUE!</v>
      </c>
      <c r="AK54" s="79" t="e">
        <f>IF(($A54&lt;'Alternative 1'!$B$27),(($H54*'Alternative 1'!$B$39)+(3*($N$32/3)*COS($K$33))),IF(($A54&lt;'Alternative 1'!$B$28),(($H54*'Alternative 1'!$B$39)+(2*(($N$32/3)*COS($K$33)))),IF(($A54&lt;'Alternative 1'!$B$29),(($H$3*'Alternative 1'!$B$39+(($N$32/3)*COS($K$33)))),($H54*'Alternative 1'!$B$39))))</f>
        <v>#VALUE!</v>
      </c>
      <c r="AL54" s="78" t="e">
        <f>AJ54*'Alternative 1'!$K55/'Alternative 1'!$L55</f>
        <v>#VALUE!</v>
      </c>
      <c r="AM54" s="78" t="e">
        <f>AK54/'Alternative 1'!$M55</f>
        <v>#VALUE!</v>
      </c>
      <c r="AN54" s="78" t="e">
        <f t="shared" si="5"/>
        <v>#VALUE!</v>
      </c>
      <c r="AP54" s="78" t="e">
        <f>'Alternative 1'!$B$39*$B54*$C54*COS($K$43)-($N$42/3)*$E54*SIN($K$43)-($N$42/3)*$F54*SIN($K$43)-($N$42/3)*$G54*SIN($K$43)</f>
        <v>#VALUE!</v>
      </c>
      <c r="AQ54" s="79" t="e">
        <f>IF(($A54&lt;'Alternative 1'!$B$27),(($H54*'Alternative 1'!$B$39)+(3*($N$42/3)*COS($K$43))),IF(($A54&lt;'Alternative 1'!$B$28),(($H54*'Alternative 1'!$B$39)+(2*(($N$42/3)*COS($K$43)))),IF(($A54&lt;'Alternative 1'!$B$29),(($H$3*'Alternative 1'!$B$39+(($N$42/3)*COS($K$43)))),($H54*'Alternative 1'!$B$39))))</f>
        <v>#VALUE!</v>
      </c>
      <c r="AR54" s="78" t="e">
        <f>AP54*'Alternative 1'!$K55/'Alternative 1'!$L55</f>
        <v>#VALUE!</v>
      </c>
      <c r="AS54" s="78" t="e">
        <f>AQ54/'Alternative 1'!$M55</f>
        <v>#VALUE!</v>
      </c>
      <c r="AT54" s="78" t="e">
        <f t="shared" si="6"/>
        <v>#VALUE!</v>
      </c>
      <c r="AV54" s="78" t="e">
        <f>'Alternative 1'!$B$39*$B54*$C54*COS($K$53)-($N$52/3)*$E54*SIN($K$53)-($N$52/3)*$F54*SIN($K$53)-($N$52/3)*$G54*SIN($K$53)</f>
        <v>#VALUE!</v>
      </c>
      <c r="AW54" s="79" t="e">
        <f>IF(($A54&lt;'Alternative 1'!$B$27),(($H54*'Alternative 1'!$B$39)+(3*($N$52/3)*COS($K$53))),IF(($A54&lt;'Alternative 1'!$B$28),(($H54*'Alternative 1'!$B$39)+(2*(($N$52/3)*COS($K$53)))),IF(($A54&lt;'Alternative 1'!$B$29),(($H$3*'Alternative 1'!$B$39+(($N$52/3)*COS($K$53)))),($H54*'Alternative 1'!$B$39))))</f>
        <v>#VALUE!</v>
      </c>
      <c r="AX54" s="78" t="e">
        <f>AV54*'Alternative 1'!$K55/'Alternative 1'!$L55</f>
        <v>#VALUE!</v>
      </c>
      <c r="AY54" s="78" t="e">
        <f>AW54/'Alternative 1'!$M55</f>
        <v>#VALUE!</v>
      </c>
      <c r="AZ54" s="78" t="e">
        <f t="shared" si="7"/>
        <v>#VALUE!</v>
      </c>
      <c r="BB54" s="78" t="e">
        <f>'Alternative 1'!$B$39*$B54*$C54*COS($K$63)-($N$62/3)*$E54*SIN($K$63)-($N$62/3)*$F54*SIN($K$63)-($N$62/3)*$G54*SIN($K$63)</f>
        <v>#VALUE!</v>
      </c>
      <c r="BC54" s="79" t="e">
        <f>IF(($A54&lt;'Alternative 1'!$B$27),(($H54*'Alternative 1'!$B$39)+(3*($N$62/3)*COS($K$63))),IF(($A54&lt;'Alternative 1'!$B$28),(($H54*'Alternative 1'!$B$39)+(2*(($N$62/3)*COS($K$63)))),IF(($A54&lt;'Alternative 1'!$B$29),(($H$3*'Alternative 1'!$B$39+(($N$62/3)*COS($K$63)))),($H54*'Alternative 1'!$B$39))))</f>
        <v>#VALUE!</v>
      </c>
      <c r="BD54" s="78" t="e">
        <f>BB54*'Alternative 1'!$K55/'Alternative 1'!$L55</f>
        <v>#VALUE!</v>
      </c>
      <c r="BE54" s="78" t="e">
        <f>BC54/'Alternative 1'!$M55</f>
        <v>#VALUE!</v>
      </c>
      <c r="BF54" s="78" t="e">
        <f t="shared" si="8"/>
        <v>#VALUE!</v>
      </c>
      <c r="BH54" s="78" t="e">
        <f>'Alternative 1'!$B$39*$B54*$C54*COS($K$73)-($N$72/3)*$E54*SIN($K$73)-($N$72/3)*$F54*SIN($K$73)-($N$72/3)*$G54*SIN($K$73)</f>
        <v>#VALUE!</v>
      </c>
      <c r="BI54" s="79" t="e">
        <f>IF(($A54&lt;'Alternative 1'!$B$27),(($H54*'Alternative 1'!$B$39)+(3*($N$72/3)*COS($K$73))),IF(($A54&lt;'Alternative 1'!$B$28),(($H54*'Alternative 1'!$B$39)+(2*(($N$72/3)*COS($K$73)))),IF(($A54&lt;'Alternative 1'!$B$29),(($H$3*'Alternative 1'!$B$39+(($N$72/3)*COS($K$73)))),($H54*'Alternative 1'!$B$39))))</f>
        <v>#VALUE!</v>
      </c>
      <c r="BJ54" s="78" t="e">
        <f>BH54*'Alternative 1'!$K55/'Alternative 1'!$L55</f>
        <v>#VALUE!</v>
      </c>
      <c r="BK54" s="78" t="e">
        <f>BI54/'Alternative 1'!$M55</f>
        <v>#VALUE!</v>
      </c>
      <c r="BL54" s="78" t="e">
        <f t="shared" si="9"/>
        <v>#VALUE!</v>
      </c>
      <c r="BN54" s="78" t="e">
        <f>'Alternative 1'!$B$39*$B54*$C54*COS($K$83)-($N$82/3)*$E54*SIN($K$83)-($N$82/3)*$F54*SIN($K$83)-($N$82/3)*$G54*SIN($K$83)</f>
        <v>#VALUE!</v>
      </c>
      <c r="BO54" s="79" t="e">
        <f>IF(($A54&lt;'Alternative 1'!$B$27),(($H54*'Alternative 1'!$B$39)+(3*($N$82/3)*COS($K$83))),IF(($A54&lt;'Alternative 1'!$B$28),(($H54*'Alternative 1'!$B$39)+(2*(($N$82/3)*COS($K$83)))),IF(($A54&lt;'Alternative 1'!$B$29),(($H$3*'Alternative 1'!$B$39+(($N$82/3)*COS($K$83)))),($H54*'Alternative 1'!$B$39))))</f>
        <v>#VALUE!</v>
      </c>
      <c r="BP54" s="78" t="e">
        <f>BN54*'Alternative 1'!$K55/'Alternative 1'!$L55</f>
        <v>#VALUE!</v>
      </c>
      <c r="BQ54" s="78" t="e">
        <f>BO54/'Alternative 1'!$M55</f>
        <v>#VALUE!</v>
      </c>
      <c r="BR54" s="78" t="e">
        <f t="shared" si="10"/>
        <v>#VALUE!</v>
      </c>
      <c r="BT54" s="78" t="e">
        <f>'Alternative 1'!$B$39*$B54*$C54*COS($K$93)-($K$92/3)*$E54*SIN($K$93)-($K$92/3)*$F54*SIN($K$93)-($K$92/3)*$G54*SIN($K$93)</f>
        <v>#VALUE!</v>
      </c>
      <c r="BU54" s="79" t="e">
        <f>IF(($A54&lt;'Alternative 1'!$B$27),(($H54*'Alternative 1'!$B$39)+(3*($N$92/3)*COS($K$93))),IF(($A54&lt;'Alternative 1'!$B$28),(($H54*'Alternative 1'!$B$39)+(2*(($N$92/3)*COS($K$93)))),IF(($A54&lt;'Alternative 1'!$B$29),(($H$3*'Alternative 1'!$B$39+(($N$92/3)*COS($K$93)))),($H54*'Alternative 1'!$B$39))))</f>
        <v>#VALUE!</v>
      </c>
      <c r="BV54" s="78" t="e">
        <f>BT54*'Alternative 1'!$K55/'Alternative 1'!$L55</f>
        <v>#VALUE!</v>
      </c>
      <c r="BW54" s="78" t="e">
        <f>BU54/'Alternative 1'!$M55</f>
        <v>#VALUE!</v>
      </c>
      <c r="BX54" s="78" t="e">
        <f t="shared" si="11"/>
        <v>#VALUE!</v>
      </c>
      <c r="BZ54" s="77">
        <v>150</v>
      </c>
      <c r="CA54" s="77">
        <v>-150</v>
      </c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  <c r="DE54" s="281"/>
      <c r="DF54" s="281"/>
      <c r="DG54" s="281"/>
      <c r="DH54" s="281"/>
      <c r="DI54" s="281"/>
      <c r="DJ54" s="281"/>
      <c r="DK54" s="281"/>
    </row>
    <row r="55" spans="1:115" ht="15" customHeight="1" x14ac:dyDescent="0.25">
      <c r="A55" s="89" t="str">
        <f>IF('Alternative 1'!F56&gt;0,'Alternative 1'!F56,"x")</f>
        <v>x</v>
      </c>
      <c r="B55" s="89" t="e">
        <f t="shared" si="17"/>
        <v>#VALUE!</v>
      </c>
      <c r="C55" s="89">
        <f t="shared" si="12"/>
        <v>0</v>
      </c>
      <c r="D55" s="89" t="str">
        <f t="shared" si="13"/>
        <v>x</v>
      </c>
      <c r="E55" s="74">
        <f>IF($A55&lt;='Alternative 1'!$B$27, IF($A55='Alternative 1'!$B$27,0,E56+1),0)</f>
        <v>0</v>
      </c>
      <c r="F55" s="74">
        <f>IF($A55&lt;=('Alternative 1'!$B$28), IF($A55=ROUNDDOWN('Alternative 1'!$B$28,0),0,F56+1),0)</f>
        <v>0</v>
      </c>
      <c r="G55" s="74">
        <f>IF($A55&lt;=('Alternative 1'!$B$29), IF($A55=ROUNDDOWN('Alternative 1'!$B$29,0),0,G56+1),0)</f>
        <v>0</v>
      </c>
      <c r="H55" s="89" t="e">
        <f t="shared" si="14"/>
        <v>#VALUE!</v>
      </c>
      <c r="J55" s="77">
        <f t="shared" si="15"/>
        <v>52</v>
      </c>
      <c r="K55" s="77">
        <f t="shared" si="16"/>
        <v>0.90757121103705141</v>
      </c>
      <c r="L55" s="78">
        <f>'Alternative 1'!$B$27*SIN(K55)+'Alternative 1'!$B$28*SIN(K55)+'Alternative 1'!$B$29*SIN(K55)</f>
        <v>53.584731245257096</v>
      </c>
      <c r="M55" s="77">
        <f>(('Alternative 1'!$B$27)*(((('Alternative 1'!$B$28-'Alternative 1'!$B$27)/2)+'Alternative 1'!$B$27)*'Alternative 1'!$B$39)*COS('Alternative 1-Tilt Up'!K55))+(('Alternative 1'!$B$28)*((('Alternative 1'!$B$28-'Alternative 1'!$B$27)/2)+(('Alternative 1'!$B$29-'Alternative 1'!$B$28)/2))*('Alternative 1'!$B$39)*COS('Alternative 1-Tilt Up'!K55))+(('Alternative 1'!$B$29)*((('Alternative 1'!$B$12-'Alternative 1'!$B$29+(('Alternative 1'!$B$29-'Alternative 1'!$B$28)/2)*('Alternative 1'!$B$39)*COS('Alternative 1-Tilt Up'!K55)))))</f>
        <v>2922073.765157572</v>
      </c>
      <c r="N55" s="77">
        <f t="shared" si="0"/>
        <v>163595.5073722355</v>
      </c>
      <c r="O55" s="77">
        <f>(((('Alternative 1'!$B$28-'Alternative 1'!$B$27)/2)+'Alternative 1'!$B$27)*('Alternative 1'!$B$39)*COS('Alternative 1-Tilt Up'!K55))+(((('Alternative 1'!$B$28-'Alternative 1'!$B$27)/2)+(('Alternative 1'!$B$29-'Alternative 1'!$B$28)/2))*('Alternative 1'!$B$39)*COS('Alternative 1-Tilt Up'!K55))+(((('Alternative 1'!$B$12-'Alternative 1'!$B$29)+(('Alternative 1'!$B$29-'Alternative 1'!$B$28)/2))*('Alternative 1'!$B$39)*COS('Alternative 1-Tilt Up'!K55)))</f>
        <v>188466.23333930736</v>
      </c>
      <c r="P55" s="77">
        <f t="shared" si="1"/>
        <v>100719.45142544011</v>
      </c>
      <c r="R55" s="78" t="e">
        <f>'Alternative 1'!$B$39*$B55*$C55*COS($K$5)-($N$5/3)*$E55*SIN($K$5)-($N$5/3)*$F55*SIN($K$5)-($N$5/3)*$G55*SIN($K$5)</f>
        <v>#VALUE!</v>
      </c>
      <c r="S55" s="79" t="e">
        <f>IF(($A55&lt;'Alternative 1'!$B$27),(($H55*'Alternative 1'!$B$39)+(3*($N$5/3)*COS($K$5))),IF(($A55&lt;'Alternative 1'!$B$28),(($H55*'Alternative 1'!$B$39)+(2*(($N$5/3)*COS($K$5)))),IF(($A55&lt;'Alternative 1'!$B$29),(($H$3*'Alternative 1'!$B$39+(($N$5/3)*COS($K$5)))),($H55*'Alternative 1'!$B$39))))</f>
        <v>#VALUE!</v>
      </c>
      <c r="T55" s="78" t="e">
        <f>R55*'Alternative 1'!$K56/'Alternative 1'!$L56</f>
        <v>#VALUE!</v>
      </c>
      <c r="U55" s="78" t="e">
        <f>S55/'Alternative 1'!$M56</f>
        <v>#VALUE!</v>
      </c>
      <c r="V55" s="78" t="e">
        <f t="shared" si="2"/>
        <v>#VALUE!</v>
      </c>
      <c r="X55" s="78" t="e">
        <f>'Alternative 1'!$B$39*$B55*$C55*COS($K$13)-($N$12/3)*$E55*SIN($K$13)-($N$12/3)*$F55*SIN($K$13)-($N$12/3)*$G55*SIN($K$13)</f>
        <v>#VALUE!</v>
      </c>
      <c r="Y55" s="79" t="e">
        <f>IF(($A55&lt;'Alternative 1'!$B$27),(($H55*'Alternative 1'!$B$39)+(3*($N$12/3)*COS($K$13))),IF(($A55&lt;'Alternative 1'!$B$28),(($H55*'Alternative 1'!$B$39)+(2*(($N$12/3)*COS($K$13)))),IF(($A55&lt;'Alternative 1'!$B$29),(($H$3*'Alternative 1'!$B$39+(($N$12/3)*COS($K$13)))),($H55*'Alternative 1'!$B$39))))</f>
        <v>#VALUE!</v>
      </c>
      <c r="Z55" s="78" t="e">
        <f>X55*'Alternative 1'!$K56/'Alternative 1'!$L56</f>
        <v>#VALUE!</v>
      </c>
      <c r="AA55" s="78" t="e">
        <f>Y55/'Alternative 1'!$M56</f>
        <v>#VALUE!</v>
      </c>
      <c r="AB55" s="78" t="e">
        <f t="shared" si="3"/>
        <v>#VALUE!</v>
      </c>
      <c r="AD55" s="78" t="e">
        <f>'Alternative 1'!$B$39*$B55*$C55*COS($K$23)-($N$22/3)*$E55*SIN($K$23)-($N$22/3)*$F55*SIN($K$23)-($N$22/3)*$G55*SIN($K$23)</f>
        <v>#VALUE!</v>
      </c>
      <c r="AE55" s="79" t="e">
        <f>IF(($A55&lt;'Alternative 1'!$B$27),(($H55*'Alternative 1'!$B$39)+(3*($N$22/3)*COS($K$23))),IF(($A55&lt;'Alternative 1'!$B$28),(($H55*'Alternative 1'!$B$39)+(2*(($N$22/3)*COS($K$23)))),IF(($A55&lt;'Alternative 1'!$B$29),(($H$3*'Alternative 1'!$B$39+(($N$22/3)*COS($K$23)))),($H55*'Alternative 1'!$B$39))))</f>
        <v>#VALUE!</v>
      </c>
      <c r="AF55" s="78" t="e">
        <f>AD55*'Alternative 1'!$K56/'Alternative 1'!$L56</f>
        <v>#VALUE!</v>
      </c>
      <c r="AG55" s="78" t="e">
        <f>AE55/'Alternative 1'!$M56</f>
        <v>#VALUE!</v>
      </c>
      <c r="AH55" s="78" t="e">
        <f t="shared" si="4"/>
        <v>#VALUE!</v>
      </c>
      <c r="AJ55" s="78" t="e">
        <f>'Alternative 1'!$B$39*$B55*$C55*COS($K$33)-($N$32/3)*$E55*SIN($K$33)-($N$32/3)*$F55*SIN($K$33)-($N$32/3)*$G55*SIN($K$33)</f>
        <v>#VALUE!</v>
      </c>
      <c r="AK55" s="79" t="e">
        <f>IF(($A55&lt;'Alternative 1'!$B$27),(($H55*'Alternative 1'!$B$39)+(3*($N$32/3)*COS($K$33))),IF(($A55&lt;'Alternative 1'!$B$28),(($H55*'Alternative 1'!$B$39)+(2*(($N$32/3)*COS($K$33)))),IF(($A55&lt;'Alternative 1'!$B$29),(($H$3*'Alternative 1'!$B$39+(($N$32/3)*COS($K$33)))),($H55*'Alternative 1'!$B$39))))</f>
        <v>#VALUE!</v>
      </c>
      <c r="AL55" s="78" t="e">
        <f>AJ55*'Alternative 1'!$K56/'Alternative 1'!$L56</f>
        <v>#VALUE!</v>
      </c>
      <c r="AM55" s="78" t="e">
        <f>AK55/'Alternative 1'!$M56</f>
        <v>#VALUE!</v>
      </c>
      <c r="AN55" s="78" t="e">
        <f t="shared" si="5"/>
        <v>#VALUE!</v>
      </c>
      <c r="AP55" s="78" t="e">
        <f>'Alternative 1'!$B$39*$B55*$C55*COS($K$43)-($N$42/3)*$E55*SIN($K$43)-($N$42/3)*$F55*SIN($K$43)-($N$42/3)*$G55*SIN($K$43)</f>
        <v>#VALUE!</v>
      </c>
      <c r="AQ55" s="79" t="e">
        <f>IF(($A55&lt;'Alternative 1'!$B$27),(($H55*'Alternative 1'!$B$39)+(3*($N$42/3)*COS($K$43))),IF(($A55&lt;'Alternative 1'!$B$28),(($H55*'Alternative 1'!$B$39)+(2*(($N$42/3)*COS($K$43)))),IF(($A55&lt;'Alternative 1'!$B$29),(($H$3*'Alternative 1'!$B$39+(($N$42/3)*COS($K$43)))),($H55*'Alternative 1'!$B$39))))</f>
        <v>#VALUE!</v>
      </c>
      <c r="AR55" s="78" t="e">
        <f>AP55*'Alternative 1'!$K56/'Alternative 1'!$L56</f>
        <v>#VALUE!</v>
      </c>
      <c r="AS55" s="78" t="e">
        <f>AQ55/'Alternative 1'!$M56</f>
        <v>#VALUE!</v>
      </c>
      <c r="AT55" s="78" t="e">
        <f t="shared" si="6"/>
        <v>#VALUE!</v>
      </c>
      <c r="AV55" s="78" t="e">
        <f>'Alternative 1'!$B$39*$B55*$C55*COS($K$53)-($N$52/3)*$E55*SIN($K$53)-($N$52/3)*$F55*SIN($K$53)-($N$52/3)*$G55*SIN($K$53)</f>
        <v>#VALUE!</v>
      </c>
      <c r="AW55" s="79" t="e">
        <f>IF(($A55&lt;'Alternative 1'!$B$27),(($H55*'Alternative 1'!$B$39)+(3*($N$52/3)*COS($K$53))),IF(($A55&lt;'Alternative 1'!$B$28),(($H55*'Alternative 1'!$B$39)+(2*(($N$52/3)*COS($K$53)))),IF(($A55&lt;'Alternative 1'!$B$29),(($H$3*'Alternative 1'!$B$39+(($N$52/3)*COS($K$53)))),($H55*'Alternative 1'!$B$39))))</f>
        <v>#VALUE!</v>
      </c>
      <c r="AX55" s="78" t="e">
        <f>AV55*'Alternative 1'!$K56/'Alternative 1'!$L56</f>
        <v>#VALUE!</v>
      </c>
      <c r="AY55" s="78" t="e">
        <f>AW55/'Alternative 1'!$M56</f>
        <v>#VALUE!</v>
      </c>
      <c r="AZ55" s="78" t="e">
        <f t="shared" si="7"/>
        <v>#VALUE!</v>
      </c>
      <c r="BB55" s="78" t="e">
        <f>'Alternative 1'!$B$39*$B55*$C55*COS($K$63)-($N$62/3)*$E55*SIN($K$63)-($N$62/3)*$F55*SIN($K$63)-($N$62/3)*$G55*SIN($K$63)</f>
        <v>#VALUE!</v>
      </c>
      <c r="BC55" s="79" t="e">
        <f>IF(($A55&lt;'Alternative 1'!$B$27),(($H55*'Alternative 1'!$B$39)+(3*($N$62/3)*COS($K$63))),IF(($A55&lt;'Alternative 1'!$B$28),(($H55*'Alternative 1'!$B$39)+(2*(($N$62/3)*COS($K$63)))),IF(($A55&lt;'Alternative 1'!$B$29),(($H$3*'Alternative 1'!$B$39+(($N$62/3)*COS($K$63)))),($H55*'Alternative 1'!$B$39))))</f>
        <v>#VALUE!</v>
      </c>
      <c r="BD55" s="78" t="e">
        <f>BB55*'Alternative 1'!$K56/'Alternative 1'!$L56</f>
        <v>#VALUE!</v>
      </c>
      <c r="BE55" s="78" t="e">
        <f>BC55/'Alternative 1'!$M56</f>
        <v>#VALUE!</v>
      </c>
      <c r="BF55" s="78" t="e">
        <f t="shared" si="8"/>
        <v>#VALUE!</v>
      </c>
      <c r="BH55" s="78" t="e">
        <f>'Alternative 1'!$B$39*$B55*$C55*COS($K$73)-($N$72/3)*$E55*SIN($K$73)-($N$72/3)*$F55*SIN($K$73)-($N$72/3)*$G55*SIN($K$73)</f>
        <v>#VALUE!</v>
      </c>
      <c r="BI55" s="79" t="e">
        <f>IF(($A55&lt;'Alternative 1'!$B$27),(($H55*'Alternative 1'!$B$39)+(3*($N$72/3)*COS($K$73))),IF(($A55&lt;'Alternative 1'!$B$28),(($H55*'Alternative 1'!$B$39)+(2*(($N$72/3)*COS($K$73)))),IF(($A55&lt;'Alternative 1'!$B$29),(($H$3*'Alternative 1'!$B$39+(($N$72/3)*COS($K$73)))),($H55*'Alternative 1'!$B$39))))</f>
        <v>#VALUE!</v>
      </c>
      <c r="BJ55" s="78" t="e">
        <f>BH55*'Alternative 1'!$K56/'Alternative 1'!$L56</f>
        <v>#VALUE!</v>
      </c>
      <c r="BK55" s="78" t="e">
        <f>BI55/'Alternative 1'!$M56</f>
        <v>#VALUE!</v>
      </c>
      <c r="BL55" s="78" t="e">
        <f t="shared" si="9"/>
        <v>#VALUE!</v>
      </c>
      <c r="BN55" s="78" t="e">
        <f>'Alternative 1'!$B$39*$B55*$C55*COS($K$83)-($N$82/3)*$E55*SIN($K$83)-($N$82/3)*$F55*SIN($K$83)-($N$82/3)*$G55*SIN($K$83)</f>
        <v>#VALUE!</v>
      </c>
      <c r="BO55" s="79" t="e">
        <f>IF(($A55&lt;'Alternative 1'!$B$27),(($H55*'Alternative 1'!$B$39)+(3*($N$82/3)*COS($K$83))),IF(($A55&lt;'Alternative 1'!$B$28),(($H55*'Alternative 1'!$B$39)+(2*(($N$82/3)*COS($K$83)))),IF(($A55&lt;'Alternative 1'!$B$29),(($H$3*'Alternative 1'!$B$39+(($N$82/3)*COS($K$83)))),($H55*'Alternative 1'!$B$39))))</f>
        <v>#VALUE!</v>
      </c>
      <c r="BP55" s="78" t="e">
        <f>BN55*'Alternative 1'!$K56/'Alternative 1'!$L56</f>
        <v>#VALUE!</v>
      </c>
      <c r="BQ55" s="78" t="e">
        <f>BO55/'Alternative 1'!$M56</f>
        <v>#VALUE!</v>
      </c>
      <c r="BR55" s="78" t="e">
        <f t="shared" si="10"/>
        <v>#VALUE!</v>
      </c>
      <c r="BT55" s="78" t="e">
        <f>'Alternative 1'!$B$39*$B55*$C55*COS($K$93)-($K$92/3)*$E55*SIN($K$93)-($K$92/3)*$F55*SIN($K$93)-($K$92/3)*$G55*SIN($K$93)</f>
        <v>#VALUE!</v>
      </c>
      <c r="BU55" s="79" t="e">
        <f>IF(($A55&lt;'Alternative 1'!$B$27),(($H55*'Alternative 1'!$B$39)+(3*($N$92/3)*COS($K$93))),IF(($A55&lt;'Alternative 1'!$B$28),(($H55*'Alternative 1'!$B$39)+(2*(($N$92/3)*COS($K$93)))),IF(($A55&lt;'Alternative 1'!$B$29),(($H$3*'Alternative 1'!$B$39+(($N$92/3)*COS($K$93)))),($H55*'Alternative 1'!$B$39))))</f>
        <v>#VALUE!</v>
      </c>
      <c r="BV55" s="78" t="e">
        <f>BT55*'Alternative 1'!$K56/'Alternative 1'!$L56</f>
        <v>#VALUE!</v>
      </c>
      <c r="BW55" s="78" t="e">
        <f>BU55/'Alternative 1'!$M56</f>
        <v>#VALUE!</v>
      </c>
      <c r="BX55" s="78" t="e">
        <f t="shared" si="11"/>
        <v>#VALUE!</v>
      </c>
      <c r="BZ55" s="77">
        <v>150</v>
      </c>
      <c r="CA55" s="77">
        <v>-150</v>
      </c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  <c r="DE55" s="281"/>
      <c r="DF55" s="281"/>
      <c r="DG55" s="281"/>
      <c r="DH55" s="281"/>
      <c r="DI55" s="281"/>
      <c r="DJ55" s="281"/>
      <c r="DK55" s="281"/>
    </row>
    <row r="56" spans="1:115" ht="15" customHeight="1" x14ac:dyDescent="0.25">
      <c r="A56" s="89" t="str">
        <f>IF('Alternative 1'!F57&gt;0,'Alternative 1'!F57,"x")</f>
        <v>x</v>
      </c>
      <c r="B56" s="89" t="e">
        <f t="shared" si="17"/>
        <v>#VALUE!</v>
      </c>
      <c r="C56" s="89">
        <f t="shared" si="12"/>
        <v>0</v>
      </c>
      <c r="D56" s="89" t="str">
        <f t="shared" si="13"/>
        <v>x</v>
      </c>
      <c r="E56" s="74">
        <f>IF($A56&lt;='Alternative 1'!$B$27, IF($A56='Alternative 1'!$B$27,0,E57+1),0)</f>
        <v>0</v>
      </c>
      <c r="F56" s="74">
        <f>IF($A56&lt;=('Alternative 1'!$B$28), IF($A56=ROUNDDOWN('Alternative 1'!$B$28,0),0,F57+1),0)</f>
        <v>0</v>
      </c>
      <c r="G56" s="74">
        <f>IF($A56&lt;=('Alternative 1'!$B$29), IF($A56=ROUNDDOWN('Alternative 1'!$B$29,0),0,G57+1),0)</f>
        <v>0</v>
      </c>
      <c r="H56" s="89" t="e">
        <f t="shared" si="14"/>
        <v>#VALUE!</v>
      </c>
      <c r="J56" s="77">
        <f t="shared" si="15"/>
        <v>53</v>
      </c>
      <c r="K56" s="77">
        <f t="shared" si="16"/>
        <v>0.92502450355699462</v>
      </c>
      <c r="L56" s="78">
        <f>'Alternative 1'!$B$27*SIN(K56)+'Alternative 1'!$B$28*SIN(K56)+'Alternative 1'!$B$29*SIN(K56)</f>
        <v>54.307214683215911</v>
      </c>
      <c r="M56" s="77">
        <f>(('Alternative 1'!$B$27)*(((('Alternative 1'!$B$28-'Alternative 1'!$B$27)/2)+'Alternative 1'!$B$27)*'Alternative 1'!$B$39)*COS('Alternative 1-Tilt Up'!K56))+(('Alternative 1'!$B$28)*((('Alternative 1'!$B$28-'Alternative 1'!$B$27)/2)+(('Alternative 1'!$B$29-'Alternative 1'!$B$28)/2))*('Alternative 1'!$B$39)*COS('Alternative 1-Tilt Up'!K56))+(('Alternative 1'!$B$29)*((('Alternative 1'!$B$12-'Alternative 1'!$B$29+(('Alternative 1'!$B$29-'Alternative 1'!$B$28)/2)*('Alternative 1'!$B$39)*COS('Alternative 1-Tilt Up'!K56)))))</f>
        <v>2856359.6552744671</v>
      </c>
      <c r="N56" s="77">
        <f t="shared" si="0"/>
        <v>157788.96074505814</v>
      </c>
      <c r="O56" s="77">
        <f>(((('Alternative 1'!$B$28-'Alternative 1'!$B$27)/2)+'Alternative 1'!$B$27)*('Alternative 1'!$B$39)*COS('Alternative 1-Tilt Up'!K56))+(((('Alternative 1'!$B$28-'Alternative 1'!$B$27)/2)+(('Alternative 1'!$B$29-'Alternative 1'!$B$28)/2))*('Alternative 1'!$B$39)*COS('Alternative 1-Tilt Up'!K56))+(((('Alternative 1'!$B$12-'Alternative 1'!$B$29)+(('Alternative 1'!$B$29-'Alternative 1'!$B$28)/2))*('Alternative 1'!$B$39)*COS('Alternative 1-Tilt Up'!K56)))</f>
        <v>184227.55869283422</v>
      </c>
      <c r="P56" s="77">
        <f t="shared" si="1"/>
        <v>94959.76706392481</v>
      </c>
      <c r="R56" s="78" t="e">
        <f>'Alternative 1'!$B$39*$B56*$C56*COS($K$5)-($N$5/3)*$E56*SIN($K$5)-($N$5/3)*$F56*SIN($K$5)-($N$5/3)*$G56*SIN($K$5)</f>
        <v>#VALUE!</v>
      </c>
      <c r="S56" s="79" t="e">
        <f>IF(($A56&lt;'Alternative 1'!$B$27),(($H56*'Alternative 1'!$B$39)+(3*($N$5/3)*COS($K$5))),IF(($A56&lt;'Alternative 1'!$B$28),(($H56*'Alternative 1'!$B$39)+(2*(($N$5/3)*COS($K$5)))),IF(($A56&lt;'Alternative 1'!$B$29),(($H$3*'Alternative 1'!$B$39+(($N$5/3)*COS($K$5)))),($H56*'Alternative 1'!$B$39))))</f>
        <v>#VALUE!</v>
      </c>
      <c r="T56" s="78" t="e">
        <f>R56*'Alternative 1'!$K57/'Alternative 1'!$L57</f>
        <v>#VALUE!</v>
      </c>
      <c r="U56" s="78" t="e">
        <f>S56/'Alternative 1'!$M57</f>
        <v>#VALUE!</v>
      </c>
      <c r="V56" s="78" t="e">
        <f t="shared" si="2"/>
        <v>#VALUE!</v>
      </c>
      <c r="X56" s="78" t="e">
        <f>'Alternative 1'!$B$39*$B56*$C56*COS($K$13)-($N$12/3)*$E56*SIN($K$13)-($N$12/3)*$F56*SIN($K$13)-($N$12/3)*$G56*SIN($K$13)</f>
        <v>#VALUE!</v>
      </c>
      <c r="Y56" s="79" t="e">
        <f>IF(($A56&lt;'Alternative 1'!$B$27),(($H56*'Alternative 1'!$B$39)+(3*($N$12/3)*COS($K$13))),IF(($A56&lt;'Alternative 1'!$B$28),(($H56*'Alternative 1'!$B$39)+(2*(($N$12/3)*COS($K$13)))),IF(($A56&lt;'Alternative 1'!$B$29),(($H$3*'Alternative 1'!$B$39+(($N$12/3)*COS($K$13)))),($H56*'Alternative 1'!$B$39))))</f>
        <v>#VALUE!</v>
      </c>
      <c r="Z56" s="78" t="e">
        <f>X56*'Alternative 1'!$K57/'Alternative 1'!$L57</f>
        <v>#VALUE!</v>
      </c>
      <c r="AA56" s="78" t="e">
        <f>Y56/'Alternative 1'!$M57</f>
        <v>#VALUE!</v>
      </c>
      <c r="AB56" s="78" t="e">
        <f t="shared" si="3"/>
        <v>#VALUE!</v>
      </c>
      <c r="AD56" s="78" t="e">
        <f>'Alternative 1'!$B$39*$B56*$C56*COS($K$23)-($N$22/3)*$E56*SIN($K$23)-($N$22/3)*$F56*SIN($K$23)-($N$22/3)*$G56*SIN($K$23)</f>
        <v>#VALUE!</v>
      </c>
      <c r="AE56" s="79" t="e">
        <f>IF(($A56&lt;'Alternative 1'!$B$27),(($H56*'Alternative 1'!$B$39)+(3*($N$22/3)*COS($K$23))),IF(($A56&lt;'Alternative 1'!$B$28),(($H56*'Alternative 1'!$B$39)+(2*(($N$22/3)*COS($K$23)))),IF(($A56&lt;'Alternative 1'!$B$29),(($H$3*'Alternative 1'!$B$39+(($N$22/3)*COS($K$23)))),($H56*'Alternative 1'!$B$39))))</f>
        <v>#VALUE!</v>
      </c>
      <c r="AF56" s="78" t="e">
        <f>AD56*'Alternative 1'!$K57/'Alternative 1'!$L57</f>
        <v>#VALUE!</v>
      </c>
      <c r="AG56" s="78" t="e">
        <f>AE56/'Alternative 1'!$M57</f>
        <v>#VALUE!</v>
      </c>
      <c r="AH56" s="78" t="e">
        <f t="shared" si="4"/>
        <v>#VALUE!</v>
      </c>
      <c r="AJ56" s="78" t="e">
        <f>'Alternative 1'!$B$39*$B56*$C56*COS($K$33)-($N$32/3)*$E56*SIN($K$33)-($N$32/3)*$F56*SIN($K$33)-($N$32/3)*$G56*SIN($K$33)</f>
        <v>#VALUE!</v>
      </c>
      <c r="AK56" s="79" t="e">
        <f>IF(($A56&lt;'Alternative 1'!$B$27),(($H56*'Alternative 1'!$B$39)+(3*($N$32/3)*COS($K$33))),IF(($A56&lt;'Alternative 1'!$B$28),(($H56*'Alternative 1'!$B$39)+(2*(($N$32/3)*COS($K$33)))),IF(($A56&lt;'Alternative 1'!$B$29),(($H$3*'Alternative 1'!$B$39+(($N$32/3)*COS($K$33)))),($H56*'Alternative 1'!$B$39))))</f>
        <v>#VALUE!</v>
      </c>
      <c r="AL56" s="78" t="e">
        <f>AJ56*'Alternative 1'!$K57/'Alternative 1'!$L57</f>
        <v>#VALUE!</v>
      </c>
      <c r="AM56" s="78" t="e">
        <f>AK56/'Alternative 1'!$M57</f>
        <v>#VALUE!</v>
      </c>
      <c r="AN56" s="78" t="e">
        <f t="shared" si="5"/>
        <v>#VALUE!</v>
      </c>
      <c r="AP56" s="78" t="e">
        <f>'Alternative 1'!$B$39*$B56*$C56*COS($K$43)-($N$42/3)*$E56*SIN($K$43)-($N$42/3)*$F56*SIN($K$43)-($N$42/3)*$G56*SIN($K$43)</f>
        <v>#VALUE!</v>
      </c>
      <c r="AQ56" s="79" t="e">
        <f>IF(($A56&lt;'Alternative 1'!$B$27),(($H56*'Alternative 1'!$B$39)+(3*($N$42/3)*COS($K$43))),IF(($A56&lt;'Alternative 1'!$B$28),(($H56*'Alternative 1'!$B$39)+(2*(($N$42/3)*COS($K$43)))),IF(($A56&lt;'Alternative 1'!$B$29),(($H$3*'Alternative 1'!$B$39+(($N$42/3)*COS($K$43)))),($H56*'Alternative 1'!$B$39))))</f>
        <v>#VALUE!</v>
      </c>
      <c r="AR56" s="78" t="e">
        <f>AP56*'Alternative 1'!$K57/'Alternative 1'!$L57</f>
        <v>#VALUE!</v>
      </c>
      <c r="AS56" s="78" t="e">
        <f>AQ56/'Alternative 1'!$M57</f>
        <v>#VALUE!</v>
      </c>
      <c r="AT56" s="78" t="e">
        <f t="shared" si="6"/>
        <v>#VALUE!</v>
      </c>
      <c r="AV56" s="78" t="e">
        <f>'Alternative 1'!$B$39*$B56*$C56*COS($K$53)-($N$52/3)*$E56*SIN($K$53)-($N$52/3)*$F56*SIN($K$53)-($N$52/3)*$G56*SIN($K$53)</f>
        <v>#VALUE!</v>
      </c>
      <c r="AW56" s="79" t="e">
        <f>IF(($A56&lt;'Alternative 1'!$B$27),(($H56*'Alternative 1'!$B$39)+(3*($N$52/3)*COS($K$53))),IF(($A56&lt;'Alternative 1'!$B$28),(($H56*'Alternative 1'!$B$39)+(2*(($N$52/3)*COS($K$53)))),IF(($A56&lt;'Alternative 1'!$B$29),(($H$3*'Alternative 1'!$B$39+(($N$52/3)*COS($K$53)))),($H56*'Alternative 1'!$B$39))))</f>
        <v>#VALUE!</v>
      </c>
      <c r="AX56" s="78" t="e">
        <f>AV56*'Alternative 1'!$K57/'Alternative 1'!$L57</f>
        <v>#VALUE!</v>
      </c>
      <c r="AY56" s="78" t="e">
        <f>AW56/'Alternative 1'!$M57</f>
        <v>#VALUE!</v>
      </c>
      <c r="AZ56" s="78" t="e">
        <f t="shared" si="7"/>
        <v>#VALUE!</v>
      </c>
      <c r="BB56" s="78" t="e">
        <f>'Alternative 1'!$B$39*$B56*$C56*COS($K$63)-($N$62/3)*$E56*SIN($K$63)-($N$62/3)*$F56*SIN($K$63)-($N$62/3)*$G56*SIN($K$63)</f>
        <v>#VALUE!</v>
      </c>
      <c r="BC56" s="79" t="e">
        <f>IF(($A56&lt;'Alternative 1'!$B$27),(($H56*'Alternative 1'!$B$39)+(3*($N$62/3)*COS($K$63))),IF(($A56&lt;'Alternative 1'!$B$28),(($H56*'Alternative 1'!$B$39)+(2*(($N$62/3)*COS($K$63)))),IF(($A56&lt;'Alternative 1'!$B$29),(($H$3*'Alternative 1'!$B$39+(($N$62/3)*COS($K$63)))),($H56*'Alternative 1'!$B$39))))</f>
        <v>#VALUE!</v>
      </c>
      <c r="BD56" s="78" t="e">
        <f>BB56*'Alternative 1'!$K57/'Alternative 1'!$L57</f>
        <v>#VALUE!</v>
      </c>
      <c r="BE56" s="78" t="e">
        <f>BC56/'Alternative 1'!$M57</f>
        <v>#VALUE!</v>
      </c>
      <c r="BF56" s="78" t="e">
        <f t="shared" si="8"/>
        <v>#VALUE!</v>
      </c>
      <c r="BH56" s="78" t="e">
        <f>'Alternative 1'!$B$39*$B56*$C56*COS($K$73)-($N$72/3)*$E56*SIN($K$73)-($N$72/3)*$F56*SIN($K$73)-($N$72/3)*$G56*SIN($K$73)</f>
        <v>#VALUE!</v>
      </c>
      <c r="BI56" s="79" t="e">
        <f>IF(($A56&lt;'Alternative 1'!$B$27),(($H56*'Alternative 1'!$B$39)+(3*($N$72/3)*COS($K$73))),IF(($A56&lt;'Alternative 1'!$B$28),(($H56*'Alternative 1'!$B$39)+(2*(($N$72/3)*COS($K$73)))),IF(($A56&lt;'Alternative 1'!$B$29),(($H$3*'Alternative 1'!$B$39+(($N$72/3)*COS($K$73)))),($H56*'Alternative 1'!$B$39))))</f>
        <v>#VALUE!</v>
      </c>
      <c r="BJ56" s="78" t="e">
        <f>BH56*'Alternative 1'!$K57/'Alternative 1'!$L57</f>
        <v>#VALUE!</v>
      </c>
      <c r="BK56" s="78" t="e">
        <f>BI56/'Alternative 1'!$M57</f>
        <v>#VALUE!</v>
      </c>
      <c r="BL56" s="78" t="e">
        <f t="shared" si="9"/>
        <v>#VALUE!</v>
      </c>
      <c r="BN56" s="78" t="e">
        <f>'Alternative 1'!$B$39*$B56*$C56*COS($K$83)-($N$82/3)*$E56*SIN($K$83)-($N$82/3)*$F56*SIN($K$83)-($N$82/3)*$G56*SIN($K$83)</f>
        <v>#VALUE!</v>
      </c>
      <c r="BO56" s="79" t="e">
        <f>IF(($A56&lt;'Alternative 1'!$B$27),(($H56*'Alternative 1'!$B$39)+(3*($N$82/3)*COS($K$83))),IF(($A56&lt;'Alternative 1'!$B$28),(($H56*'Alternative 1'!$B$39)+(2*(($N$82/3)*COS($K$83)))),IF(($A56&lt;'Alternative 1'!$B$29),(($H$3*'Alternative 1'!$B$39+(($N$82/3)*COS($K$83)))),($H56*'Alternative 1'!$B$39))))</f>
        <v>#VALUE!</v>
      </c>
      <c r="BP56" s="78" t="e">
        <f>BN56*'Alternative 1'!$K57/'Alternative 1'!$L57</f>
        <v>#VALUE!</v>
      </c>
      <c r="BQ56" s="78" t="e">
        <f>BO56/'Alternative 1'!$M57</f>
        <v>#VALUE!</v>
      </c>
      <c r="BR56" s="78" t="e">
        <f t="shared" si="10"/>
        <v>#VALUE!</v>
      </c>
      <c r="BT56" s="78" t="e">
        <f>'Alternative 1'!$B$39*$B56*$C56*COS($K$93)-($K$92/3)*$E56*SIN($K$93)-($K$92/3)*$F56*SIN($K$93)-($K$92/3)*$G56*SIN($K$93)</f>
        <v>#VALUE!</v>
      </c>
      <c r="BU56" s="79" t="e">
        <f>IF(($A56&lt;'Alternative 1'!$B$27),(($H56*'Alternative 1'!$B$39)+(3*($N$92/3)*COS($K$93))),IF(($A56&lt;'Alternative 1'!$B$28),(($H56*'Alternative 1'!$B$39)+(2*(($N$92/3)*COS($K$93)))),IF(($A56&lt;'Alternative 1'!$B$29),(($H$3*'Alternative 1'!$B$39+(($N$92/3)*COS($K$93)))),($H56*'Alternative 1'!$B$39))))</f>
        <v>#VALUE!</v>
      </c>
      <c r="BV56" s="78" t="e">
        <f>BT56*'Alternative 1'!$K57/'Alternative 1'!$L57</f>
        <v>#VALUE!</v>
      </c>
      <c r="BW56" s="78" t="e">
        <f>BU56/'Alternative 1'!$M57</f>
        <v>#VALUE!</v>
      </c>
      <c r="BX56" s="78" t="e">
        <f t="shared" si="11"/>
        <v>#VALUE!</v>
      </c>
      <c r="BZ56" s="77">
        <v>150</v>
      </c>
      <c r="CA56" s="77">
        <v>-150</v>
      </c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281"/>
      <c r="CZ56" s="281"/>
      <c r="DA56" s="281"/>
      <c r="DB56" s="281"/>
      <c r="DC56" s="281"/>
      <c r="DD56" s="281"/>
      <c r="DE56" s="281"/>
      <c r="DF56" s="281"/>
      <c r="DG56" s="281"/>
      <c r="DH56" s="281"/>
      <c r="DI56" s="281"/>
      <c r="DJ56" s="281"/>
      <c r="DK56" s="281"/>
    </row>
    <row r="57" spans="1:115" ht="15" customHeight="1" x14ac:dyDescent="0.25">
      <c r="A57" s="89" t="str">
        <f>IF('Alternative 1'!F58&gt;0,'Alternative 1'!F58,"x")</f>
        <v>x</v>
      </c>
      <c r="B57" s="89" t="e">
        <f t="shared" si="17"/>
        <v>#VALUE!</v>
      </c>
      <c r="C57" s="89">
        <f t="shared" si="12"/>
        <v>0</v>
      </c>
      <c r="D57" s="89" t="str">
        <f t="shared" si="13"/>
        <v>x</v>
      </c>
      <c r="E57" s="74">
        <f>IF($A57&lt;='Alternative 1'!$B$27, IF($A57='Alternative 1'!$B$27,0,E58+1),0)</f>
        <v>0</v>
      </c>
      <c r="F57" s="74">
        <f>IF($A57&lt;=('Alternative 1'!$B$28), IF($A57=ROUNDDOWN('Alternative 1'!$B$28,0),0,F58+1),0)</f>
        <v>0</v>
      </c>
      <c r="G57" s="74">
        <f>IF($A57&lt;=('Alternative 1'!$B$29), IF($A57=ROUNDDOWN('Alternative 1'!$B$29,0),0,G58+1),0)</f>
        <v>0</v>
      </c>
      <c r="H57" s="89" t="e">
        <f t="shared" si="14"/>
        <v>#VALUE!</v>
      </c>
      <c r="J57" s="77">
        <f t="shared" si="15"/>
        <v>54</v>
      </c>
      <c r="K57" s="77">
        <f t="shared" si="16"/>
        <v>0.94247779607693793</v>
      </c>
      <c r="L57" s="78">
        <f>'Alternative 1'!$B$27*SIN(K57)+'Alternative 1'!$B$28*SIN(K57)+'Alternative 1'!$B$29*SIN(K57)</f>
        <v>55.013155617496423</v>
      </c>
      <c r="M57" s="77">
        <f>(('Alternative 1'!$B$27)*(((('Alternative 1'!$B$28-'Alternative 1'!$B$27)/2)+'Alternative 1'!$B$27)*'Alternative 1'!$B$39)*COS('Alternative 1-Tilt Up'!K57))+(('Alternative 1'!$B$28)*((('Alternative 1'!$B$28-'Alternative 1'!$B$27)/2)+(('Alternative 1'!$B$29-'Alternative 1'!$B$28)/2))*('Alternative 1'!$B$39)*COS('Alternative 1-Tilt Up'!K57))+(('Alternative 1'!$B$29)*((('Alternative 1'!$B$12-'Alternative 1'!$B$29+(('Alternative 1'!$B$29-'Alternative 1'!$B$28)/2)*('Alternative 1'!$B$39)*COS('Alternative 1-Tilt Up'!K57)))))</f>
        <v>2789775.530161316</v>
      </c>
      <c r="N57" s="77">
        <f t="shared" si="0"/>
        <v>152133.18517256918</v>
      </c>
      <c r="O57" s="77">
        <f>(((('Alternative 1'!$B$28-'Alternative 1'!$B$27)/2)+'Alternative 1'!$B$27)*('Alternative 1'!$B$39)*COS('Alternative 1-Tilt Up'!K57))+(((('Alternative 1'!$B$28-'Alternative 1'!$B$27)/2)+(('Alternative 1'!$B$29-'Alternative 1'!$B$28)/2))*('Alternative 1'!$B$39)*COS('Alternative 1-Tilt Up'!K57))+(((('Alternative 1'!$B$12-'Alternative 1'!$B$29)+(('Alternative 1'!$B$29-'Alternative 1'!$B$28)/2))*('Alternative 1'!$B$39)*COS('Alternative 1-Tilt Up'!K57)))</f>
        <v>179932.76654733071</v>
      </c>
      <c r="P57" s="77">
        <f t="shared" si="1"/>
        <v>89421.642628716116</v>
      </c>
      <c r="R57" s="78" t="e">
        <f>'Alternative 1'!$B$39*$B57*$C57*COS($K$5)-($N$5/3)*$E57*SIN($K$5)-($N$5/3)*$F57*SIN($K$5)-($N$5/3)*$G57*SIN($K$5)</f>
        <v>#VALUE!</v>
      </c>
      <c r="S57" s="79" t="e">
        <f>IF(($A57&lt;'Alternative 1'!$B$27),(($H57*'Alternative 1'!$B$39)+(3*($N$5/3)*COS($K$5))),IF(($A57&lt;'Alternative 1'!$B$28),(($H57*'Alternative 1'!$B$39)+(2*(($N$5/3)*COS($K$5)))),IF(($A57&lt;'Alternative 1'!$B$29),(($H$3*'Alternative 1'!$B$39+(($N$5/3)*COS($K$5)))),($H57*'Alternative 1'!$B$39))))</f>
        <v>#VALUE!</v>
      </c>
      <c r="T57" s="78" t="e">
        <f>R57*'Alternative 1'!$K58/'Alternative 1'!$L58</f>
        <v>#VALUE!</v>
      </c>
      <c r="U57" s="78" t="e">
        <f>S57/'Alternative 1'!$M58</f>
        <v>#VALUE!</v>
      </c>
      <c r="V57" s="78" t="e">
        <f t="shared" si="2"/>
        <v>#VALUE!</v>
      </c>
      <c r="X57" s="78" t="e">
        <f>'Alternative 1'!$B$39*$B57*$C57*COS($K$13)-($N$12/3)*$E57*SIN($K$13)-($N$12/3)*$F57*SIN($K$13)-($N$12/3)*$G57*SIN($K$13)</f>
        <v>#VALUE!</v>
      </c>
      <c r="Y57" s="79" t="e">
        <f>IF(($A57&lt;'Alternative 1'!$B$27),(($H57*'Alternative 1'!$B$39)+(3*($N$12/3)*COS($K$13))),IF(($A57&lt;'Alternative 1'!$B$28),(($H57*'Alternative 1'!$B$39)+(2*(($N$12/3)*COS($K$13)))),IF(($A57&lt;'Alternative 1'!$B$29),(($H$3*'Alternative 1'!$B$39+(($N$12/3)*COS($K$13)))),($H57*'Alternative 1'!$B$39))))</f>
        <v>#VALUE!</v>
      </c>
      <c r="Z57" s="78" t="e">
        <f>X57*'Alternative 1'!$K58/'Alternative 1'!$L58</f>
        <v>#VALUE!</v>
      </c>
      <c r="AA57" s="78" t="e">
        <f>Y57/'Alternative 1'!$M58</f>
        <v>#VALUE!</v>
      </c>
      <c r="AB57" s="78" t="e">
        <f t="shared" si="3"/>
        <v>#VALUE!</v>
      </c>
      <c r="AD57" s="78" t="e">
        <f>'Alternative 1'!$B$39*$B57*$C57*COS($K$23)-($N$22/3)*$E57*SIN($K$23)-($N$22/3)*$F57*SIN($K$23)-($N$22/3)*$G57*SIN($K$23)</f>
        <v>#VALUE!</v>
      </c>
      <c r="AE57" s="79" t="e">
        <f>IF(($A57&lt;'Alternative 1'!$B$27),(($H57*'Alternative 1'!$B$39)+(3*($N$22/3)*COS($K$23))),IF(($A57&lt;'Alternative 1'!$B$28),(($H57*'Alternative 1'!$B$39)+(2*(($N$22/3)*COS($K$23)))),IF(($A57&lt;'Alternative 1'!$B$29),(($H$3*'Alternative 1'!$B$39+(($N$22/3)*COS($K$23)))),($H57*'Alternative 1'!$B$39))))</f>
        <v>#VALUE!</v>
      </c>
      <c r="AF57" s="78" t="e">
        <f>AD57*'Alternative 1'!$K58/'Alternative 1'!$L58</f>
        <v>#VALUE!</v>
      </c>
      <c r="AG57" s="78" t="e">
        <f>AE57/'Alternative 1'!$M58</f>
        <v>#VALUE!</v>
      </c>
      <c r="AH57" s="78" t="e">
        <f t="shared" si="4"/>
        <v>#VALUE!</v>
      </c>
      <c r="AJ57" s="78" t="e">
        <f>'Alternative 1'!$B$39*$B57*$C57*COS($K$33)-($N$32/3)*$E57*SIN($K$33)-($N$32/3)*$F57*SIN($K$33)-($N$32/3)*$G57*SIN($K$33)</f>
        <v>#VALUE!</v>
      </c>
      <c r="AK57" s="79" t="e">
        <f>IF(($A57&lt;'Alternative 1'!$B$27),(($H57*'Alternative 1'!$B$39)+(3*($N$32/3)*COS($K$33))),IF(($A57&lt;'Alternative 1'!$B$28),(($H57*'Alternative 1'!$B$39)+(2*(($N$32/3)*COS($K$33)))),IF(($A57&lt;'Alternative 1'!$B$29),(($H$3*'Alternative 1'!$B$39+(($N$32/3)*COS($K$33)))),($H57*'Alternative 1'!$B$39))))</f>
        <v>#VALUE!</v>
      </c>
      <c r="AL57" s="78" t="e">
        <f>AJ57*'Alternative 1'!$K58/'Alternative 1'!$L58</f>
        <v>#VALUE!</v>
      </c>
      <c r="AM57" s="78" t="e">
        <f>AK57/'Alternative 1'!$M58</f>
        <v>#VALUE!</v>
      </c>
      <c r="AN57" s="78" t="e">
        <f t="shared" si="5"/>
        <v>#VALUE!</v>
      </c>
      <c r="AP57" s="78" t="e">
        <f>'Alternative 1'!$B$39*$B57*$C57*COS($K$43)-($N$42/3)*$E57*SIN($K$43)-($N$42/3)*$F57*SIN($K$43)-($N$42/3)*$G57*SIN($K$43)</f>
        <v>#VALUE!</v>
      </c>
      <c r="AQ57" s="79" t="e">
        <f>IF(($A57&lt;'Alternative 1'!$B$27),(($H57*'Alternative 1'!$B$39)+(3*($N$42/3)*COS($K$43))),IF(($A57&lt;'Alternative 1'!$B$28),(($H57*'Alternative 1'!$B$39)+(2*(($N$42/3)*COS($K$43)))),IF(($A57&lt;'Alternative 1'!$B$29),(($H$3*'Alternative 1'!$B$39+(($N$42/3)*COS($K$43)))),($H57*'Alternative 1'!$B$39))))</f>
        <v>#VALUE!</v>
      </c>
      <c r="AR57" s="78" t="e">
        <f>AP57*'Alternative 1'!$K58/'Alternative 1'!$L58</f>
        <v>#VALUE!</v>
      </c>
      <c r="AS57" s="78" t="e">
        <f>AQ57/'Alternative 1'!$M58</f>
        <v>#VALUE!</v>
      </c>
      <c r="AT57" s="78" t="e">
        <f t="shared" si="6"/>
        <v>#VALUE!</v>
      </c>
      <c r="AV57" s="78" t="e">
        <f>'Alternative 1'!$B$39*$B57*$C57*COS($K$53)-($N$52/3)*$E57*SIN($K$53)-($N$52/3)*$F57*SIN($K$53)-($N$52/3)*$G57*SIN($K$53)</f>
        <v>#VALUE!</v>
      </c>
      <c r="AW57" s="79" t="e">
        <f>IF(($A57&lt;'Alternative 1'!$B$27),(($H57*'Alternative 1'!$B$39)+(3*($N$52/3)*COS($K$53))),IF(($A57&lt;'Alternative 1'!$B$28),(($H57*'Alternative 1'!$B$39)+(2*(($N$52/3)*COS($K$53)))),IF(($A57&lt;'Alternative 1'!$B$29),(($H$3*'Alternative 1'!$B$39+(($N$52/3)*COS($K$53)))),($H57*'Alternative 1'!$B$39))))</f>
        <v>#VALUE!</v>
      </c>
      <c r="AX57" s="78" t="e">
        <f>AV57*'Alternative 1'!$K58/'Alternative 1'!$L58</f>
        <v>#VALUE!</v>
      </c>
      <c r="AY57" s="78" t="e">
        <f>AW57/'Alternative 1'!$M58</f>
        <v>#VALUE!</v>
      </c>
      <c r="AZ57" s="78" t="e">
        <f t="shared" si="7"/>
        <v>#VALUE!</v>
      </c>
      <c r="BB57" s="78" t="e">
        <f>'Alternative 1'!$B$39*$B57*$C57*COS($K$63)-($N$62/3)*$E57*SIN($K$63)-($N$62/3)*$F57*SIN($K$63)-($N$62/3)*$G57*SIN($K$63)</f>
        <v>#VALUE!</v>
      </c>
      <c r="BC57" s="79" t="e">
        <f>IF(($A57&lt;'Alternative 1'!$B$27),(($H57*'Alternative 1'!$B$39)+(3*($N$62/3)*COS($K$63))),IF(($A57&lt;'Alternative 1'!$B$28),(($H57*'Alternative 1'!$B$39)+(2*(($N$62/3)*COS($K$63)))),IF(($A57&lt;'Alternative 1'!$B$29),(($H$3*'Alternative 1'!$B$39+(($N$62/3)*COS($K$63)))),($H57*'Alternative 1'!$B$39))))</f>
        <v>#VALUE!</v>
      </c>
      <c r="BD57" s="78" t="e">
        <f>BB57*'Alternative 1'!$K58/'Alternative 1'!$L58</f>
        <v>#VALUE!</v>
      </c>
      <c r="BE57" s="78" t="e">
        <f>BC57/'Alternative 1'!$M58</f>
        <v>#VALUE!</v>
      </c>
      <c r="BF57" s="78" t="e">
        <f t="shared" si="8"/>
        <v>#VALUE!</v>
      </c>
      <c r="BH57" s="78" t="e">
        <f>'Alternative 1'!$B$39*$B57*$C57*COS($K$73)-($N$72/3)*$E57*SIN($K$73)-($N$72/3)*$F57*SIN($K$73)-($N$72/3)*$G57*SIN($K$73)</f>
        <v>#VALUE!</v>
      </c>
      <c r="BI57" s="79" t="e">
        <f>IF(($A57&lt;'Alternative 1'!$B$27),(($H57*'Alternative 1'!$B$39)+(3*($N$72/3)*COS($K$73))),IF(($A57&lt;'Alternative 1'!$B$28),(($H57*'Alternative 1'!$B$39)+(2*(($N$72/3)*COS($K$73)))),IF(($A57&lt;'Alternative 1'!$B$29),(($H$3*'Alternative 1'!$B$39+(($N$72/3)*COS($K$73)))),($H57*'Alternative 1'!$B$39))))</f>
        <v>#VALUE!</v>
      </c>
      <c r="BJ57" s="78" t="e">
        <f>BH57*'Alternative 1'!$K58/'Alternative 1'!$L58</f>
        <v>#VALUE!</v>
      </c>
      <c r="BK57" s="78" t="e">
        <f>BI57/'Alternative 1'!$M58</f>
        <v>#VALUE!</v>
      </c>
      <c r="BL57" s="78" t="e">
        <f t="shared" si="9"/>
        <v>#VALUE!</v>
      </c>
      <c r="BN57" s="78" t="e">
        <f>'Alternative 1'!$B$39*$B57*$C57*COS($K$83)-($N$82/3)*$E57*SIN($K$83)-($N$82/3)*$F57*SIN($K$83)-($N$82/3)*$G57*SIN($K$83)</f>
        <v>#VALUE!</v>
      </c>
      <c r="BO57" s="79" t="e">
        <f>IF(($A57&lt;'Alternative 1'!$B$27),(($H57*'Alternative 1'!$B$39)+(3*($N$82/3)*COS($K$83))),IF(($A57&lt;'Alternative 1'!$B$28),(($H57*'Alternative 1'!$B$39)+(2*(($N$82/3)*COS($K$83)))),IF(($A57&lt;'Alternative 1'!$B$29),(($H$3*'Alternative 1'!$B$39+(($N$82/3)*COS($K$83)))),($H57*'Alternative 1'!$B$39))))</f>
        <v>#VALUE!</v>
      </c>
      <c r="BP57" s="78" t="e">
        <f>BN57*'Alternative 1'!$K58/'Alternative 1'!$L58</f>
        <v>#VALUE!</v>
      </c>
      <c r="BQ57" s="78" t="e">
        <f>BO57/'Alternative 1'!$M58</f>
        <v>#VALUE!</v>
      </c>
      <c r="BR57" s="78" t="e">
        <f t="shared" si="10"/>
        <v>#VALUE!</v>
      </c>
      <c r="BT57" s="78" t="e">
        <f>'Alternative 1'!$B$39*$B57*$C57*COS($K$93)-($K$92/3)*$E57*SIN($K$93)-($K$92/3)*$F57*SIN($K$93)-($K$92/3)*$G57*SIN($K$93)</f>
        <v>#VALUE!</v>
      </c>
      <c r="BU57" s="79" t="e">
        <f>IF(($A57&lt;'Alternative 1'!$B$27),(($H57*'Alternative 1'!$B$39)+(3*($N$92/3)*COS($K$93))),IF(($A57&lt;'Alternative 1'!$B$28),(($H57*'Alternative 1'!$B$39)+(2*(($N$92/3)*COS($K$93)))),IF(($A57&lt;'Alternative 1'!$B$29),(($H$3*'Alternative 1'!$B$39+(($N$92/3)*COS($K$93)))),($H57*'Alternative 1'!$B$39))))</f>
        <v>#VALUE!</v>
      </c>
      <c r="BV57" s="78" t="e">
        <f>BT57*'Alternative 1'!$K58/'Alternative 1'!$L58</f>
        <v>#VALUE!</v>
      </c>
      <c r="BW57" s="78" t="e">
        <f>BU57/'Alternative 1'!$M58</f>
        <v>#VALUE!</v>
      </c>
      <c r="BX57" s="78" t="e">
        <f t="shared" si="11"/>
        <v>#VALUE!</v>
      </c>
      <c r="BZ57" s="77">
        <v>150</v>
      </c>
      <c r="CA57" s="77">
        <v>-150</v>
      </c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</row>
    <row r="58" spans="1:115" ht="15" customHeight="1" x14ac:dyDescent="0.25">
      <c r="A58" s="89" t="str">
        <f>IF('Alternative 1'!F59&gt;0,'Alternative 1'!F59,"x")</f>
        <v>x</v>
      </c>
      <c r="B58" s="89" t="e">
        <f t="shared" si="17"/>
        <v>#VALUE!</v>
      </c>
      <c r="C58" s="89">
        <f t="shared" si="12"/>
        <v>0</v>
      </c>
      <c r="D58" s="89" t="str">
        <f t="shared" si="13"/>
        <v>x</v>
      </c>
      <c r="E58" s="74">
        <f>IF($A58&lt;='Alternative 1'!$B$27, IF($A58='Alternative 1'!$B$27,0,E59+1),0)</f>
        <v>0</v>
      </c>
      <c r="F58" s="74">
        <f>IF($A58&lt;=('Alternative 1'!$B$28), IF($A58=ROUNDDOWN('Alternative 1'!$B$28,0),0,F59+1),0)</f>
        <v>0</v>
      </c>
      <c r="G58" s="74">
        <f>IF($A58&lt;=('Alternative 1'!$B$29), IF($A58=ROUNDDOWN('Alternative 1'!$B$29,0),0,G59+1),0)</f>
        <v>0</v>
      </c>
      <c r="H58" s="89" t="e">
        <f t="shared" si="14"/>
        <v>#VALUE!</v>
      </c>
      <c r="J58" s="77">
        <f t="shared" si="15"/>
        <v>55</v>
      </c>
      <c r="K58" s="77">
        <f t="shared" si="16"/>
        <v>0.95993108859688125</v>
      </c>
      <c r="L58" s="78">
        <f>'Alternative 1'!$B$27*SIN(K58)+'Alternative 1'!$B$28*SIN(K58)+'Alternative 1'!$B$29*SIN(K58)</f>
        <v>55.702339011651446</v>
      </c>
      <c r="M58" s="77">
        <f>(('Alternative 1'!$B$27)*(((('Alternative 1'!$B$28-'Alternative 1'!$B$27)/2)+'Alternative 1'!$B$27)*'Alternative 1'!$B$39)*COS('Alternative 1-Tilt Up'!K58))+(('Alternative 1'!$B$28)*((('Alternative 1'!$B$28-'Alternative 1'!$B$27)/2)+(('Alternative 1'!$B$29-'Alternative 1'!$B$28)/2))*('Alternative 1'!$B$39)*COS('Alternative 1-Tilt Up'!K58))+(('Alternative 1'!$B$29)*((('Alternative 1'!$B$12-'Alternative 1'!$B$29+(('Alternative 1'!$B$29-'Alternative 1'!$B$28)/2)*('Alternative 1'!$B$39)*COS('Alternative 1-Tilt Up'!K58)))))</f>
        <v>2722341.6719876439</v>
      </c>
      <c r="N58" s="77">
        <f t="shared" si="0"/>
        <v>146619.06772450989</v>
      </c>
      <c r="O58" s="77">
        <f>(((('Alternative 1'!$B$28-'Alternative 1'!$B$27)/2)+'Alternative 1'!$B$27)*('Alternative 1'!$B$39)*COS('Alternative 1-Tilt Up'!K58))+(((('Alternative 1'!$B$28-'Alternative 1'!$B$27)/2)+(('Alternative 1'!$B$29-'Alternative 1'!$B$28)/2))*('Alternative 1'!$B$39)*COS('Alternative 1-Tilt Up'!K58))+(((('Alternative 1'!$B$12-'Alternative 1'!$B$29)+(('Alternative 1'!$B$29-'Alternative 1'!$B$28)/2))*('Alternative 1'!$B$39)*COS('Alternative 1-Tilt Up'!K58)))</f>
        <v>175583.16513808913</v>
      </c>
      <c r="P58" s="77">
        <f t="shared" si="1"/>
        <v>84097.242366537073</v>
      </c>
      <c r="R58" s="78" t="e">
        <f>'Alternative 1'!$B$39*$B58*$C58*COS($K$5)-($N$5/3)*$E58*SIN($K$5)-($N$5/3)*$F58*SIN($K$5)-($N$5/3)*$G58*SIN($K$5)</f>
        <v>#VALUE!</v>
      </c>
      <c r="S58" s="79" t="e">
        <f>IF(($A58&lt;'Alternative 1'!$B$27),(($H58*'Alternative 1'!$B$39)+(3*($N$5/3)*COS($K$5))),IF(($A58&lt;'Alternative 1'!$B$28),(($H58*'Alternative 1'!$B$39)+(2*(($N$5/3)*COS($K$5)))),IF(($A58&lt;'Alternative 1'!$B$29),(($H$3*'Alternative 1'!$B$39+(($N$5/3)*COS($K$5)))),($H58*'Alternative 1'!$B$39))))</f>
        <v>#VALUE!</v>
      </c>
      <c r="T58" s="78" t="e">
        <f>R58*'Alternative 1'!$K59/'Alternative 1'!$L59</f>
        <v>#VALUE!</v>
      </c>
      <c r="U58" s="78" t="e">
        <f>S58/'Alternative 1'!$M59</f>
        <v>#VALUE!</v>
      </c>
      <c r="V58" s="78" t="e">
        <f t="shared" si="2"/>
        <v>#VALUE!</v>
      </c>
      <c r="X58" s="78" t="e">
        <f>'Alternative 1'!$B$39*$B58*$C58*COS($K$13)-($N$12/3)*$E58*SIN($K$13)-($N$12/3)*$F58*SIN($K$13)-($N$12/3)*$G58*SIN($K$13)</f>
        <v>#VALUE!</v>
      </c>
      <c r="Y58" s="79" t="e">
        <f>IF(($A58&lt;'Alternative 1'!$B$27),(($H58*'Alternative 1'!$B$39)+(3*($N$12/3)*COS($K$13))),IF(($A58&lt;'Alternative 1'!$B$28),(($H58*'Alternative 1'!$B$39)+(2*(($N$12/3)*COS($K$13)))),IF(($A58&lt;'Alternative 1'!$B$29),(($H$3*'Alternative 1'!$B$39+(($N$12/3)*COS($K$13)))),($H58*'Alternative 1'!$B$39))))</f>
        <v>#VALUE!</v>
      </c>
      <c r="Z58" s="78" t="e">
        <f>X58*'Alternative 1'!$K59/'Alternative 1'!$L59</f>
        <v>#VALUE!</v>
      </c>
      <c r="AA58" s="78" t="e">
        <f>Y58/'Alternative 1'!$M59</f>
        <v>#VALUE!</v>
      </c>
      <c r="AB58" s="78" t="e">
        <f t="shared" si="3"/>
        <v>#VALUE!</v>
      </c>
      <c r="AD58" s="78" t="e">
        <f>'Alternative 1'!$B$39*$B58*$C58*COS($K$23)-($N$22/3)*$E58*SIN($K$23)-($N$22/3)*$F58*SIN($K$23)-($N$22/3)*$G58*SIN($K$23)</f>
        <v>#VALUE!</v>
      </c>
      <c r="AE58" s="79" t="e">
        <f>IF(($A58&lt;'Alternative 1'!$B$27),(($H58*'Alternative 1'!$B$39)+(3*($N$22/3)*COS($K$23))),IF(($A58&lt;'Alternative 1'!$B$28),(($H58*'Alternative 1'!$B$39)+(2*(($N$22/3)*COS($K$23)))),IF(($A58&lt;'Alternative 1'!$B$29),(($H$3*'Alternative 1'!$B$39+(($N$22/3)*COS($K$23)))),($H58*'Alternative 1'!$B$39))))</f>
        <v>#VALUE!</v>
      </c>
      <c r="AF58" s="78" t="e">
        <f>AD58*'Alternative 1'!$K59/'Alternative 1'!$L59</f>
        <v>#VALUE!</v>
      </c>
      <c r="AG58" s="78" t="e">
        <f>AE58/'Alternative 1'!$M59</f>
        <v>#VALUE!</v>
      </c>
      <c r="AH58" s="78" t="e">
        <f t="shared" si="4"/>
        <v>#VALUE!</v>
      </c>
      <c r="AJ58" s="78" t="e">
        <f>'Alternative 1'!$B$39*$B58*$C58*COS($K$33)-($N$32/3)*$E58*SIN($K$33)-($N$32/3)*$F58*SIN($K$33)-($N$32/3)*$G58*SIN($K$33)</f>
        <v>#VALUE!</v>
      </c>
      <c r="AK58" s="79" t="e">
        <f>IF(($A58&lt;'Alternative 1'!$B$27),(($H58*'Alternative 1'!$B$39)+(3*($N$32/3)*COS($K$33))),IF(($A58&lt;'Alternative 1'!$B$28),(($H58*'Alternative 1'!$B$39)+(2*(($N$32/3)*COS($K$33)))),IF(($A58&lt;'Alternative 1'!$B$29),(($H$3*'Alternative 1'!$B$39+(($N$32/3)*COS($K$33)))),($H58*'Alternative 1'!$B$39))))</f>
        <v>#VALUE!</v>
      </c>
      <c r="AL58" s="78" t="e">
        <f>AJ58*'Alternative 1'!$K59/'Alternative 1'!$L59</f>
        <v>#VALUE!</v>
      </c>
      <c r="AM58" s="78" t="e">
        <f>AK58/'Alternative 1'!$M59</f>
        <v>#VALUE!</v>
      </c>
      <c r="AN58" s="78" t="e">
        <f t="shared" si="5"/>
        <v>#VALUE!</v>
      </c>
      <c r="AP58" s="78" t="e">
        <f>'Alternative 1'!$B$39*$B58*$C58*COS($K$43)-($N$42/3)*$E58*SIN($K$43)-($N$42/3)*$F58*SIN($K$43)-($N$42/3)*$G58*SIN($K$43)</f>
        <v>#VALUE!</v>
      </c>
      <c r="AQ58" s="79" t="e">
        <f>IF(($A58&lt;'Alternative 1'!$B$27),(($H58*'Alternative 1'!$B$39)+(3*($N$42/3)*COS($K$43))),IF(($A58&lt;'Alternative 1'!$B$28),(($H58*'Alternative 1'!$B$39)+(2*(($N$42/3)*COS($K$43)))),IF(($A58&lt;'Alternative 1'!$B$29),(($H$3*'Alternative 1'!$B$39+(($N$42/3)*COS($K$43)))),($H58*'Alternative 1'!$B$39))))</f>
        <v>#VALUE!</v>
      </c>
      <c r="AR58" s="78" t="e">
        <f>AP58*'Alternative 1'!$K59/'Alternative 1'!$L59</f>
        <v>#VALUE!</v>
      </c>
      <c r="AS58" s="78" t="e">
        <f>AQ58/'Alternative 1'!$M59</f>
        <v>#VALUE!</v>
      </c>
      <c r="AT58" s="78" t="e">
        <f t="shared" si="6"/>
        <v>#VALUE!</v>
      </c>
      <c r="AV58" s="78" t="e">
        <f>'Alternative 1'!$B$39*$B58*$C58*COS($K$53)-($N$52/3)*$E58*SIN($K$53)-($N$52/3)*$F58*SIN($K$53)-($N$52/3)*$G58*SIN($K$53)</f>
        <v>#VALUE!</v>
      </c>
      <c r="AW58" s="79" t="e">
        <f>IF(($A58&lt;'Alternative 1'!$B$27),(($H58*'Alternative 1'!$B$39)+(3*($N$52/3)*COS($K$53))),IF(($A58&lt;'Alternative 1'!$B$28),(($H58*'Alternative 1'!$B$39)+(2*(($N$52/3)*COS($K$53)))),IF(($A58&lt;'Alternative 1'!$B$29),(($H$3*'Alternative 1'!$B$39+(($N$52/3)*COS($K$53)))),($H58*'Alternative 1'!$B$39))))</f>
        <v>#VALUE!</v>
      </c>
      <c r="AX58" s="78" t="e">
        <f>AV58*'Alternative 1'!$K59/'Alternative 1'!$L59</f>
        <v>#VALUE!</v>
      </c>
      <c r="AY58" s="78" t="e">
        <f>AW58/'Alternative 1'!$M59</f>
        <v>#VALUE!</v>
      </c>
      <c r="AZ58" s="78" t="e">
        <f t="shared" si="7"/>
        <v>#VALUE!</v>
      </c>
      <c r="BB58" s="78" t="e">
        <f>'Alternative 1'!$B$39*$B58*$C58*COS($K$63)-($N$62/3)*$E58*SIN($K$63)-($N$62/3)*$F58*SIN($K$63)-($N$62/3)*$G58*SIN($K$63)</f>
        <v>#VALUE!</v>
      </c>
      <c r="BC58" s="79" t="e">
        <f>IF(($A58&lt;'Alternative 1'!$B$27),(($H58*'Alternative 1'!$B$39)+(3*($N$62/3)*COS($K$63))),IF(($A58&lt;'Alternative 1'!$B$28),(($H58*'Alternative 1'!$B$39)+(2*(($N$62/3)*COS($K$63)))),IF(($A58&lt;'Alternative 1'!$B$29),(($H$3*'Alternative 1'!$B$39+(($N$62/3)*COS($K$63)))),($H58*'Alternative 1'!$B$39))))</f>
        <v>#VALUE!</v>
      </c>
      <c r="BD58" s="78" t="e">
        <f>BB58*'Alternative 1'!$K59/'Alternative 1'!$L59</f>
        <v>#VALUE!</v>
      </c>
      <c r="BE58" s="78" t="e">
        <f>BC58/'Alternative 1'!$M59</f>
        <v>#VALUE!</v>
      </c>
      <c r="BF58" s="78" t="e">
        <f t="shared" si="8"/>
        <v>#VALUE!</v>
      </c>
      <c r="BH58" s="78" t="e">
        <f>'Alternative 1'!$B$39*$B58*$C58*COS($K$73)-($N$72/3)*$E58*SIN($K$73)-($N$72/3)*$F58*SIN($K$73)-($N$72/3)*$G58*SIN($K$73)</f>
        <v>#VALUE!</v>
      </c>
      <c r="BI58" s="79" t="e">
        <f>IF(($A58&lt;'Alternative 1'!$B$27),(($H58*'Alternative 1'!$B$39)+(3*($N$72/3)*COS($K$73))),IF(($A58&lt;'Alternative 1'!$B$28),(($H58*'Alternative 1'!$B$39)+(2*(($N$72/3)*COS($K$73)))),IF(($A58&lt;'Alternative 1'!$B$29),(($H$3*'Alternative 1'!$B$39+(($N$72/3)*COS($K$73)))),($H58*'Alternative 1'!$B$39))))</f>
        <v>#VALUE!</v>
      </c>
      <c r="BJ58" s="78" t="e">
        <f>BH58*'Alternative 1'!$K59/'Alternative 1'!$L59</f>
        <v>#VALUE!</v>
      </c>
      <c r="BK58" s="78" t="e">
        <f>BI58/'Alternative 1'!$M59</f>
        <v>#VALUE!</v>
      </c>
      <c r="BL58" s="78" t="e">
        <f t="shared" si="9"/>
        <v>#VALUE!</v>
      </c>
      <c r="BN58" s="78" t="e">
        <f>'Alternative 1'!$B$39*$B58*$C58*COS($K$83)-($N$82/3)*$E58*SIN($K$83)-($N$82/3)*$F58*SIN($K$83)-($N$82/3)*$G58*SIN($K$83)</f>
        <v>#VALUE!</v>
      </c>
      <c r="BO58" s="79" t="e">
        <f>IF(($A58&lt;'Alternative 1'!$B$27),(($H58*'Alternative 1'!$B$39)+(3*($N$82/3)*COS($K$83))),IF(($A58&lt;'Alternative 1'!$B$28),(($H58*'Alternative 1'!$B$39)+(2*(($N$82/3)*COS($K$83)))),IF(($A58&lt;'Alternative 1'!$B$29),(($H$3*'Alternative 1'!$B$39+(($N$82/3)*COS($K$83)))),($H58*'Alternative 1'!$B$39))))</f>
        <v>#VALUE!</v>
      </c>
      <c r="BP58" s="78" t="e">
        <f>BN58*'Alternative 1'!$K59/'Alternative 1'!$L59</f>
        <v>#VALUE!</v>
      </c>
      <c r="BQ58" s="78" t="e">
        <f>BO58/'Alternative 1'!$M59</f>
        <v>#VALUE!</v>
      </c>
      <c r="BR58" s="78" t="e">
        <f t="shared" si="10"/>
        <v>#VALUE!</v>
      </c>
      <c r="BT58" s="78" t="e">
        <f>'Alternative 1'!$B$39*$B58*$C58*COS($K$93)-($K$92/3)*$E58*SIN($K$93)-($K$92/3)*$F58*SIN($K$93)-($K$92/3)*$G58*SIN($K$93)</f>
        <v>#VALUE!</v>
      </c>
      <c r="BU58" s="79" t="e">
        <f>IF(($A58&lt;'Alternative 1'!$B$27),(($H58*'Alternative 1'!$B$39)+(3*($N$92/3)*COS($K$93))),IF(($A58&lt;'Alternative 1'!$B$28),(($H58*'Alternative 1'!$B$39)+(2*(($N$92/3)*COS($K$93)))),IF(($A58&lt;'Alternative 1'!$B$29),(($H$3*'Alternative 1'!$B$39+(($N$92/3)*COS($K$93)))),($H58*'Alternative 1'!$B$39))))</f>
        <v>#VALUE!</v>
      </c>
      <c r="BV58" s="78" t="e">
        <f>BT58*'Alternative 1'!$K59/'Alternative 1'!$L59</f>
        <v>#VALUE!</v>
      </c>
      <c r="BW58" s="78" t="e">
        <f>BU58/'Alternative 1'!$M59</f>
        <v>#VALUE!</v>
      </c>
      <c r="BX58" s="78" t="e">
        <f t="shared" si="11"/>
        <v>#VALUE!</v>
      </c>
      <c r="BZ58" s="77">
        <v>150</v>
      </c>
      <c r="CA58" s="77">
        <v>-150</v>
      </c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1"/>
      <c r="DC58" s="281"/>
      <c r="DD58" s="281"/>
      <c r="DE58" s="281"/>
      <c r="DF58" s="281"/>
      <c r="DG58" s="281"/>
      <c r="DH58" s="281"/>
      <c r="DI58" s="281"/>
      <c r="DJ58" s="281"/>
      <c r="DK58" s="281"/>
    </row>
    <row r="59" spans="1:115" ht="15" customHeight="1" x14ac:dyDescent="0.25">
      <c r="A59" s="89" t="str">
        <f>IF('Alternative 1'!F60&gt;0,'Alternative 1'!F60,"x")</f>
        <v>x</v>
      </c>
      <c r="B59" s="89" t="e">
        <f t="shared" si="17"/>
        <v>#VALUE!</v>
      </c>
      <c r="C59" s="89">
        <f t="shared" si="12"/>
        <v>0</v>
      </c>
      <c r="D59" s="89" t="str">
        <f t="shared" si="13"/>
        <v>x</v>
      </c>
      <c r="E59" s="74">
        <f>IF($A59&lt;='Alternative 1'!$B$27, IF($A59='Alternative 1'!$B$27,0,E60+1),0)</f>
        <v>0</v>
      </c>
      <c r="F59" s="74">
        <f>IF($A59&lt;=('Alternative 1'!$B$28), IF($A59=ROUNDDOWN('Alternative 1'!$B$28,0),0,F60+1),0)</f>
        <v>0</v>
      </c>
      <c r="G59" s="74">
        <f>IF($A59&lt;=('Alternative 1'!$B$29), IF($A59=ROUNDDOWN('Alternative 1'!$B$29,0),0,G60+1),0)</f>
        <v>0</v>
      </c>
      <c r="H59" s="89" t="e">
        <f t="shared" si="14"/>
        <v>#VALUE!</v>
      </c>
      <c r="J59" s="77">
        <f t="shared" si="15"/>
        <v>56</v>
      </c>
      <c r="K59" s="77">
        <f t="shared" si="16"/>
        <v>0.97738438111682457</v>
      </c>
      <c r="L59" s="78">
        <f>'Alternative 1'!$B$27*SIN(K59)+'Alternative 1'!$B$28*SIN(K59)+'Alternative 1'!$B$29*SIN(K59)</f>
        <v>56.374554933742843</v>
      </c>
      <c r="M59" s="77">
        <f>(('Alternative 1'!$B$27)*(((('Alternative 1'!$B$28-'Alternative 1'!$B$27)/2)+'Alternative 1'!$B$27)*'Alternative 1'!$B$39)*COS('Alternative 1-Tilt Up'!K59))+(('Alternative 1'!$B$28)*((('Alternative 1'!$B$28-'Alternative 1'!$B$27)/2)+(('Alternative 1'!$B$29-'Alternative 1'!$B$28)/2))*('Alternative 1'!$B$39)*COS('Alternative 1-Tilt Up'!K59))+(('Alternative 1'!$B$29)*((('Alternative 1'!$B$12-'Alternative 1'!$B$29+(('Alternative 1'!$B$29-'Alternative 1'!$B$28)/2)*('Alternative 1'!$B$39)*COS('Alternative 1-Tilt Up'!K59)))))</f>
        <v>2654078.6217598952</v>
      </c>
      <c r="N59" s="77">
        <f t="shared" si="0"/>
        <v>141238.11486649822</v>
      </c>
      <c r="O59" s="77">
        <f>(((('Alternative 1'!$B$28-'Alternative 1'!$B$27)/2)+'Alternative 1'!$B$27)*('Alternative 1'!$B$39)*COS('Alternative 1-Tilt Up'!K59))+(((('Alternative 1'!$B$28-'Alternative 1'!$B$27)/2)+(('Alternative 1'!$B$29-'Alternative 1'!$B$28)/2))*('Alternative 1'!$B$39)*COS('Alternative 1-Tilt Up'!K59))+(((('Alternative 1'!$B$12-'Alternative 1'!$B$29)+(('Alternative 1'!$B$29-'Alternative 1'!$B$28)/2))*('Alternative 1'!$B$39)*COS('Alternative 1-Tilt Up'!K59)))</f>
        <v>171180.07939583412</v>
      </c>
      <c r="P59" s="77">
        <f t="shared" si="1"/>
        <v>78979.351532931993</v>
      </c>
      <c r="R59" s="78" t="e">
        <f>'Alternative 1'!$B$39*$B59*$C59*COS($K$5)-($N$5/3)*$E59*SIN($K$5)-($N$5/3)*$F59*SIN($K$5)-($N$5/3)*$G59*SIN($K$5)</f>
        <v>#VALUE!</v>
      </c>
      <c r="S59" s="79" t="e">
        <f>IF(($A59&lt;'Alternative 1'!$B$27),(($H59*'Alternative 1'!$B$39)+(3*($N$5/3)*COS($K$5))),IF(($A59&lt;'Alternative 1'!$B$28),(($H59*'Alternative 1'!$B$39)+(2*(($N$5/3)*COS($K$5)))),IF(($A59&lt;'Alternative 1'!$B$29),(($H$3*'Alternative 1'!$B$39+(($N$5/3)*COS($K$5)))),($H59*'Alternative 1'!$B$39))))</f>
        <v>#VALUE!</v>
      </c>
      <c r="T59" s="78" t="e">
        <f>R59*'Alternative 1'!$K60/'Alternative 1'!$L60</f>
        <v>#VALUE!</v>
      </c>
      <c r="U59" s="78" t="e">
        <f>S59/'Alternative 1'!$M60</f>
        <v>#VALUE!</v>
      </c>
      <c r="V59" s="78" t="e">
        <f t="shared" si="2"/>
        <v>#VALUE!</v>
      </c>
      <c r="X59" s="78" t="e">
        <f>'Alternative 1'!$B$39*$B59*$C59*COS($K$13)-($N$12/3)*$E59*SIN($K$13)-($N$12/3)*$F59*SIN($K$13)-($N$12/3)*$G59*SIN($K$13)</f>
        <v>#VALUE!</v>
      </c>
      <c r="Y59" s="79" t="e">
        <f>IF(($A59&lt;'Alternative 1'!$B$27),(($H59*'Alternative 1'!$B$39)+(3*($N$12/3)*COS($K$13))),IF(($A59&lt;'Alternative 1'!$B$28),(($H59*'Alternative 1'!$B$39)+(2*(($N$12/3)*COS($K$13)))),IF(($A59&lt;'Alternative 1'!$B$29),(($H$3*'Alternative 1'!$B$39+(($N$12/3)*COS($K$13)))),($H59*'Alternative 1'!$B$39))))</f>
        <v>#VALUE!</v>
      </c>
      <c r="Z59" s="78" t="e">
        <f>X59*'Alternative 1'!$K60/'Alternative 1'!$L60</f>
        <v>#VALUE!</v>
      </c>
      <c r="AA59" s="78" t="e">
        <f>Y59/'Alternative 1'!$M60</f>
        <v>#VALUE!</v>
      </c>
      <c r="AB59" s="78" t="e">
        <f t="shared" si="3"/>
        <v>#VALUE!</v>
      </c>
      <c r="AD59" s="78" t="e">
        <f>'Alternative 1'!$B$39*$B59*$C59*COS($K$23)-($N$22/3)*$E59*SIN($K$23)-($N$22/3)*$F59*SIN($K$23)-($N$22/3)*$G59*SIN($K$23)</f>
        <v>#VALUE!</v>
      </c>
      <c r="AE59" s="79" t="e">
        <f>IF(($A59&lt;'Alternative 1'!$B$27),(($H59*'Alternative 1'!$B$39)+(3*($N$22/3)*COS($K$23))),IF(($A59&lt;'Alternative 1'!$B$28),(($H59*'Alternative 1'!$B$39)+(2*(($N$22/3)*COS($K$23)))),IF(($A59&lt;'Alternative 1'!$B$29),(($H$3*'Alternative 1'!$B$39+(($N$22/3)*COS($K$23)))),($H59*'Alternative 1'!$B$39))))</f>
        <v>#VALUE!</v>
      </c>
      <c r="AF59" s="78" t="e">
        <f>AD59*'Alternative 1'!$K60/'Alternative 1'!$L60</f>
        <v>#VALUE!</v>
      </c>
      <c r="AG59" s="78" t="e">
        <f>AE59/'Alternative 1'!$M60</f>
        <v>#VALUE!</v>
      </c>
      <c r="AH59" s="78" t="e">
        <f t="shared" si="4"/>
        <v>#VALUE!</v>
      </c>
      <c r="AJ59" s="78" t="e">
        <f>'Alternative 1'!$B$39*$B59*$C59*COS($K$33)-($N$32/3)*$E59*SIN($K$33)-($N$32/3)*$F59*SIN($K$33)-($N$32/3)*$G59*SIN($K$33)</f>
        <v>#VALUE!</v>
      </c>
      <c r="AK59" s="79" t="e">
        <f>IF(($A59&lt;'Alternative 1'!$B$27),(($H59*'Alternative 1'!$B$39)+(3*($N$32/3)*COS($K$33))),IF(($A59&lt;'Alternative 1'!$B$28),(($H59*'Alternative 1'!$B$39)+(2*(($N$32/3)*COS($K$33)))),IF(($A59&lt;'Alternative 1'!$B$29),(($H$3*'Alternative 1'!$B$39+(($N$32/3)*COS($K$33)))),($H59*'Alternative 1'!$B$39))))</f>
        <v>#VALUE!</v>
      </c>
      <c r="AL59" s="78" t="e">
        <f>AJ59*'Alternative 1'!$K60/'Alternative 1'!$L60</f>
        <v>#VALUE!</v>
      </c>
      <c r="AM59" s="78" t="e">
        <f>AK59/'Alternative 1'!$M60</f>
        <v>#VALUE!</v>
      </c>
      <c r="AN59" s="78" t="e">
        <f t="shared" si="5"/>
        <v>#VALUE!</v>
      </c>
      <c r="AP59" s="78" t="e">
        <f>'Alternative 1'!$B$39*$B59*$C59*COS($K$43)-($N$42/3)*$E59*SIN($K$43)-($N$42/3)*$F59*SIN($K$43)-($N$42/3)*$G59*SIN($K$43)</f>
        <v>#VALUE!</v>
      </c>
      <c r="AQ59" s="79" t="e">
        <f>IF(($A59&lt;'Alternative 1'!$B$27),(($H59*'Alternative 1'!$B$39)+(3*($N$42/3)*COS($K$43))),IF(($A59&lt;'Alternative 1'!$B$28),(($H59*'Alternative 1'!$B$39)+(2*(($N$42/3)*COS($K$43)))),IF(($A59&lt;'Alternative 1'!$B$29),(($H$3*'Alternative 1'!$B$39+(($N$42/3)*COS($K$43)))),($H59*'Alternative 1'!$B$39))))</f>
        <v>#VALUE!</v>
      </c>
      <c r="AR59" s="78" t="e">
        <f>AP59*'Alternative 1'!$K60/'Alternative 1'!$L60</f>
        <v>#VALUE!</v>
      </c>
      <c r="AS59" s="78" t="e">
        <f>AQ59/'Alternative 1'!$M60</f>
        <v>#VALUE!</v>
      </c>
      <c r="AT59" s="78" t="e">
        <f t="shared" si="6"/>
        <v>#VALUE!</v>
      </c>
      <c r="AV59" s="78" t="e">
        <f>'Alternative 1'!$B$39*$B59*$C59*COS($K$53)-($N$52/3)*$E59*SIN($K$53)-($N$52/3)*$F59*SIN($K$53)-($N$52/3)*$G59*SIN($K$53)</f>
        <v>#VALUE!</v>
      </c>
      <c r="AW59" s="79" t="e">
        <f>IF(($A59&lt;'Alternative 1'!$B$27),(($H59*'Alternative 1'!$B$39)+(3*($N$52/3)*COS($K$53))),IF(($A59&lt;'Alternative 1'!$B$28),(($H59*'Alternative 1'!$B$39)+(2*(($N$52/3)*COS($K$53)))),IF(($A59&lt;'Alternative 1'!$B$29),(($H$3*'Alternative 1'!$B$39+(($N$52/3)*COS($K$53)))),($H59*'Alternative 1'!$B$39))))</f>
        <v>#VALUE!</v>
      </c>
      <c r="AX59" s="78" t="e">
        <f>AV59*'Alternative 1'!$K60/'Alternative 1'!$L60</f>
        <v>#VALUE!</v>
      </c>
      <c r="AY59" s="78" t="e">
        <f>AW59/'Alternative 1'!$M60</f>
        <v>#VALUE!</v>
      </c>
      <c r="AZ59" s="78" t="e">
        <f t="shared" si="7"/>
        <v>#VALUE!</v>
      </c>
      <c r="BB59" s="78" t="e">
        <f>'Alternative 1'!$B$39*$B59*$C59*COS($K$63)-($N$62/3)*$E59*SIN($K$63)-($N$62/3)*$F59*SIN($K$63)-($N$62/3)*$G59*SIN($K$63)</f>
        <v>#VALUE!</v>
      </c>
      <c r="BC59" s="79" t="e">
        <f>IF(($A59&lt;'Alternative 1'!$B$27),(($H59*'Alternative 1'!$B$39)+(3*($N$62/3)*COS($K$63))),IF(($A59&lt;'Alternative 1'!$B$28),(($H59*'Alternative 1'!$B$39)+(2*(($N$62/3)*COS($K$63)))),IF(($A59&lt;'Alternative 1'!$B$29),(($H$3*'Alternative 1'!$B$39+(($N$62/3)*COS($K$63)))),($H59*'Alternative 1'!$B$39))))</f>
        <v>#VALUE!</v>
      </c>
      <c r="BD59" s="78" t="e">
        <f>BB59*'Alternative 1'!$K60/'Alternative 1'!$L60</f>
        <v>#VALUE!</v>
      </c>
      <c r="BE59" s="78" t="e">
        <f>BC59/'Alternative 1'!$M60</f>
        <v>#VALUE!</v>
      </c>
      <c r="BF59" s="78" t="e">
        <f t="shared" si="8"/>
        <v>#VALUE!</v>
      </c>
      <c r="BH59" s="78" t="e">
        <f>'Alternative 1'!$B$39*$B59*$C59*COS($K$73)-($N$72/3)*$E59*SIN($K$73)-($N$72/3)*$F59*SIN($K$73)-($N$72/3)*$G59*SIN($K$73)</f>
        <v>#VALUE!</v>
      </c>
      <c r="BI59" s="79" t="e">
        <f>IF(($A59&lt;'Alternative 1'!$B$27),(($H59*'Alternative 1'!$B$39)+(3*($N$72/3)*COS($K$73))),IF(($A59&lt;'Alternative 1'!$B$28),(($H59*'Alternative 1'!$B$39)+(2*(($N$72/3)*COS($K$73)))),IF(($A59&lt;'Alternative 1'!$B$29),(($H$3*'Alternative 1'!$B$39+(($N$72/3)*COS($K$73)))),($H59*'Alternative 1'!$B$39))))</f>
        <v>#VALUE!</v>
      </c>
      <c r="BJ59" s="78" t="e">
        <f>BH59*'Alternative 1'!$K60/'Alternative 1'!$L60</f>
        <v>#VALUE!</v>
      </c>
      <c r="BK59" s="78" t="e">
        <f>BI59/'Alternative 1'!$M60</f>
        <v>#VALUE!</v>
      </c>
      <c r="BL59" s="78" t="e">
        <f t="shared" si="9"/>
        <v>#VALUE!</v>
      </c>
      <c r="BN59" s="78" t="e">
        <f>'Alternative 1'!$B$39*$B59*$C59*COS($K$83)-($N$82/3)*$E59*SIN($K$83)-($N$82/3)*$F59*SIN($K$83)-($N$82/3)*$G59*SIN($K$83)</f>
        <v>#VALUE!</v>
      </c>
      <c r="BO59" s="79" t="e">
        <f>IF(($A59&lt;'Alternative 1'!$B$27),(($H59*'Alternative 1'!$B$39)+(3*($N$82/3)*COS($K$83))),IF(($A59&lt;'Alternative 1'!$B$28),(($H59*'Alternative 1'!$B$39)+(2*(($N$82/3)*COS($K$83)))),IF(($A59&lt;'Alternative 1'!$B$29),(($H$3*'Alternative 1'!$B$39+(($N$82/3)*COS($K$83)))),($H59*'Alternative 1'!$B$39))))</f>
        <v>#VALUE!</v>
      </c>
      <c r="BP59" s="78" t="e">
        <f>BN59*'Alternative 1'!$K60/'Alternative 1'!$L60</f>
        <v>#VALUE!</v>
      </c>
      <c r="BQ59" s="78" t="e">
        <f>BO59/'Alternative 1'!$M60</f>
        <v>#VALUE!</v>
      </c>
      <c r="BR59" s="78" t="e">
        <f t="shared" si="10"/>
        <v>#VALUE!</v>
      </c>
      <c r="BT59" s="78" t="e">
        <f>'Alternative 1'!$B$39*$B59*$C59*COS($K$93)-($K$92/3)*$E59*SIN($K$93)-($K$92/3)*$F59*SIN($K$93)-($K$92/3)*$G59*SIN($K$93)</f>
        <v>#VALUE!</v>
      </c>
      <c r="BU59" s="79" t="e">
        <f>IF(($A59&lt;'Alternative 1'!$B$27),(($H59*'Alternative 1'!$B$39)+(3*($N$92/3)*COS($K$93))),IF(($A59&lt;'Alternative 1'!$B$28),(($H59*'Alternative 1'!$B$39)+(2*(($N$92/3)*COS($K$93)))),IF(($A59&lt;'Alternative 1'!$B$29),(($H$3*'Alternative 1'!$B$39+(($N$92/3)*COS($K$93)))),($H59*'Alternative 1'!$B$39))))</f>
        <v>#VALUE!</v>
      </c>
      <c r="BV59" s="78" t="e">
        <f>BT59*'Alternative 1'!$K60/'Alternative 1'!$L60</f>
        <v>#VALUE!</v>
      </c>
      <c r="BW59" s="78" t="e">
        <f>BU59/'Alternative 1'!$M60</f>
        <v>#VALUE!</v>
      </c>
      <c r="BX59" s="78" t="e">
        <f t="shared" si="11"/>
        <v>#VALUE!</v>
      </c>
      <c r="BZ59" s="77">
        <v>150</v>
      </c>
      <c r="CA59" s="77">
        <v>-150</v>
      </c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281"/>
      <c r="DG59" s="281"/>
      <c r="DH59" s="281"/>
      <c r="DI59" s="281"/>
      <c r="DJ59" s="281"/>
      <c r="DK59" s="281"/>
    </row>
    <row r="60" spans="1:115" ht="15" customHeight="1" x14ac:dyDescent="0.25">
      <c r="A60" s="89" t="str">
        <f>IF('Alternative 1'!F61&gt;0,'Alternative 1'!F61,"x")</f>
        <v>x</v>
      </c>
      <c r="B60" s="89" t="e">
        <f t="shared" si="17"/>
        <v>#VALUE!</v>
      </c>
      <c r="C60" s="89">
        <f t="shared" si="12"/>
        <v>0</v>
      </c>
      <c r="D60" s="89" t="str">
        <f t="shared" si="13"/>
        <v>x</v>
      </c>
      <c r="E60" s="74">
        <f>IF($A60&lt;='Alternative 1'!$B$27, IF($A60='Alternative 1'!$B$27,0,E61+1),0)</f>
        <v>0</v>
      </c>
      <c r="F60" s="74">
        <f>IF($A60&lt;=('Alternative 1'!$B$28), IF($A60=ROUNDDOWN('Alternative 1'!$B$28,0),0,F61+1),0)</f>
        <v>0</v>
      </c>
      <c r="G60" s="74">
        <f>IF($A60&lt;=('Alternative 1'!$B$29), IF($A60=ROUNDDOWN('Alternative 1'!$B$29,0),0,G61+1),0)</f>
        <v>0</v>
      </c>
      <c r="H60" s="89" t="e">
        <f t="shared" si="14"/>
        <v>#VALUE!</v>
      </c>
      <c r="J60" s="77">
        <f t="shared" si="15"/>
        <v>57</v>
      </c>
      <c r="K60" s="77">
        <f t="shared" si="16"/>
        <v>0.99483767363676778</v>
      </c>
      <c r="L60" s="78">
        <f>'Alternative 1'!$B$27*SIN(K60)+'Alternative 1'!$B$28*SIN(K60)+'Alternative 1'!$B$29*SIN(K60)</f>
        <v>57.02959862028883</v>
      </c>
      <c r="M60" s="77">
        <f>(('Alternative 1'!$B$27)*(((('Alternative 1'!$B$28-'Alternative 1'!$B$27)/2)+'Alternative 1'!$B$27)*'Alternative 1'!$B$39)*COS('Alternative 1-Tilt Up'!K60))+(('Alternative 1'!$B$28)*((('Alternative 1'!$B$28-'Alternative 1'!$B$27)/2)+(('Alternative 1'!$B$29-'Alternative 1'!$B$28)/2))*('Alternative 1'!$B$39)*COS('Alternative 1-Tilt Up'!K60))+(('Alternative 1'!$B$29)*((('Alternative 1'!$B$12-'Alternative 1'!$B$29+(('Alternative 1'!$B$29-'Alternative 1'!$B$28)/2)*('Alternative 1'!$B$39)*COS('Alternative 1-Tilt Up'!K60)))))</f>
        <v>2585007.1730644517</v>
      </c>
      <c r="N60" s="77">
        <f t="shared" si="0"/>
        <v>135982.39697998561</v>
      </c>
      <c r="O60" s="77">
        <f>(((('Alternative 1'!$B$28-'Alternative 1'!$B$27)/2)+'Alternative 1'!$B$27)*('Alternative 1'!$B$39)*COS('Alternative 1-Tilt Up'!K60))+(((('Alternative 1'!$B$28-'Alternative 1'!$B$27)/2)+(('Alternative 1'!$B$29-'Alternative 1'!$B$28)/2))*('Alternative 1'!$B$39)*COS('Alternative 1-Tilt Up'!K60))+(((('Alternative 1'!$B$12-'Alternative 1'!$B$29)+(('Alternative 1'!$B$29-'Alternative 1'!$B$28)/2))*('Alternative 1'!$B$39)*COS('Alternative 1-Tilt Up'!K60)))</f>
        <v>166724.85054313653</v>
      </c>
      <c r="P60" s="77">
        <f t="shared" si="1"/>
        <v>74061.321470209718</v>
      </c>
      <c r="R60" s="78" t="e">
        <f>'Alternative 1'!$B$39*$B60*$C60*COS($K$5)-($N$5/3)*$E60*SIN($K$5)-($N$5/3)*$F60*SIN($K$5)-($N$5/3)*$G60*SIN($K$5)</f>
        <v>#VALUE!</v>
      </c>
      <c r="S60" s="79" t="e">
        <f>IF(($A60&lt;'Alternative 1'!$B$27),(($H60*'Alternative 1'!$B$39)+(3*($N$5/3)*COS($K$5))),IF(($A60&lt;'Alternative 1'!$B$28),(($H60*'Alternative 1'!$B$39)+(2*(($N$5/3)*COS($K$5)))),IF(($A60&lt;'Alternative 1'!$B$29),(($H$3*'Alternative 1'!$B$39+(($N$5/3)*COS($K$5)))),($H60*'Alternative 1'!$B$39))))</f>
        <v>#VALUE!</v>
      </c>
      <c r="T60" s="78" t="e">
        <f>R60*'Alternative 1'!$K61/'Alternative 1'!$L61</f>
        <v>#VALUE!</v>
      </c>
      <c r="U60" s="78" t="e">
        <f>S60/'Alternative 1'!$M61</f>
        <v>#VALUE!</v>
      </c>
      <c r="V60" s="78" t="e">
        <f t="shared" si="2"/>
        <v>#VALUE!</v>
      </c>
      <c r="X60" s="78" t="e">
        <f>'Alternative 1'!$B$39*$B60*$C60*COS($K$13)-($N$12/3)*$E60*SIN($K$13)-($N$12/3)*$F60*SIN($K$13)-($N$12/3)*$G60*SIN($K$13)</f>
        <v>#VALUE!</v>
      </c>
      <c r="Y60" s="79" t="e">
        <f>IF(($A60&lt;'Alternative 1'!$B$27),(($H60*'Alternative 1'!$B$39)+(3*($N$12/3)*COS($K$13))),IF(($A60&lt;'Alternative 1'!$B$28),(($H60*'Alternative 1'!$B$39)+(2*(($N$12/3)*COS($K$13)))),IF(($A60&lt;'Alternative 1'!$B$29),(($H$3*'Alternative 1'!$B$39+(($N$12/3)*COS($K$13)))),($H60*'Alternative 1'!$B$39))))</f>
        <v>#VALUE!</v>
      </c>
      <c r="Z60" s="78" t="e">
        <f>X60*'Alternative 1'!$K61/'Alternative 1'!$L61</f>
        <v>#VALUE!</v>
      </c>
      <c r="AA60" s="78" t="e">
        <f>Y60/'Alternative 1'!$M61</f>
        <v>#VALUE!</v>
      </c>
      <c r="AB60" s="78" t="e">
        <f t="shared" si="3"/>
        <v>#VALUE!</v>
      </c>
      <c r="AD60" s="78" t="e">
        <f>'Alternative 1'!$B$39*$B60*$C60*COS($K$23)-($N$22/3)*$E60*SIN($K$23)-($N$22/3)*$F60*SIN($K$23)-($N$22/3)*$G60*SIN($K$23)</f>
        <v>#VALUE!</v>
      </c>
      <c r="AE60" s="79" t="e">
        <f>IF(($A60&lt;'Alternative 1'!$B$27),(($H60*'Alternative 1'!$B$39)+(3*($N$22/3)*COS($K$23))),IF(($A60&lt;'Alternative 1'!$B$28),(($H60*'Alternative 1'!$B$39)+(2*(($N$22/3)*COS($K$23)))),IF(($A60&lt;'Alternative 1'!$B$29),(($H$3*'Alternative 1'!$B$39+(($N$22/3)*COS($K$23)))),($H60*'Alternative 1'!$B$39))))</f>
        <v>#VALUE!</v>
      </c>
      <c r="AF60" s="78" t="e">
        <f>AD60*'Alternative 1'!$K61/'Alternative 1'!$L61</f>
        <v>#VALUE!</v>
      </c>
      <c r="AG60" s="78" t="e">
        <f>AE60/'Alternative 1'!$M61</f>
        <v>#VALUE!</v>
      </c>
      <c r="AH60" s="78" t="e">
        <f t="shared" si="4"/>
        <v>#VALUE!</v>
      </c>
      <c r="AJ60" s="78" t="e">
        <f>'Alternative 1'!$B$39*$B60*$C60*COS($K$33)-($N$32/3)*$E60*SIN($K$33)-($N$32/3)*$F60*SIN($K$33)-($N$32/3)*$G60*SIN($K$33)</f>
        <v>#VALUE!</v>
      </c>
      <c r="AK60" s="79" t="e">
        <f>IF(($A60&lt;'Alternative 1'!$B$27),(($H60*'Alternative 1'!$B$39)+(3*($N$32/3)*COS($K$33))),IF(($A60&lt;'Alternative 1'!$B$28),(($H60*'Alternative 1'!$B$39)+(2*(($N$32/3)*COS($K$33)))),IF(($A60&lt;'Alternative 1'!$B$29),(($H$3*'Alternative 1'!$B$39+(($N$32/3)*COS($K$33)))),($H60*'Alternative 1'!$B$39))))</f>
        <v>#VALUE!</v>
      </c>
      <c r="AL60" s="78" t="e">
        <f>AJ60*'Alternative 1'!$K61/'Alternative 1'!$L61</f>
        <v>#VALUE!</v>
      </c>
      <c r="AM60" s="78" t="e">
        <f>AK60/'Alternative 1'!$M61</f>
        <v>#VALUE!</v>
      </c>
      <c r="AN60" s="78" t="e">
        <f t="shared" si="5"/>
        <v>#VALUE!</v>
      </c>
      <c r="AP60" s="78" t="e">
        <f>'Alternative 1'!$B$39*$B60*$C60*COS($K$43)-($N$42/3)*$E60*SIN($K$43)-($N$42/3)*$F60*SIN($K$43)-($N$42/3)*$G60*SIN($K$43)</f>
        <v>#VALUE!</v>
      </c>
      <c r="AQ60" s="79" t="e">
        <f>IF(($A60&lt;'Alternative 1'!$B$27),(($H60*'Alternative 1'!$B$39)+(3*($N$42/3)*COS($K$43))),IF(($A60&lt;'Alternative 1'!$B$28),(($H60*'Alternative 1'!$B$39)+(2*(($N$42/3)*COS($K$43)))),IF(($A60&lt;'Alternative 1'!$B$29),(($H$3*'Alternative 1'!$B$39+(($N$42/3)*COS($K$43)))),($H60*'Alternative 1'!$B$39))))</f>
        <v>#VALUE!</v>
      </c>
      <c r="AR60" s="78" t="e">
        <f>AP60*'Alternative 1'!$K61/'Alternative 1'!$L61</f>
        <v>#VALUE!</v>
      </c>
      <c r="AS60" s="78" t="e">
        <f>AQ60/'Alternative 1'!$M61</f>
        <v>#VALUE!</v>
      </c>
      <c r="AT60" s="78" t="e">
        <f t="shared" si="6"/>
        <v>#VALUE!</v>
      </c>
      <c r="AV60" s="78" t="e">
        <f>'Alternative 1'!$B$39*$B60*$C60*COS($K$53)-($N$52/3)*$E60*SIN($K$53)-($N$52/3)*$F60*SIN($K$53)-($N$52/3)*$G60*SIN($K$53)</f>
        <v>#VALUE!</v>
      </c>
      <c r="AW60" s="79" t="e">
        <f>IF(($A60&lt;'Alternative 1'!$B$27),(($H60*'Alternative 1'!$B$39)+(3*($N$52/3)*COS($K$53))),IF(($A60&lt;'Alternative 1'!$B$28),(($H60*'Alternative 1'!$B$39)+(2*(($N$52/3)*COS($K$53)))),IF(($A60&lt;'Alternative 1'!$B$29),(($H$3*'Alternative 1'!$B$39+(($N$52/3)*COS($K$53)))),($H60*'Alternative 1'!$B$39))))</f>
        <v>#VALUE!</v>
      </c>
      <c r="AX60" s="78" t="e">
        <f>AV60*'Alternative 1'!$K61/'Alternative 1'!$L61</f>
        <v>#VALUE!</v>
      </c>
      <c r="AY60" s="78" t="e">
        <f>AW60/'Alternative 1'!$M61</f>
        <v>#VALUE!</v>
      </c>
      <c r="AZ60" s="78" t="e">
        <f t="shared" si="7"/>
        <v>#VALUE!</v>
      </c>
      <c r="BB60" s="78" t="e">
        <f>'Alternative 1'!$B$39*$B60*$C60*COS($K$63)-($N$62/3)*$E60*SIN($K$63)-($N$62/3)*$F60*SIN($K$63)-($N$62/3)*$G60*SIN($K$63)</f>
        <v>#VALUE!</v>
      </c>
      <c r="BC60" s="79" t="e">
        <f>IF(($A60&lt;'Alternative 1'!$B$27),(($H60*'Alternative 1'!$B$39)+(3*($N$62/3)*COS($K$63))),IF(($A60&lt;'Alternative 1'!$B$28),(($H60*'Alternative 1'!$B$39)+(2*(($N$62/3)*COS($K$63)))),IF(($A60&lt;'Alternative 1'!$B$29),(($H$3*'Alternative 1'!$B$39+(($N$62/3)*COS($K$63)))),($H60*'Alternative 1'!$B$39))))</f>
        <v>#VALUE!</v>
      </c>
      <c r="BD60" s="78" t="e">
        <f>BB60*'Alternative 1'!$K61/'Alternative 1'!$L61</f>
        <v>#VALUE!</v>
      </c>
      <c r="BE60" s="78" t="e">
        <f>BC60/'Alternative 1'!$M61</f>
        <v>#VALUE!</v>
      </c>
      <c r="BF60" s="78" t="e">
        <f t="shared" si="8"/>
        <v>#VALUE!</v>
      </c>
      <c r="BH60" s="78" t="e">
        <f>'Alternative 1'!$B$39*$B60*$C60*COS($K$73)-($N$72/3)*$E60*SIN($K$73)-($N$72/3)*$F60*SIN($K$73)-($N$72/3)*$G60*SIN($K$73)</f>
        <v>#VALUE!</v>
      </c>
      <c r="BI60" s="79" t="e">
        <f>IF(($A60&lt;'Alternative 1'!$B$27),(($H60*'Alternative 1'!$B$39)+(3*($N$72/3)*COS($K$73))),IF(($A60&lt;'Alternative 1'!$B$28),(($H60*'Alternative 1'!$B$39)+(2*(($N$72/3)*COS($K$73)))),IF(($A60&lt;'Alternative 1'!$B$29),(($H$3*'Alternative 1'!$B$39+(($N$72/3)*COS($K$73)))),($H60*'Alternative 1'!$B$39))))</f>
        <v>#VALUE!</v>
      </c>
      <c r="BJ60" s="78" t="e">
        <f>BH60*'Alternative 1'!$K61/'Alternative 1'!$L61</f>
        <v>#VALUE!</v>
      </c>
      <c r="BK60" s="78" t="e">
        <f>BI60/'Alternative 1'!$M61</f>
        <v>#VALUE!</v>
      </c>
      <c r="BL60" s="78" t="e">
        <f t="shared" si="9"/>
        <v>#VALUE!</v>
      </c>
      <c r="BN60" s="78" t="e">
        <f>'Alternative 1'!$B$39*$B60*$C60*COS($K$83)-($N$82/3)*$E60*SIN($K$83)-($N$82/3)*$F60*SIN($K$83)-($N$82/3)*$G60*SIN($K$83)</f>
        <v>#VALUE!</v>
      </c>
      <c r="BO60" s="79" t="e">
        <f>IF(($A60&lt;'Alternative 1'!$B$27),(($H60*'Alternative 1'!$B$39)+(3*($N$82/3)*COS($K$83))),IF(($A60&lt;'Alternative 1'!$B$28),(($H60*'Alternative 1'!$B$39)+(2*(($N$82/3)*COS($K$83)))),IF(($A60&lt;'Alternative 1'!$B$29),(($H$3*'Alternative 1'!$B$39+(($N$82/3)*COS($K$83)))),($H60*'Alternative 1'!$B$39))))</f>
        <v>#VALUE!</v>
      </c>
      <c r="BP60" s="78" t="e">
        <f>BN60*'Alternative 1'!$K61/'Alternative 1'!$L61</f>
        <v>#VALUE!</v>
      </c>
      <c r="BQ60" s="78" t="e">
        <f>BO60/'Alternative 1'!$M61</f>
        <v>#VALUE!</v>
      </c>
      <c r="BR60" s="78" t="e">
        <f t="shared" si="10"/>
        <v>#VALUE!</v>
      </c>
      <c r="BT60" s="78" t="e">
        <f>'Alternative 1'!$B$39*$B60*$C60*COS($K$93)-($K$92/3)*$E60*SIN($K$93)-($K$92/3)*$F60*SIN($K$93)-($K$92/3)*$G60*SIN($K$93)</f>
        <v>#VALUE!</v>
      </c>
      <c r="BU60" s="79" t="e">
        <f>IF(($A60&lt;'Alternative 1'!$B$27),(($H60*'Alternative 1'!$B$39)+(3*($N$92/3)*COS($K$93))),IF(($A60&lt;'Alternative 1'!$B$28),(($H60*'Alternative 1'!$B$39)+(2*(($N$92/3)*COS($K$93)))),IF(($A60&lt;'Alternative 1'!$B$29),(($H$3*'Alternative 1'!$B$39+(($N$92/3)*COS($K$93)))),($H60*'Alternative 1'!$B$39))))</f>
        <v>#VALUE!</v>
      </c>
      <c r="BV60" s="78" t="e">
        <f>BT60*'Alternative 1'!$K61/'Alternative 1'!$L61</f>
        <v>#VALUE!</v>
      </c>
      <c r="BW60" s="78" t="e">
        <f>BU60/'Alternative 1'!$M61</f>
        <v>#VALUE!</v>
      </c>
      <c r="BX60" s="78" t="e">
        <f t="shared" si="11"/>
        <v>#VALUE!</v>
      </c>
      <c r="BZ60" s="77">
        <v>150</v>
      </c>
      <c r="CA60" s="77">
        <v>-150</v>
      </c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281"/>
      <c r="CY60" s="281"/>
      <c r="CZ60" s="281"/>
      <c r="DA60" s="281"/>
      <c r="DB60" s="281"/>
      <c r="DC60" s="281"/>
      <c r="DD60" s="281"/>
      <c r="DE60" s="281"/>
      <c r="DF60" s="281"/>
      <c r="DG60" s="281"/>
      <c r="DH60" s="281"/>
      <c r="DI60" s="281"/>
      <c r="DJ60" s="281"/>
      <c r="DK60" s="281"/>
    </row>
    <row r="61" spans="1:115" ht="15" customHeight="1" x14ac:dyDescent="0.25">
      <c r="A61" s="89" t="str">
        <f>IF('Alternative 1'!F62&gt;0,'Alternative 1'!F62,"x")</f>
        <v>x</v>
      </c>
      <c r="B61" s="89" t="e">
        <f t="shared" si="17"/>
        <v>#VALUE!</v>
      </c>
      <c r="C61" s="89">
        <f t="shared" si="12"/>
        <v>0</v>
      </c>
      <c r="D61" s="89" t="str">
        <f t="shared" si="13"/>
        <v>x</v>
      </c>
      <c r="E61" s="74">
        <f>IF($A61&lt;='Alternative 1'!$B$27, IF($A61='Alternative 1'!$B$27,0,E62+1),0)</f>
        <v>0</v>
      </c>
      <c r="F61" s="74">
        <f>IF($A61&lt;=('Alternative 1'!$B$28), IF($A61=ROUNDDOWN('Alternative 1'!$B$28,0),0,F62+1),0)</f>
        <v>0</v>
      </c>
      <c r="G61" s="74">
        <f>IF($A61&lt;=('Alternative 1'!$B$29), IF($A61=ROUNDDOWN('Alternative 1'!$B$29,0),0,G62+1),0)</f>
        <v>0</v>
      </c>
      <c r="H61" s="89" t="e">
        <f t="shared" si="14"/>
        <v>#VALUE!</v>
      </c>
      <c r="J61" s="77">
        <f t="shared" si="15"/>
        <v>58</v>
      </c>
      <c r="K61" s="77">
        <f t="shared" si="16"/>
        <v>1.0122909661567112</v>
      </c>
      <c r="L61" s="78">
        <f>'Alternative 1'!$B$27*SIN(K61)+'Alternative 1'!$B$28*SIN(K61)+'Alternative 1'!$B$29*SIN(K61)</f>
        <v>57.667270538636963</v>
      </c>
      <c r="M61" s="77">
        <f>(('Alternative 1'!$B$27)*(((('Alternative 1'!$B$28-'Alternative 1'!$B$27)/2)+'Alternative 1'!$B$27)*'Alternative 1'!$B$39)*COS('Alternative 1-Tilt Up'!K61))+(('Alternative 1'!$B$28)*((('Alternative 1'!$B$28-'Alternative 1'!$B$27)/2)+(('Alternative 1'!$B$29-'Alternative 1'!$B$28)/2))*('Alternative 1'!$B$39)*COS('Alternative 1-Tilt Up'!K61))+(('Alternative 1'!$B$29)*((('Alternative 1'!$B$12-'Alternative 1'!$B$29+(('Alternative 1'!$B$29-'Alternative 1'!$B$28)/2)*('Alternative 1'!$B$39)*COS('Alternative 1-Tilt Up'!K61)))))</f>
        <v>2515148.3657336924</v>
      </c>
      <c r="N61" s="77">
        <f t="shared" si="0"/>
        <v>130844.49856432244</v>
      </c>
      <c r="O61" s="77">
        <f>(((('Alternative 1'!$B$28-'Alternative 1'!$B$27)/2)+'Alternative 1'!$B$27)*('Alternative 1'!$B$39)*COS('Alternative 1-Tilt Up'!K61))+(((('Alternative 1'!$B$28-'Alternative 1'!$B$27)/2)+(('Alternative 1'!$B$29-'Alternative 1'!$B$28)/2))*('Alternative 1'!$B$39)*COS('Alternative 1-Tilt Up'!K61))+(((('Alternative 1'!$B$12-'Alternative 1'!$B$29)+(('Alternative 1'!$B$29-'Alternative 1'!$B$28)/2))*('Alternative 1'!$B$39)*COS('Alternative 1-Tilt Up'!K61)))</f>
        <v>162218.83568586351</v>
      </c>
      <c r="P61" s="77">
        <f t="shared" si="1"/>
        <v>69337.020408168377</v>
      </c>
      <c r="R61" s="78" t="e">
        <f>'Alternative 1'!$B$39*$B61*$C61*COS($K$5)-($N$5/3)*$E61*SIN($K$5)-($N$5/3)*$F61*SIN($K$5)-($N$5/3)*$G61*SIN($K$5)</f>
        <v>#VALUE!</v>
      </c>
      <c r="S61" s="79" t="e">
        <f>IF(($A61&lt;'Alternative 1'!$B$27),(($H61*'Alternative 1'!$B$39)+(3*($N$5/3)*COS($K$5))),IF(($A61&lt;'Alternative 1'!$B$28),(($H61*'Alternative 1'!$B$39)+(2*(($N$5/3)*COS($K$5)))),IF(($A61&lt;'Alternative 1'!$B$29),(($H$3*'Alternative 1'!$B$39+(($N$5/3)*COS($K$5)))),($H61*'Alternative 1'!$B$39))))</f>
        <v>#VALUE!</v>
      </c>
      <c r="T61" s="78" t="e">
        <f>R61*'Alternative 1'!$K62/'Alternative 1'!$L62</f>
        <v>#VALUE!</v>
      </c>
      <c r="U61" s="78" t="e">
        <f>S61/'Alternative 1'!$M62</f>
        <v>#VALUE!</v>
      </c>
      <c r="V61" s="78" t="e">
        <f t="shared" si="2"/>
        <v>#VALUE!</v>
      </c>
      <c r="X61" s="78" t="e">
        <f>'Alternative 1'!$B$39*$B61*$C61*COS($K$13)-($N$12/3)*$E61*SIN($K$13)-($N$12/3)*$F61*SIN($K$13)-($N$12/3)*$G61*SIN($K$13)</f>
        <v>#VALUE!</v>
      </c>
      <c r="Y61" s="79" t="e">
        <f>IF(($A61&lt;'Alternative 1'!$B$27),(($H61*'Alternative 1'!$B$39)+(3*($N$12/3)*COS($K$13))),IF(($A61&lt;'Alternative 1'!$B$28),(($H61*'Alternative 1'!$B$39)+(2*(($N$12/3)*COS($K$13)))),IF(($A61&lt;'Alternative 1'!$B$29),(($H$3*'Alternative 1'!$B$39+(($N$12/3)*COS($K$13)))),($H61*'Alternative 1'!$B$39))))</f>
        <v>#VALUE!</v>
      </c>
      <c r="Z61" s="78" t="e">
        <f>X61*'Alternative 1'!$K62/'Alternative 1'!$L62</f>
        <v>#VALUE!</v>
      </c>
      <c r="AA61" s="78" t="e">
        <f>Y61/'Alternative 1'!$M62</f>
        <v>#VALUE!</v>
      </c>
      <c r="AB61" s="78" t="e">
        <f t="shared" si="3"/>
        <v>#VALUE!</v>
      </c>
      <c r="AD61" s="78" t="e">
        <f>'Alternative 1'!$B$39*$B61*$C61*COS($K$23)-($N$22/3)*$E61*SIN($K$23)-($N$22/3)*$F61*SIN($K$23)-($N$22/3)*$G61*SIN($K$23)</f>
        <v>#VALUE!</v>
      </c>
      <c r="AE61" s="79" t="e">
        <f>IF(($A61&lt;'Alternative 1'!$B$27),(($H61*'Alternative 1'!$B$39)+(3*($N$22/3)*COS($K$23))),IF(($A61&lt;'Alternative 1'!$B$28),(($H61*'Alternative 1'!$B$39)+(2*(($N$22/3)*COS($K$23)))),IF(($A61&lt;'Alternative 1'!$B$29),(($H$3*'Alternative 1'!$B$39+(($N$22/3)*COS($K$23)))),($H61*'Alternative 1'!$B$39))))</f>
        <v>#VALUE!</v>
      </c>
      <c r="AF61" s="78" t="e">
        <f>AD61*'Alternative 1'!$K62/'Alternative 1'!$L62</f>
        <v>#VALUE!</v>
      </c>
      <c r="AG61" s="78" t="e">
        <f>AE61/'Alternative 1'!$M62</f>
        <v>#VALUE!</v>
      </c>
      <c r="AH61" s="78" t="e">
        <f t="shared" si="4"/>
        <v>#VALUE!</v>
      </c>
      <c r="AJ61" s="78" t="e">
        <f>'Alternative 1'!$B$39*$B61*$C61*COS($K$33)-($N$32/3)*$E61*SIN($K$33)-($N$32/3)*$F61*SIN($K$33)-($N$32/3)*$G61*SIN($K$33)</f>
        <v>#VALUE!</v>
      </c>
      <c r="AK61" s="79" t="e">
        <f>IF(($A61&lt;'Alternative 1'!$B$27),(($H61*'Alternative 1'!$B$39)+(3*($N$32/3)*COS($K$33))),IF(($A61&lt;'Alternative 1'!$B$28),(($H61*'Alternative 1'!$B$39)+(2*(($N$32/3)*COS($K$33)))),IF(($A61&lt;'Alternative 1'!$B$29),(($H$3*'Alternative 1'!$B$39+(($N$32/3)*COS($K$33)))),($H61*'Alternative 1'!$B$39))))</f>
        <v>#VALUE!</v>
      </c>
      <c r="AL61" s="78" t="e">
        <f>AJ61*'Alternative 1'!$K62/'Alternative 1'!$L62</f>
        <v>#VALUE!</v>
      </c>
      <c r="AM61" s="78" t="e">
        <f>AK61/'Alternative 1'!$M62</f>
        <v>#VALUE!</v>
      </c>
      <c r="AN61" s="78" t="e">
        <f t="shared" si="5"/>
        <v>#VALUE!</v>
      </c>
      <c r="AP61" s="78" t="e">
        <f>'Alternative 1'!$B$39*$B61*$C61*COS($K$43)-($N$42/3)*$E61*SIN($K$43)-($N$42/3)*$F61*SIN($K$43)-($N$42/3)*$G61*SIN($K$43)</f>
        <v>#VALUE!</v>
      </c>
      <c r="AQ61" s="79" t="e">
        <f>IF(($A61&lt;'Alternative 1'!$B$27),(($H61*'Alternative 1'!$B$39)+(3*($N$42/3)*COS($K$43))),IF(($A61&lt;'Alternative 1'!$B$28),(($H61*'Alternative 1'!$B$39)+(2*(($N$42/3)*COS($K$43)))),IF(($A61&lt;'Alternative 1'!$B$29),(($H$3*'Alternative 1'!$B$39+(($N$42/3)*COS($K$43)))),($H61*'Alternative 1'!$B$39))))</f>
        <v>#VALUE!</v>
      </c>
      <c r="AR61" s="78" t="e">
        <f>AP61*'Alternative 1'!$K62/'Alternative 1'!$L62</f>
        <v>#VALUE!</v>
      </c>
      <c r="AS61" s="78" t="e">
        <f>AQ61/'Alternative 1'!$M62</f>
        <v>#VALUE!</v>
      </c>
      <c r="AT61" s="78" t="e">
        <f t="shared" si="6"/>
        <v>#VALUE!</v>
      </c>
      <c r="AV61" s="78" t="e">
        <f>'Alternative 1'!$B$39*$B61*$C61*COS($K$53)-($N$52/3)*$E61*SIN($K$53)-($N$52/3)*$F61*SIN($K$53)-($N$52/3)*$G61*SIN($K$53)</f>
        <v>#VALUE!</v>
      </c>
      <c r="AW61" s="79" t="e">
        <f>IF(($A61&lt;'Alternative 1'!$B$27),(($H61*'Alternative 1'!$B$39)+(3*($N$52/3)*COS($K$53))),IF(($A61&lt;'Alternative 1'!$B$28),(($H61*'Alternative 1'!$B$39)+(2*(($N$52/3)*COS($K$53)))),IF(($A61&lt;'Alternative 1'!$B$29),(($H$3*'Alternative 1'!$B$39+(($N$52/3)*COS($K$53)))),($H61*'Alternative 1'!$B$39))))</f>
        <v>#VALUE!</v>
      </c>
      <c r="AX61" s="78" t="e">
        <f>AV61*'Alternative 1'!$K62/'Alternative 1'!$L62</f>
        <v>#VALUE!</v>
      </c>
      <c r="AY61" s="78" t="e">
        <f>AW61/'Alternative 1'!$M62</f>
        <v>#VALUE!</v>
      </c>
      <c r="AZ61" s="78" t="e">
        <f t="shared" si="7"/>
        <v>#VALUE!</v>
      </c>
      <c r="BB61" s="78" t="e">
        <f>'Alternative 1'!$B$39*$B61*$C61*COS($K$63)-($N$62/3)*$E61*SIN($K$63)-($N$62/3)*$F61*SIN($K$63)-($N$62/3)*$G61*SIN($K$63)</f>
        <v>#VALUE!</v>
      </c>
      <c r="BC61" s="79" t="e">
        <f>IF(($A61&lt;'Alternative 1'!$B$27),(($H61*'Alternative 1'!$B$39)+(3*($N$62/3)*COS($K$63))),IF(($A61&lt;'Alternative 1'!$B$28),(($H61*'Alternative 1'!$B$39)+(2*(($N$62/3)*COS($K$63)))),IF(($A61&lt;'Alternative 1'!$B$29),(($H$3*'Alternative 1'!$B$39+(($N$62/3)*COS($K$63)))),($H61*'Alternative 1'!$B$39))))</f>
        <v>#VALUE!</v>
      </c>
      <c r="BD61" s="78" t="e">
        <f>BB61*'Alternative 1'!$K62/'Alternative 1'!$L62</f>
        <v>#VALUE!</v>
      </c>
      <c r="BE61" s="78" t="e">
        <f>BC61/'Alternative 1'!$M62</f>
        <v>#VALUE!</v>
      </c>
      <c r="BF61" s="78" t="e">
        <f t="shared" si="8"/>
        <v>#VALUE!</v>
      </c>
      <c r="BH61" s="78" t="e">
        <f>'Alternative 1'!$B$39*$B61*$C61*COS($K$73)-($N$72/3)*$E61*SIN($K$73)-($N$72/3)*$F61*SIN($K$73)-($N$72/3)*$G61*SIN($K$73)</f>
        <v>#VALUE!</v>
      </c>
      <c r="BI61" s="79" t="e">
        <f>IF(($A61&lt;'Alternative 1'!$B$27),(($H61*'Alternative 1'!$B$39)+(3*($N$72/3)*COS($K$73))),IF(($A61&lt;'Alternative 1'!$B$28),(($H61*'Alternative 1'!$B$39)+(2*(($N$72/3)*COS($K$73)))),IF(($A61&lt;'Alternative 1'!$B$29),(($H$3*'Alternative 1'!$B$39+(($N$72/3)*COS($K$73)))),($H61*'Alternative 1'!$B$39))))</f>
        <v>#VALUE!</v>
      </c>
      <c r="BJ61" s="78" t="e">
        <f>BH61*'Alternative 1'!$K62/'Alternative 1'!$L62</f>
        <v>#VALUE!</v>
      </c>
      <c r="BK61" s="78" t="e">
        <f>BI61/'Alternative 1'!$M62</f>
        <v>#VALUE!</v>
      </c>
      <c r="BL61" s="78" t="e">
        <f t="shared" si="9"/>
        <v>#VALUE!</v>
      </c>
      <c r="BN61" s="78" t="e">
        <f>'Alternative 1'!$B$39*$B61*$C61*COS($K$83)-($N$82/3)*$E61*SIN($K$83)-($N$82/3)*$F61*SIN($K$83)-($N$82/3)*$G61*SIN($K$83)</f>
        <v>#VALUE!</v>
      </c>
      <c r="BO61" s="79" t="e">
        <f>IF(($A61&lt;'Alternative 1'!$B$27),(($H61*'Alternative 1'!$B$39)+(3*($N$82/3)*COS($K$83))),IF(($A61&lt;'Alternative 1'!$B$28),(($H61*'Alternative 1'!$B$39)+(2*(($N$82/3)*COS($K$83)))),IF(($A61&lt;'Alternative 1'!$B$29),(($H$3*'Alternative 1'!$B$39+(($N$82/3)*COS($K$83)))),($H61*'Alternative 1'!$B$39))))</f>
        <v>#VALUE!</v>
      </c>
      <c r="BP61" s="78" t="e">
        <f>BN61*'Alternative 1'!$K62/'Alternative 1'!$L62</f>
        <v>#VALUE!</v>
      </c>
      <c r="BQ61" s="78" t="e">
        <f>BO61/'Alternative 1'!$M62</f>
        <v>#VALUE!</v>
      </c>
      <c r="BR61" s="78" t="e">
        <f t="shared" si="10"/>
        <v>#VALUE!</v>
      </c>
      <c r="BT61" s="78" t="e">
        <f>'Alternative 1'!$B$39*$B61*$C61*COS($K$93)-($K$92/3)*$E61*SIN($K$93)-($K$92/3)*$F61*SIN($K$93)-($K$92/3)*$G61*SIN($K$93)</f>
        <v>#VALUE!</v>
      </c>
      <c r="BU61" s="79" t="e">
        <f>IF(($A61&lt;'Alternative 1'!$B$27),(($H61*'Alternative 1'!$B$39)+(3*($N$92/3)*COS($K$93))),IF(($A61&lt;'Alternative 1'!$B$28),(($H61*'Alternative 1'!$B$39)+(2*(($N$92/3)*COS($K$93)))),IF(($A61&lt;'Alternative 1'!$B$29),(($H$3*'Alternative 1'!$B$39+(($N$92/3)*COS($K$93)))),($H61*'Alternative 1'!$B$39))))</f>
        <v>#VALUE!</v>
      </c>
      <c r="BV61" s="78" t="e">
        <f>BT61*'Alternative 1'!$K62/'Alternative 1'!$L62</f>
        <v>#VALUE!</v>
      </c>
      <c r="BW61" s="78" t="e">
        <f>BU61/'Alternative 1'!$M62</f>
        <v>#VALUE!</v>
      </c>
      <c r="BX61" s="78" t="e">
        <f t="shared" si="11"/>
        <v>#VALUE!</v>
      </c>
      <c r="BZ61" s="77">
        <v>150</v>
      </c>
      <c r="CA61" s="77">
        <v>-150</v>
      </c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1"/>
      <c r="DA61" s="281"/>
      <c r="DB61" s="281"/>
      <c r="DC61" s="281"/>
      <c r="DD61" s="281"/>
      <c r="DE61" s="281"/>
      <c r="DF61" s="281"/>
      <c r="DG61" s="281"/>
      <c r="DH61" s="281"/>
      <c r="DI61" s="281"/>
      <c r="DJ61" s="281"/>
      <c r="DK61" s="281"/>
    </row>
    <row r="62" spans="1:115" ht="15" customHeight="1" x14ac:dyDescent="0.25">
      <c r="A62" s="89" t="str">
        <f>IF('Alternative 1'!F63&gt;0,'Alternative 1'!F63,"x")</f>
        <v>x</v>
      </c>
      <c r="B62" s="89" t="e">
        <f t="shared" si="17"/>
        <v>#VALUE!</v>
      </c>
      <c r="C62" s="89">
        <f t="shared" si="12"/>
        <v>0</v>
      </c>
      <c r="D62" s="89" t="str">
        <f t="shared" si="13"/>
        <v>x</v>
      </c>
      <c r="E62" s="74">
        <f>IF($A62&lt;='Alternative 1'!$B$27, IF($A62='Alternative 1'!$B$27,0,E63+1),0)</f>
        <v>0</v>
      </c>
      <c r="F62" s="74">
        <f>IF($A62&lt;=('Alternative 1'!$B$28), IF($A62=ROUNDDOWN('Alternative 1'!$B$28,0),0,F63+1),0)</f>
        <v>0</v>
      </c>
      <c r="G62" s="74">
        <f>IF($A62&lt;=('Alternative 1'!$B$29), IF($A62=ROUNDDOWN('Alternative 1'!$B$29,0),0,G63+1),0)</f>
        <v>0</v>
      </c>
      <c r="H62" s="89" t="e">
        <f t="shared" si="14"/>
        <v>#VALUE!</v>
      </c>
      <c r="J62" s="77">
        <f t="shared" si="15"/>
        <v>59</v>
      </c>
      <c r="K62" s="77">
        <f t="shared" si="16"/>
        <v>1.0297442586766543</v>
      </c>
      <c r="L62" s="78">
        <f>'Alternative 1'!$B$27*SIN(K62)+'Alternative 1'!$B$28*SIN(K62)+'Alternative 1'!$B$29*SIN(K62)</f>
        <v>58.287376447743625</v>
      </c>
      <c r="M62" s="77">
        <f>(('Alternative 1'!$B$27)*(((('Alternative 1'!$B$28-'Alternative 1'!$B$27)/2)+'Alternative 1'!$B$27)*'Alternative 1'!$B$39)*COS('Alternative 1-Tilt Up'!K62))+(('Alternative 1'!$B$28)*((('Alternative 1'!$B$28-'Alternative 1'!$B$27)/2)+(('Alternative 1'!$B$29-'Alternative 1'!$B$28)/2))*('Alternative 1'!$B$39)*COS('Alternative 1-Tilt Up'!K62))+(('Alternative 1'!$B$29)*((('Alternative 1'!$B$12-'Alternative 1'!$B$29+(('Alternative 1'!$B$29-'Alternative 1'!$B$28)/2)*('Alternative 1'!$B$39)*COS('Alternative 1-Tilt Up'!K62)))))</f>
        <v>2444523.4794370718</v>
      </c>
      <c r="N62" s="82">
        <f t="shared" si="0"/>
        <v>125817.47344360199</v>
      </c>
      <c r="O62" s="77">
        <f>(((('Alternative 1'!$B$28-'Alternative 1'!$B$27)/2)+'Alternative 1'!$B$27)*('Alternative 1'!$B$39)*COS('Alternative 1-Tilt Up'!K62))+(((('Alternative 1'!$B$28-'Alternative 1'!$B$27)/2)+(('Alternative 1'!$B$29-'Alternative 1'!$B$28)/2))*('Alternative 1'!$B$39)*COS('Alternative 1-Tilt Up'!K62))+(((('Alternative 1'!$B$12-'Alternative 1'!$B$29)+(('Alternative 1'!$B$29-'Alternative 1'!$B$28)/2))*('Alternative 1'!$B$39)*COS('Alternative 1-Tilt Up'!K62)))</f>
        <v>157663.40739979155</v>
      </c>
      <c r="P62" s="77">
        <f t="shared" si="1"/>
        <v>64800.789312439658</v>
      </c>
      <c r="R62" s="78" t="e">
        <f>'Alternative 1'!$B$39*$B62*$C62*COS($K$5)-($N$5/3)*$E62*SIN($K$5)-($N$5/3)*$F62*SIN($K$5)-($N$5/3)*$G62*SIN($K$5)</f>
        <v>#VALUE!</v>
      </c>
      <c r="S62" s="79" t="e">
        <f>IF(($A62&lt;'Alternative 1'!$B$27),(($H62*'Alternative 1'!$B$39)+(3*($N$5/3)*COS($K$5))),IF(($A62&lt;'Alternative 1'!$B$28),(($H62*'Alternative 1'!$B$39)+(2*(($N$5/3)*COS($K$5)))),IF(($A62&lt;'Alternative 1'!$B$29),(($H$3*'Alternative 1'!$B$39+(($N$5/3)*COS($K$5)))),($H62*'Alternative 1'!$B$39))))</f>
        <v>#VALUE!</v>
      </c>
      <c r="T62" s="78" t="e">
        <f>R62*'Alternative 1'!$K63/'Alternative 1'!$L63</f>
        <v>#VALUE!</v>
      </c>
      <c r="U62" s="78" t="e">
        <f>S62/'Alternative 1'!$M63</f>
        <v>#VALUE!</v>
      </c>
      <c r="V62" s="78" t="e">
        <f t="shared" si="2"/>
        <v>#VALUE!</v>
      </c>
      <c r="X62" s="78" t="e">
        <f>'Alternative 1'!$B$39*$B62*$C62*COS($K$13)-($N$12/3)*$E62*SIN($K$13)-($N$12/3)*$F62*SIN($K$13)-($N$12/3)*$G62*SIN($K$13)</f>
        <v>#VALUE!</v>
      </c>
      <c r="Y62" s="79" t="e">
        <f>IF(($A62&lt;'Alternative 1'!$B$27),(($H62*'Alternative 1'!$B$39)+(3*($N$12/3)*COS($K$13))),IF(($A62&lt;'Alternative 1'!$B$28),(($H62*'Alternative 1'!$B$39)+(2*(($N$12/3)*COS($K$13)))),IF(($A62&lt;'Alternative 1'!$B$29),(($H$3*'Alternative 1'!$B$39+(($N$12/3)*COS($K$13)))),($H62*'Alternative 1'!$B$39))))</f>
        <v>#VALUE!</v>
      </c>
      <c r="Z62" s="78" t="e">
        <f>X62*'Alternative 1'!$K63/'Alternative 1'!$L63</f>
        <v>#VALUE!</v>
      </c>
      <c r="AA62" s="78" t="e">
        <f>Y62/'Alternative 1'!$M63</f>
        <v>#VALUE!</v>
      </c>
      <c r="AB62" s="78" t="e">
        <f t="shared" si="3"/>
        <v>#VALUE!</v>
      </c>
      <c r="AD62" s="78" t="e">
        <f>'Alternative 1'!$B$39*$B62*$C62*COS($K$23)-($N$22/3)*$E62*SIN($K$23)-($N$22/3)*$F62*SIN($K$23)-($N$22/3)*$G62*SIN($K$23)</f>
        <v>#VALUE!</v>
      </c>
      <c r="AE62" s="79" t="e">
        <f>IF(($A62&lt;'Alternative 1'!$B$27),(($H62*'Alternative 1'!$B$39)+(3*($N$22/3)*COS($K$23))),IF(($A62&lt;'Alternative 1'!$B$28),(($H62*'Alternative 1'!$B$39)+(2*(($N$22/3)*COS($K$23)))),IF(($A62&lt;'Alternative 1'!$B$29),(($H$3*'Alternative 1'!$B$39+(($N$22/3)*COS($K$23)))),($H62*'Alternative 1'!$B$39))))</f>
        <v>#VALUE!</v>
      </c>
      <c r="AF62" s="78" t="e">
        <f>AD62*'Alternative 1'!$K63/'Alternative 1'!$L63</f>
        <v>#VALUE!</v>
      </c>
      <c r="AG62" s="78" t="e">
        <f>AE62/'Alternative 1'!$M63</f>
        <v>#VALUE!</v>
      </c>
      <c r="AH62" s="78" t="e">
        <f t="shared" si="4"/>
        <v>#VALUE!</v>
      </c>
      <c r="AJ62" s="78" t="e">
        <f>'Alternative 1'!$B$39*$B62*$C62*COS($K$33)-($N$32/3)*$E62*SIN($K$33)-($N$32/3)*$F62*SIN($K$33)-($N$32/3)*$G62*SIN($K$33)</f>
        <v>#VALUE!</v>
      </c>
      <c r="AK62" s="79" t="e">
        <f>IF(($A62&lt;'Alternative 1'!$B$27),(($H62*'Alternative 1'!$B$39)+(3*($N$32/3)*COS($K$33))),IF(($A62&lt;'Alternative 1'!$B$28),(($H62*'Alternative 1'!$B$39)+(2*(($N$32/3)*COS($K$33)))),IF(($A62&lt;'Alternative 1'!$B$29),(($H$3*'Alternative 1'!$B$39+(($N$32/3)*COS($K$33)))),($H62*'Alternative 1'!$B$39))))</f>
        <v>#VALUE!</v>
      </c>
      <c r="AL62" s="78" t="e">
        <f>AJ62*'Alternative 1'!$K63/'Alternative 1'!$L63</f>
        <v>#VALUE!</v>
      </c>
      <c r="AM62" s="78" t="e">
        <f>AK62/'Alternative 1'!$M63</f>
        <v>#VALUE!</v>
      </c>
      <c r="AN62" s="78" t="e">
        <f t="shared" si="5"/>
        <v>#VALUE!</v>
      </c>
      <c r="AP62" s="78" t="e">
        <f>'Alternative 1'!$B$39*$B62*$C62*COS($K$43)-($N$42/3)*$E62*SIN($K$43)-($N$42/3)*$F62*SIN($K$43)-($N$42/3)*$G62*SIN($K$43)</f>
        <v>#VALUE!</v>
      </c>
      <c r="AQ62" s="79" t="e">
        <f>IF(($A62&lt;'Alternative 1'!$B$27),(($H62*'Alternative 1'!$B$39)+(3*($N$42/3)*COS($K$43))),IF(($A62&lt;'Alternative 1'!$B$28),(($H62*'Alternative 1'!$B$39)+(2*(($N$42/3)*COS($K$43)))),IF(($A62&lt;'Alternative 1'!$B$29),(($H$3*'Alternative 1'!$B$39+(($N$42/3)*COS($K$43)))),($H62*'Alternative 1'!$B$39))))</f>
        <v>#VALUE!</v>
      </c>
      <c r="AR62" s="78" t="e">
        <f>AP62*'Alternative 1'!$K63/'Alternative 1'!$L63</f>
        <v>#VALUE!</v>
      </c>
      <c r="AS62" s="78" t="e">
        <f>AQ62/'Alternative 1'!$M63</f>
        <v>#VALUE!</v>
      </c>
      <c r="AT62" s="78" t="e">
        <f t="shared" si="6"/>
        <v>#VALUE!</v>
      </c>
      <c r="AV62" s="78" t="e">
        <f>'Alternative 1'!$B$39*$B62*$C62*COS($K$53)-($N$52/3)*$E62*SIN($K$53)-($N$52/3)*$F62*SIN($K$53)-($N$52/3)*$G62*SIN($K$53)</f>
        <v>#VALUE!</v>
      </c>
      <c r="AW62" s="79" t="e">
        <f>IF(($A62&lt;'Alternative 1'!$B$27),(($H62*'Alternative 1'!$B$39)+(3*($N$52/3)*COS($K$53))),IF(($A62&lt;'Alternative 1'!$B$28),(($H62*'Alternative 1'!$B$39)+(2*(($N$52/3)*COS($K$53)))),IF(($A62&lt;'Alternative 1'!$B$29),(($H$3*'Alternative 1'!$B$39+(($N$52/3)*COS($K$53)))),($H62*'Alternative 1'!$B$39))))</f>
        <v>#VALUE!</v>
      </c>
      <c r="AX62" s="78" t="e">
        <f>AV62*'Alternative 1'!$K63/'Alternative 1'!$L63</f>
        <v>#VALUE!</v>
      </c>
      <c r="AY62" s="78" t="e">
        <f>AW62/'Alternative 1'!$M63</f>
        <v>#VALUE!</v>
      </c>
      <c r="AZ62" s="78" t="e">
        <f t="shared" si="7"/>
        <v>#VALUE!</v>
      </c>
      <c r="BB62" s="78" t="e">
        <f>'Alternative 1'!$B$39*$B62*$C62*COS($K$63)-($N$62/3)*$E62*SIN($K$63)-($N$62/3)*$F62*SIN($K$63)-($N$62/3)*$G62*SIN($K$63)</f>
        <v>#VALUE!</v>
      </c>
      <c r="BC62" s="79" t="e">
        <f>IF(($A62&lt;'Alternative 1'!$B$27),(($H62*'Alternative 1'!$B$39)+(3*($N$62/3)*COS($K$63))),IF(($A62&lt;'Alternative 1'!$B$28),(($H62*'Alternative 1'!$B$39)+(2*(($N$62/3)*COS($K$63)))),IF(($A62&lt;'Alternative 1'!$B$29),(($H$3*'Alternative 1'!$B$39+(($N$62/3)*COS($K$63)))),($H62*'Alternative 1'!$B$39))))</f>
        <v>#VALUE!</v>
      </c>
      <c r="BD62" s="78" t="e">
        <f>BB62*'Alternative 1'!$K63/'Alternative 1'!$L63</f>
        <v>#VALUE!</v>
      </c>
      <c r="BE62" s="78" t="e">
        <f>BC62/'Alternative 1'!$M63</f>
        <v>#VALUE!</v>
      </c>
      <c r="BF62" s="78" t="e">
        <f t="shared" si="8"/>
        <v>#VALUE!</v>
      </c>
      <c r="BH62" s="78" t="e">
        <f>'Alternative 1'!$B$39*$B62*$C62*COS($K$73)-($N$72/3)*$E62*SIN($K$73)-($N$72/3)*$F62*SIN($K$73)-($N$72/3)*$G62*SIN($K$73)</f>
        <v>#VALUE!</v>
      </c>
      <c r="BI62" s="79" t="e">
        <f>IF(($A62&lt;'Alternative 1'!$B$27),(($H62*'Alternative 1'!$B$39)+(3*($N$72/3)*COS($K$73))),IF(($A62&lt;'Alternative 1'!$B$28),(($H62*'Alternative 1'!$B$39)+(2*(($N$72/3)*COS($K$73)))),IF(($A62&lt;'Alternative 1'!$B$29),(($H$3*'Alternative 1'!$B$39+(($N$72/3)*COS($K$73)))),($H62*'Alternative 1'!$B$39))))</f>
        <v>#VALUE!</v>
      </c>
      <c r="BJ62" s="78" t="e">
        <f>BH62*'Alternative 1'!$K63/'Alternative 1'!$L63</f>
        <v>#VALUE!</v>
      </c>
      <c r="BK62" s="78" t="e">
        <f>BI62/'Alternative 1'!$M63</f>
        <v>#VALUE!</v>
      </c>
      <c r="BL62" s="78" t="e">
        <f t="shared" si="9"/>
        <v>#VALUE!</v>
      </c>
      <c r="BN62" s="78" t="e">
        <f>'Alternative 1'!$B$39*$B62*$C62*COS($K$83)-($N$82/3)*$E62*SIN($K$83)-($N$82/3)*$F62*SIN($K$83)-($N$82/3)*$G62*SIN($K$83)</f>
        <v>#VALUE!</v>
      </c>
      <c r="BO62" s="79" t="e">
        <f>IF(($A62&lt;'Alternative 1'!$B$27),(($H62*'Alternative 1'!$B$39)+(3*($N$82/3)*COS($K$83))),IF(($A62&lt;'Alternative 1'!$B$28),(($H62*'Alternative 1'!$B$39)+(2*(($N$82/3)*COS($K$83)))),IF(($A62&lt;'Alternative 1'!$B$29),(($H$3*'Alternative 1'!$B$39+(($N$82/3)*COS($K$83)))),($H62*'Alternative 1'!$B$39))))</f>
        <v>#VALUE!</v>
      </c>
      <c r="BP62" s="78" t="e">
        <f>BN62*'Alternative 1'!$K63/'Alternative 1'!$L63</f>
        <v>#VALUE!</v>
      </c>
      <c r="BQ62" s="78" t="e">
        <f>BO62/'Alternative 1'!$M63</f>
        <v>#VALUE!</v>
      </c>
      <c r="BR62" s="78" t="e">
        <f t="shared" si="10"/>
        <v>#VALUE!</v>
      </c>
      <c r="BT62" s="78" t="e">
        <f>'Alternative 1'!$B$39*$B62*$C62*COS($K$93)-($K$92/3)*$E62*SIN($K$93)-($K$92/3)*$F62*SIN($K$93)-($K$92/3)*$G62*SIN($K$93)</f>
        <v>#VALUE!</v>
      </c>
      <c r="BU62" s="79" t="e">
        <f>IF(($A62&lt;'Alternative 1'!$B$27),(($H62*'Alternative 1'!$B$39)+(3*($N$92/3)*COS($K$93))),IF(($A62&lt;'Alternative 1'!$B$28),(($H62*'Alternative 1'!$B$39)+(2*(($N$92/3)*COS($K$93)))),IF(($A62&lt;'Alternative 1'!$B$29),(($H$3*'Alternative 1'!$B$39+(($N$92/3)*COS($K$93)))),($H62*'Alternative 1'!$B$39))))</f>
        <v>#VALUE!</v>
      </c>
      <c r="BV62" s="78" t="e">
        <f>BT62*'Alternative 1'!$K63/'Alternative 1'!$L63</f>
        <v>#VALUE!</v>
      </c>
      <c r="BW62" s="78" t="e">
        <f>BU62/'Alternative 1'!$M63</f>
        <v>#VALUE!</v>
      </c>
      <c r="BX62" s="78" t="e">
        <f t="shared" si="11"/>
        <v>#VALUE!</v>
      </c>
      <c r="BZ62" s="77">
        <v>150</v>
      </c>
      <c r="CA62" s="77">
        <v>-150</v>
      </c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1"/>
      <c r="DA62" s="281"/>
      <c r="DB62" s="281"/>
      <c r="DC62" s="281"/>
      <c r="DD62" s="281"/>
      <c r="DE62" s="281"/>
      <c r="DF62" s="281"/>
      <c r="DG62" s="281"/>
      <c r="DH62" s="281"/>
      <c r="DI62" s="281"/>
      <c r="DJ62" s="281"/>
      <c r="DK62" s="281"/>
    </row>
    <row r="63" spans="1:115" ht="15" customHeight="1" x14ac:dyDescent="0.25">
      <c r="A63" s="89" t="str">
        <f>IF('Alternative 1'!F64&gt;0,'Alternative 1'!F64,"x")</f>
        <v>x</v>
      </c>
      <c r="B63" s="89" t="e">
        <f t="shared" si="17"/>
        <v>#VALUE!</v>
      </c>
      <c r="C63" s="89">
        <f t="shared" si="12"/>
        <v>0</v>
      </c>
      <c r="D63" s="89" t="str">
        <f t="shared" si="13"/>
        <v>x</v>
      </c>
      <c r="E63" s="74">
        <f>IF($A63&lt;='Alternative 1'!$B$27, IF($A63='Alternative 1'!$B$27,0,E64+1),0)</f>
        <v>0</v>
      </c>
      <c r="F63" s="74">
        <f>IF($A63&lt;=('Alternative 1'!$B$28), IF($A63=ROUNDDOWN('Alternative 1'!$B$28,0),0,F64+1),0)</f>
        <v>0</v>
      </c>
      <c r="G63" s="74">
        <f>IF($A63&lt;=('Alternative 1'!$B$29), IF($A63=ROUNDDOWN('Alternative 1'!$B$29,0),0,G64+1),0)</f>
        <v>0</v>
      </c>
      <c r="H63" s="89" t="e">
        <f t="shared" si="14"/>
        <v>#VALUE!</v>
      </c>
      <c r="J63" s="77">
        <f t="shared" si="15"/>
        <v>60</v>
      </c>
      <c r="K63" s="82">
        <f t="shared" si="16"/>
        <v>1.0471975511965976</v>
      </c>
      <c r="L63" s="78">
        <f>'Alternative 1'!$B$27*SIN(K63)+'Alternative 1'!$B$28*SIN(K63)+'Alternative 1'!$B$29*SIN(K63)</f>
        <v>58.88972745734182</v>
      </c>
      <c r="M63" s="77">
        <f>(('Alternative 1'!$B$27)*(((('Alternative 1'!$B$28-'Alternative 1'!$B$27)/2)+'Alternative 1'!$B$27)*'Alternative 1'!$B$39)*COS('Alternative 1-Tilt Up'!K63))+(('Alternative 1'!$B$28)*((('Alternative 1'!$B$28-'Alternative 1'!$B$27)/2)+(('Alternative 1'!$B$29-'Alternative 1'!$B$28)/2))*('Alternative 1'!$B$39)*COS('Alternative 1-Tilt Up'!K63))+(('Alternative 1'!$B$29)*((('Alternative 1'!$B$12-'Alternative 1'!$B$29+(('Alternative 1'!$B$29-'Alternative 1'!$B$28)/2)*('Alternative 1'!$B$39)*COS('Alternative 1-Tilt Up'!K63)))))</f>
        <v>2373154.0271991105</v>
      </c>
      <c r="N63" s="77">
        <f t="shared" si="0"/>
        <v>120894.80439104569</v>
      </c>
      <c r="O63" s="77">
        <f>(((('Alternative 1'!$B$28-'Alternative 1'!$B$27)/2)+'Alternative 1'!$B$27)*('Alternative 1'!$B$39)*COS('Alternative 1-Tilt Up'!K63))+(((('Alternative 1'!$B$28-'Alternative 1'!$B$27)/2)+(('Alternative 1'!$B$29-'Alternative 1'!$B$28)/2))*('Alternative 1'!$B$39)*COS('Alternative 1-Tilt Up'!K63))+(((('Alternative 1'!$B$12-'Alternative 1'!$B$29)+(('Alternative 1'!$B$29-'Alternative 1'!$B$28)/2))*('Alternative 1'!$B$39)*COS('Alternative 1-Tilt Up'!K63)))</f>
        <v>153059.95331250579</v>
      </c>
      <c r="P63" s="82">
        <f t="shared" si="1"/>
        <v>60447.40219552286</v>
      </c>
      <c r="R63" s="78" t="e">
        <f>'Alternative 1'!$B$39*$B63*$C63*COS($K$5)-($N$5/3)*$E63*SIN($K$5)-($N$5/3)*$F63*SIN($K$5)-($N$5/3)*$G63*SIN($K$5)</f>
        <v>#VALUE!</v>
      </c>
      <c r="S63" s="79" t="e">
        <f>IF(($A63&lt;'Alternative 1'!$B$27),(($H63*'Alternative 1'!$B$39)+(3*($N$5/3)*COS($K$5))),IF(($A63&lt;'Alternative 1'!$B$28),(($H63*'Alternative 1'!$B$39)+(2*(($N$5/3)*COS($K$5)))),IF(($A63&lt;'Alternative 1'!$B$29),(($H$3*'Alternative 1'!$B$39+(($N$5/3)*COS($K$5)))),($H63*'Alternative 1'!$B$39))))</f>
        <v>#VALUE!</v>
      </c>
      <c r="T63" s="78" t="e">
        <f>R63*'Alternative 1'!$K64/'Alternative 1'!$L64</f>
        <v>#VALUE!</v>
      </c>
      <c r="U63" s="78" t="e">
        <f>S63/'Alternative 1'!$M64</f>
        <v>#VALUE!</v>
      </c>
      <c r="V63" s="78" t="e">
        <f t="shared" si="2"/>
        <v>#VALUE!</v>
      </c>
      <c r="X63" s="78" t="e">
        <f>'Alternative 1'!$B$39*$B63*$C63*COS($K$13)-($N$12/3)*$E63*SIN($K$13)-($N$12/3)*$F63*SIN($K$13)-($N$12/3)*$G63*SIN($K$13)</f>
        <v>#VALUE!</v>
      </c>
      <c r="Y63" s="79" t="e">
        <f>IF(($A63&lt;'Alternative 1'!$B$27),(($H63*'Alternative 1'!$B$39)+(3*($N$12/3)*COS($K$13))),IF(($A63&lt;'Alternative 1'!$B$28),(($H63*'Alternative 1'!$B$39)+(2*(($N$12/3)*COS($K$13)))),IF(($A63&lt;'Alternative 1'!$B$29),(($H$3*'Alternative 1'!$B$39+(($N$12/3)*COS($K$13)))),($H63*'Alternative 1'!$B$39))))</f>
        <v>#VALUE!</v>
      </c>
      <c r="Z63" s="78" t="e">
        <f>X63*'Alternative 1'!$K64/'Alternative 1'!$L64</f>
        <v>#VALUE!</v>
      </c>
      <c r="AA63" s="78" t="e">
        <f>Y63/'Alternative 1'!$M64</f>
        <v>#VALUE!</v>
      </c>
      <c r="AB63" s="78" t="e">
        <f t="shared" si="3"/>
        <v>#VALUE!</v>
      </c>
      <c r="AD63" s="78" t="e">
        <f>'Alternative 1'!$B$39*$B63*$C63*COS($K$23)-($N$22/3)*$E63*SIN($K$23)-($N$22/3)*$F63*SIN($K$23)-($N$22/3)*$G63*SIN($K$23)</f>
        <v>#VALUE!</v>
      </c>
      <c r="AE63" s="79" t="e">
        <f>IF(($A63&lt;'Alternative 1'!$B$27),(($H63*'Alternative 1'!$B$39)+(3*($N$22/3)*COS($K$23))),IF(($A63&lt;'Alternative 1'!$B$28),(($H63*'Alternative 1'!$B$39)+(2*(($N$22/3)*COS($K$23)))),IF(($A63&lt;'Alternative 1'!$B$29),(($H$3*'Alternative 1'!$B$39+(($N$22/3)*COS($K$23)))),($H63*'Alternative 1'!$B$39))))</f>
        <v>#VALUE!</v>
      </c>
      <c r="AF63" s="78" t="e">
        <f>AD63*'Alternative 1'!$K64/'Alternative 1'!$L64</f>
        <v>#VALUE!</v>
      </c>
      <c r="AG63" s="78" t="e">
        <f>AE63/'Alternative 1'!$M64</f>
        <v>#VALUE!</v>
      </c>
      <c r="AH63" s="78" t="e">
        <f t="shared" si="4"/>
        <v>#VALUE!</v>
      </c>
      <c r="AJ63" s="78" t="e">
        <f>'Alternative 1'!$B$39*$B63*$C63*COS($K$33)-($N$32/3)*$E63*SIN($K$33)-($N$32/3)*$F63*SIN($K$33)-($N$32/3)*$G63*SIN($K$33)</f>
        <v>#VALUE!</v>
      </c>
      <c r="AK63" s="79" t="e">
        <f>IF(($A63&lt;'Alternative 1'!$B$27),(($H63*'Alternative 1'!$B$39)+(3*($N$32/3)*COS($K$33))),IF(($A63&lt;'Alternative 1'!$B$28),(($H63*'Alternative 1'!$B$39)+(2*(($N$32/3)*COS($K$33)))),IF(($A63&lt;'Alternative 1'!$B$29),(($H$3*'Alternative 1'!$B$39+(($N$32/3)*COS($K$33)))),($H63*'Alternative 1'!$B$39))))</f>
        <v>#VALUE!</v>
      </c>
      <c r="AL63" s="78" t="e">
        <f>AJ63*'Alternative 1'!$K64/'Alternative 1'!$L64</f>
        <v>#VALUE!</v>
      </c>
      <c r="AM63" s="78" t="e">
        <f>AK63/'Alternative 1'!$M64</f>
        <v>#VALUE!</v>
      </c>
      <c r="AN63" s="78" t="e">
        <f t="shared" si="5"/>
        <v>#VALUE!</v>
      </c>
      <c r="AP63" s="78" t="e">
        <f>'Alternative 1'!$B$39*$B63*$C63*COS($K$43)-($N$42/3)*$E63*SIN($K$43)-($N$42/3)*$F63*SIN($K$43)-($N$42/3)*$G63*SIN($K$43)</f>
        <v>#VALUE!</v>
      </c>
      <c r="AQ63" s="79" t="e">
        <f>IF(($A63&lt;'Alternative 1'!$B$27),(($H63*'Alternative 1'!$B$39)+(3*($N$42/3)*COS($K$43))),IF(($A63&lt;'Alternative 1'!$B$28),(($H63*'Alternative 1'!$B$39)+(2*(($N$42/3)*COS($K$43)))),IF(($A63&lt;'Alternative 1'!$B$29),(($H$3*'Alternative 1'!$B$39+(($N$42/3)*COS($K$43)))),($H63*'Alternative 1'!$B$39))))</f>
        <v>#VALUE!</v>
      </c>
      <c r="AR63" s="78" t="e">
        <f>AP63*'Alternative 1'!$K64/'Alternative 1'!$L64</f>
        <v>#VALUE!</v>
      </c>
      <c r="AS63" s="78" t="e">
        <f>AQ63/'Alternative 1'!$M64</f>
        <v>#VALUE!</v>
      </c>
      <c r="AT63" s="78" t="e">
        <f t="shared" si="6"/>
        <v>#VALUE!</v>
      </c>
      <c r="AV63" s="78" t="e">
        <f>'Alternative 1'!$B$39*$B63*$C63*COS($K$53)-($N$52/3)*$E63*SIN($K$53)-($N$52/3)*$F63*SIN($K$53)-($N$52/3)*$G63*SIN($K$53)</f>
        <v>#VALUE!</v>
      </c>
      <c r="AW63" s="79" t="e">
        <f>IF(($A63&lt;'Alternative 1'!$B$27),(($H63*'Alternative 1'!$B$39)+(3*($N$52/3)*COS($K$53))),IF(($A63&lt;'Alternative 1'!$B$28),(($H63*'Alternative 1'!$B$39)+(2*(($N$52/3)*COS($K$53)))),IF(($A63&lt;'Alternative 1'!$B$29),(($H$3*'Alternative 1'!$B$39+(($N$52/3)*COS($K$53)))),($H63*'Alternative 1'!$B$39))))</f>
        <v>#VALUE!</v>
      </c>
      <c r="AX63" s="78" t="e">
        <f>AV63*'Alternative 1'!$K64/'Alternative 1'!$L64</f>
        <v>#VALUE!</v>
      </c>
      <c r="AY63" s="78" t="e">
        <f>AW63/'Alternative 1'!$M64</f>
        <v>#VALUE!</v>
      </c>
      <c r="AZ63" s="78" t="e">
        <f t="shared" si="7"/>
        <v>#VALUE!</v>
      </c>
      <c r="BB63" s="78" t="e">
        <f>'Alternative 1'!$B$39*$B63*$C63*COS($K$63)-($N$62/3)*$E63*SIN($K$63)-($N$62/3)*$F63*SIN($K$63)-($N$62/3)*$G63*SIN($K$63)</f>
        <v>#VALUE!</v>
      </c>
      <c r="BC63" s="79" t="e">
        <f>IF(($A63&lt;'Alternative 1'!$B$27),(($H63*'Alternative 1'!$B$39)+(3*($N$62/3)*COS($K$63))),IF(($A63&lt;'Alternative 1'!$B$28),(($H63*'Alternative 1'!$B$39)+(2*(($N$62/3)*COS($K$63)))),IF(($A63&lt;'Alternative 1'!$B$29),(($H$3*'Alternative 1'!$B$39+(($N$62/3)*COS($K$63)))),($H63*'Alternative 1'!$B$39))))</f>
        <v>#VALUE!</v>
      </c>
      <c r="BD63" s="78" t="e">
        <f>BB63*'Alternative 1'!$K64/'Alternative 1'!$L64</f>
        <v>#VALUE!</v>
      </c>
      <c r="BE63" s="78" t="e">
        <f>BC63/'Alternative 1'!$M64</f>
        <v>#VALUE!</v>
      </c>
      <c r="BF63" s="78" t="e">
        <f t="shared" si="8"/>
        <v>#VALUE!</v>
      </c>
      <c r="BH63" s="78" t="e">
        <f>'Alternative 1'!$B$39*$B63*$C63*COS($K$73)-($N$72/3)*$E63*SIN($K$73)-($N$72/3)*$F63*SIN($K$73)-($N$72/3)*$G63*SIN($K$73)</f>
        <v>#VALUE!</v>
      </c>
      <c r="BI63" s="79" t="e">
        <f>IF(($A63&lt;'Alternative 1'!$B$27),(($H63*'Alternative 1'!$B$39)+(3*($N$72/3)*COS($K$73))),IF(($A63&lt;'Alternative 1'!$B$28),(($H63*'Alternative 1'!$B$39)+(2*(($N$72/3)*COS($K$73)))),IF(($A63&lt;'Alternative 1'!$B$29),(($H$3*'Alternative 1'!$B$39+(($N$72/3)*COS($K$73)))),($H63*'Alternative 1'!$B$39))))</f>
        <v>#VALUE!</v>
      </c>
      <c r="BJ63" s="78" t="e">
        <f>BH63*'Alternative 1'!$K64/'Alternative 1'!$L64</f>
        <v>#VALUE!</v>
      </c>
      <c r="BK63" s="78" t="e">
        <f>BI63/'Alternative 1'!$M64</f>
        <v>#VALUE!</v>
      </c>
      <c r="BL63" s="78" t="e">
        <f t="shared" si="9"/>
        <v>#VALUE!</v>
      </c>
      <c r="BN63" s="78" t="e">
        <f>'Alternative 1'!$B$39*$B63*$C63*COS($K$83)-($N$82/3)*$E63*SIN($K$83)-($N$82/3)*$F63*SIN($K$83)-($N$82/3)*$G63*SIN($K$83)</f>
        <v>#VALUE!</v>
      </c>
      <c r="BO63" s="79" t="e">
        <f>IF(($A63&lt;'Alternative 1'!$B$27),(($H63*'Alternative 1'!$B$39)+(3*($N$82/3)*COS($K$83))),IF(($A63&lt;'Alternative 1'!$B$28),(($H63*'Alternative 1'!$B$39)+(2*(($N$82/3)*COS($K$83)))),IF(($A63&lt;'Alternative 1'!$B$29),(($H$3*'Alternative 1'!$B$39+(($N$82/3)*COS($K$83)))),($H63*'Alternative 1'!$B$39))))</f>
        <v>#VALUE!</v>
      </c>
      <c r="BP63" s="78" t="e">
        <f>BN63*'Alternative 1'!$K64/'Alternative 1'!$L64</f>
        <v>#VALUE!</v>
      </c>
      <c r="BQ63" s="78" t="e">
        <f>BO63/'Alternative 1'!$M64</f>
        <v>#VALUE!</v>
      </c>
      <c r="BR63" s="78" t="e">
        <f t="shared" si="10"/>
        <v>#VALUE!</v>
      </c>
      <c r="BT63" s="78" t="e">
        <f>'Alternative 1'!$B$39*$B63*$C63*COS($K$93)-($K$92/3)*$E63*SIN($K$93)-($K$92/3)*$F63*SIN($K$93)-($K$92/3)*$G63*SIN($K$93)</f>
        <v>#VALUE!</v>
      </c>
      <c r="BU63" s="79" t="e">
        <f>IF(($A63&lt;'Alternative 1'!$B$27),(($H63*'Alternative 1'!$B$39)+(3*($N$92/3)*COS($K$93))),IF(($A63&lt;'Alternative 1'!$B$28),(($H63*'Alternative 1'!$B$39)+(2*(($N$92/3)*COS($K$93)))),IF(($A63&lt;'Alternative 1'!$B$29),(($H$3*'Alternative 1'!$B$39+(($N$92/3)*COS($K$93)))),($H63*'Alternative 1'!$B$39))))</f>
        <v>#VALUE!</v>
      </c>
      <c r="BV63" s="78" t="e">
        <f>BT63*'Alternative 1'!$K64/'Alternative 1'!$L64</f>
        <v>#VALUE!</v>
      </c>
      <c r="BW63" s="78" t="e">
        <f>BU63/'Alternative 1'!$M64</f>
        <v>#VALUE!</v>
      </c>
      <c r="BX63" s="78" t="e">
        <f t="shared" si="11"/>
        <v>#VALUE!</v>
      </c>
      <c r="BZ63" s="77">
        <v>150</v>
      </c>
      <c r="CA63" s="77">
        <v>-150</v>
      </c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</row>
    <row r="64" spans="1:115" ht="15" customHeight="1" x14ac:dyDescent="0.25">
      <c r="A64" s="89" t="str">
        <f>IF('Alternative 1'!F65&gt;0,'Alternative 1'!F65,"x")</f>
        <v>x</v>
      </c>
      <c r="B64" s="89" t="e">
        <f t="shared" si="17"/>
        <v>#VALUE!</v>
      </c>
      <c r="C64" s="89">
        <f t="shared" si="12"/>
        <v>0</v>
      </c>
      <c r="D64" s="89" t="str">
        <f t="shared" si="13"/>
        <v>x</v>
      </c>
      <c r="E64" s="74">
        <f>IF($A64&lt;='Alternative 1'!$B$27, IF($A64='Alternative 1'!$B$27,0,E65+1),0)</f>
        <v>0</v>
      </c>
      <c r="F64" s="74">
        <f>IF($A64&lt;=('Alternative 1'!$B$28), IF($A64=ROUNDDOWN('Alternative 1'!$B$28,0),0,F65+1),0)</f>
        <v>0</v>
      </c>
      <c r="G64" s="74">
        <f>IF($A64&lt;=('Alternative 1'!$B$29), IF($A64=ROUNDDOWN('Alternative 1'!$B$29,0),0,G65+1),0)</f>
        <v>0</v>
      </c>
      <c r="H64" s="89" t="e">
        <f t="shared" si="14"/>
        <v>#VALUE!</v>
      </c>
      <c r="J64" s="77">
        <f t="shared" si="15"/>
        <v>61</v>
      </c>
      <c r="K64" s="77">
        <f t="shared" si="16"/>
        <v>1.064650843716541</v>
      </c>
      <c r="L64" s="78">
        <f>'Alternative 1'!$B$27*SIN(K64)+'Alternative 1'!$B$28*SIN(K64)+'Alternative 1'!$B$29*SIN(K64)</f>
        <v>59.474140085478915</v>
      </c>
      <c r="M64" s="77">
        <f>(('Alternative 1'!$B$27)*(((('Alternative 1'!$B$28-'Alternative 1'!$B$27)/2)+'Alternative 1'!$B$27)*'Alternative 1'!$B$39)*COS('Alternative 1-Tilt Up'!K64))+(('Alternative 1'!$B$28)*((('Alternative 1'!$B$28-'Alternative 1'!$B$27)/2)+(('Alternative 1'!$B$29-'Alternative 1'!$B$28)/2))*('Alternative 1'!$B$39)*COS('Alternative 1-Tilt Up'!K64))+(('Alternative 1'!$B$29)*((('Alternative 1'!$B$12-'Alternative 1'!$B$29+(('Alternative 1'!$B$29-'Alternative 1'!$B$28)/2)*('Alternative 1'!$B$39)*COS('Alternative 1-Tilt Up'!K64)))))</f>
        <v>2301061.7488463335</v>
      </c>
      <c r="N64" s="77">
        <f t="shared" si="0"/>
        <v>116070.36666049196</v>
      </c>
      <c r="O64" s="77">
        <f>(((('Alternative 1'!$B$28-'Alternative 1'!$B$27)/2)+'Alternative 1'!$B$27)*('Alternative 1'!$B$39)*COS('Alternative 1-Tilt Up'!K64))+(((('Alternative 1'!$B$28-'Alternative 1'!$B$27)/2)+(('Alternative 1'!$B$29-'Alternative 1'!$B$28)/2))*('Alternative 1'!$B$39)*COS('Alternative 1-Tilt Up'!K64))+(((('Alternative 1'!$B$12-'Alternative 1'!$B$29)+(('Alternative 1'!$B$29-'Alternative 1'!$B$28)/2))*('Alternative 1'!$B$39)*COS('Alternative 1-Tilt Up'!K64)))</f>
        <v>148409.87568071604</v>
      </c>
      <c r="P64" s="77">
        <f t="shared" si="1"/>
        <v>56272.030382526216</v>
      </c>
      <c r="R64" s="78" t="e">
        <f>'Alternative 1'!$B$39*$B64*$C64*COS($K$5)-($N$5/3)*$E64*SIN($K$5)-($N$5/3)*$F64*SIN($K$5)-($N$5/3)*$G64*SIN($K$5)</f>
        <v>#VALUE!</v>
      </c>
      <c r="S64" s="79" t="e">
        <f>IF(($A64&lt;'Alternative 1'!$B$27),(($H64*'Alternative 1'!$B$39)+(3*($N$5/3)*COS($K$5))),IF(($A64&lt;'Alternative 1'!$B$28),(($H64*'Alternative 1'!$B$39)+(2*(($N$5/3)*COS($K$5)))),IF(($A64&lt;'Alternative 1'!$B$29),(($H$3*'Alternative 1'!$B$39+(($N$5/3)*COS($K$5)))),($H64*'Alternative 1'!$B$39))))</f>
        <v>#VALUE!</v>
      </c>
      <c r="T64" s="78" t="e">
        <f>R64*'Alternative 1'!$K65/'Alternative 1'!$L65</f>
        <v>#VALUE!</v>
      </c>
      <c r="U64" s="78" t="e">
        <f>S64/'Alternative 1'!$M65</f>
        <v>#VALUE!</v>
      </c>
      <c r="V64" s="78" t="e">
        <f t="shared" si="2"/>
        <v>#VALUE!</v>
      </c>
      <c r="X64" s="78" t="e">
        <f>'Alternative 1'!$B$39*$B64*$C64*COS($K$13)-($N$12/3)*$E64*SIN($K$13)-($N$12/3)*$F64*SIN($K$13)-($N$12/3)*$G64*SIN($K$13)</f>
        <v>#VALUE!</v>
      </c>
      <c r="Y64" s="79" t="e">
        <f>IF(($A64&lt;'Alternative 1'!$B$27),(($H64*'Alternative 1'!$B$39)+(3*($N$12/3)*COS($K$13))),IF(($A64&lt;'Alternative 1'!$B$28),(($H64*'Alternative 1'!$B$39)+(2*(($N$12/3)*COS($K$13)))),IF(($A64&lt;'Alternative 1'!$B$29),(($H$3*'Alternative 1'!$B$39+(($N$12/3)*COS($K$13)))),($H64*'Alternative 1'!$B$39))))</f>
        <v>#VALUE!</v>
      </c>
      <c r="Z64" s="78" t="e">
        <f>X64*'Alternative 1'!$K65/'Alternative 1'!$L65</f>
        <v>#VALUE!</v>
      </c>
      <c r="AA64" s="78" t="e">
        <f>Y64/'Alternative 1'!$M65</f>
        <v>#VALUE!</v>
      </c>
      <c r="AB64" s="78" t="e">
        <f t="shared" si="3"/>
        <v>#VALUE!</v>
      </c>
      <c r="AD64" s="78" t="e">
        <f>'Alternative 1'!$B$39*$B64*$C64*COS($K$23)-($N$22/3)*$E64*SIN($K$23)-($N$22/3)*$F64*SIN($K$23)-($N$22/3)*$G64*SIN($K$23)</f>
        <v>#VALUE!</v>
      </c>
      <c r="AE64" s="79" t="e">
        <f>IF(($A64&lt;'Alternative 1'!$B$27),(($H64*'Alternative 1'!$B$39)+(3*($N$22/3)*COS($K$23))),IF(($A64&lt;'Alternative 1'!$B$28),(($H64*'Alternative 1'!$B$39)+(2*(($N$22/3)*COS($K$23)))),IF(($A64&lt;'Alternative 1'!$B$29),(($H$3*'Alternative 1'!$B$39+(($N$22/3)*COS($K$23)))),($H64*'Alternative 1'!$B$39))))</f>
        <v>#VALUE!</v>
      </c>
      <c r="AF64" s="78" t="e">
        <f>AD64*'Alternative 1'!$K65/'Alternative 1'!$L65</f>
        <v>#VALUE!</v>
      </c>
      <c r="AG64" s="78" t="e">
        <f>AE64/'Alternative 1'!$M65</f>
        <v>#VALUE!</v>
      </c>
      <c r="AH64" s="78" t="e">
        <f t="shared" si="4"/>
        <v>#VALUE!</v>
      </c>
      <c r="AJ64" s="78" t="e">
        <f>'Alternative 1'!$B$39*$B64*$C64*COS($K$33)-($N$32/3)*$E64*SIN($K$33)-($N$32/3)*$F64*SIN($K$33)-($N$32/3)*$G64*SIN($K$33)</f>
        <v>#VALUE!</v>
      </c>
      <c r="AK64" s="79" t="e">
        <f>IF(($A64&lt;'Alternative 1'!$B$27),(($H64*'Alternative 1'!$B$39)+(3*($N$32/3)*COS($K$33))),IF(($A64&lt;'Alternative 1'!$B$28),(($H64*'Alternative 1'!$B$39)+(2*(($N$32/3)*COS($K$33)))),IF(($A64&lt;'Alternative 1'!$B$29),(($H$3*'Alternative 1'!$B$39+(($N$32/3)*COS($K$33)))),($H64*'Alternative 1'!$B$39))))</f>
        <v>#VALUE!</v>
      </c>
      <c r="AL64" s="78" t="e">
        <f>AJ64*'Alternative 1'!$K65/'Alternative 1'!$L65</f>
        <v>#VALUE!</v>
      </c>
      <c r="AM64" s="78" t="e">
        <f>AK64/'Alternative 1'!$M65</f>
        <v>#VALUE!</v>
      </c>
      <c r="AN64" s="78" t="e">
        <f t="shared" si="5"/>
        <v>#VALUE!</v>
      </c>
      <c r="AP64" s="78" t="e">
        <f>'Alternative 1'!$B$39*$B64*$C64*COS($K$43)-($N$42/3)*$E64*SIN($K$43)-($N$42/3)*$F64*SIN($K$43)-($N$42/3)*$G64*SIN($K$43)</f>
        <v>#VALUE!</v>
      </c>
      <c r="AQ64" s="79" t="e">
        <f>IF(($A64&lt;'Alternative 1'!$B$27),(($H64*'Alternative 1'!$B$39)+(3*($N$42/3)*COS($K$43))),IF(($A64&lt;'Alternative 1'!$B$28),(($H64*'Alternative 1'!$B$39)+(2*(($N$42/3)*COS($K$43)))),IF(($A64&lt;'Alternative 1'!$B$29),(($H$3*'Alternative 1'!$B$39+(($N$42/3)*COS($K$43)))),($H64*'Alternative 1'!$B$39))))</f>
        <v>#VALUE!</v>
      </c>
      <c r="AR64" s="78" t="e">
        <f>AP64*'Alternative 1'!$K65/'Alternative 1'!$L65</f>
        <v>#VALUE!</v>
      </c>
      <c r="AS64" s="78" t="e">
        <f>AQ64/'Alternative 1'!$M65</f>
        <v>#VALUE!</v>
      </c>
      <c r="AT64" s="78" t="e">
        <f t="shared" si="6"/>
        <v>#VALUE!</v>
      </c>
      <c r="AV64" s="78" t="e">
        <f>'Alternative 1'!$B$39*$B64*$C64*COS($K$53)-($N$52/3)*$E64*SIN($K$53)-($N$52/3)*$F64*SIN($K$53)-($N$52/3)*$G64*SIN($K$53)</f>
        <v>#VALUE!</v>
      </c>
      <c r="AW64" s="79" t="e">
        <f>IF(($A64&lt;'Alternative 1'!$B$27),(($H64*'Alternative 1'!$B$39)+(3*($N$52/3)*COS($K$53))),IF(($A64&lt;'Alternative 1'!$B$28),(($H64*'Alternative 1'!$B$39)+(2*(($N$52/3)*COS($K$53)))),IF(($A64&lt;'Alternative 1'!$B$29),(($H$3*'Alternative 1'!$B$39+(($N$52/3)*COS($K$53)))),($H64*'Alternative 1'!$B$39))))</f>
        <v>#VALUE!</v>
      </c>
      <c r="AX64" s="78" t="e">
        <f>AV64*'Alternative 1'!$K65/'Alternative 1'!$L65</f>
        <v>#VALUE!</v>
      </c>
      <c r="AY64" s="78" t="e">
        <f>AW64/'Alternative 1'!$M65</f>
        <v>#VALUE!</v>
      </c>
      <c r="AZ64" s="78" t="e">
        <f t="shared" si="7"/>
        <v>#VALUE!</v>
      </c>
      <c r="BB64" s="78" t="e">
        <f>'Alternative 1'!$B$39*$B64*$C64*COS($K$63)-($N$62/3)*$E64*SIN($K$63)-($N$62/3)*$F64*SIN($K$63)-($N$62/3)*$G64*SIN($K$63)</f>
        <v>#VALUE!</v>
      </c>
      <c r="BC64" s="79" t="e">
        <f>IF(($A64&lt;'Alternative 1'!$B$27),(($H64*'Alternative 1'!$B$39)+(3*($N$62/3)*COS($K$63))),IF(($A64&lt;'Alternative 1'!$B$28),(($H64*'Alternative 1'!$B$39)+(2*(($N$62/3)*COS($K$63)))),IF(($A64&lt;'Alternative 1'!$B$29),(($H$3*'Alternative 1'!$B$39+(($N$62/3)*COS($K$63)))),($H64*'Alternative 1'!$B$39))))</f>
        <v>#VALUE!</v>
      </c>
      <c r="BD64" s="78" t="e">
        <f>BB64*'Alternative 1'!$K65/'Alternative 1'!$L65</f>
        <v>#VALUE!</v>
      </c>
      <c r="BE64" s="78" t="e">
        <f>BC64/'Alternative 1'!$M65</f>
        <v>#VALUE!</v>
      </c>
      <c r="BF64" s="78" t="e">
        <f t="shared" si="8"/>
        <v>#VALUE!</v>
      </c>
      <c r="BH64" s="78" t="e">
        <f>'Alternative 1'!$B$39*$B64*$C64*COS($K$73)-($N$72/3)*$E64*SIN($K$73)-($N$72/3)*$F64*SIN($K$73)-($N$72/3)*$G64*SIN($K$73)</f>
        <v>#VALUE!</v>
      </c>
      <c r="BI64" s="79" t="e">
        <f>IF(($A64&lt;'Alternative 1'!$B$27),(($H64*'Alternative 1'!$B$39)+(3*($N$72/3)*COS($K$73))),IF(($A64&lt;'Alternative 1'!$B$28),(($H64*'Alternative 1'!$B$39)+(2*(($N$72/3)*COS($K$73)))),IF(($A64&lt;'Alternative 1'!$B$29),(($H$3*'Alternative 1'!$B$39+(($N$72/3)*COS($K$73)))),($H64*'Alternative 1'!$B$39))))</f>
        <v>#VALUE!</v>
      </c>
      <c r="BJ64" s="78" t="e">
        <f>BH64*'Alternative 1'!$K65/'Alternative 1'!$L65</f>
        <v>#VALUE!</v>
      </c>
      <c r="BK64" s="78" t="e">
        <f>BI64/'Alternative 1'!$M65</f>
        <v>#VALUE!</v>
      </c>
      <c r="BL64" s="78" t="e">
        <f t="shared" si="9"/>
        <v>#VALUE!</v>
      </c>
      <c r="BN64" s="78" t="e">
        <f>'Alternative 1'!$B$39*$B64*$C64*COS($K$83)-($N$82/3)*$E64*SIN($K$83)-($N$82/3)*$F64*SIN($K$83)-($N$82/3)*$G64*SIN($K$83)</f>
        <v>#VALUE!</v>
      </c>
      <c r="BO64" s="79" t="e">
        <f>IF(($A64&lt;'Alternative 1'!$B$27),(($H64*'Alternative 1'!$B$39)+(3*($N$82/3)*COS($K$83))),IF(($A64&lt;'Alternative 1'!$B$28),(($H64*'Alternative 1'!$B$39)+(2*(($N$82/3)*COS($K$83)))),IF(($A64&lt;'Alternative 1'!$B$29),(($H$3*'Alternative 1'!$B$39+(($N$82/3)*COS($K$83)))),($H64*'Alternative 1'!$B$39))))</f>
        <v>#VALUE!</v>
      </c>
      <c r="BP64" s="78" t="e">
        <f>BN64*'Alternative 1'!$K65/'Alternative 1'!$L65</f>
        <v>#VALUE!</v>
      </c>
      <c r="BQ64" s="78" t="e">
        <f>BO64/'Alternative 1'!$M65</f>
        <v>#VALUE!</v>
      </c>
      <c r="BR64" s="78" t="e">
        <f t="shared" si="10"/>
        <v>#VALUE!</v>
      </c>
      <c r="BT64" s="78" t="e">
        <f>'Alternative 1'!$B$39*$B64*$C64*COS($K$93)-($K$92/3)*$E64*SIN($K$93)-($K$92/3)*$F64*SIN($K$93)-($K$92/3)*$G64*SIN($K$93)</f>
        <v>#VALUE!</v>
      </c>
      <c r="BU64" s="79" t="e">
        <f>IF(($A64&lt;'Alternative 1'!$B$27),(($H64*'Alternative 1'!$B$39)+(3*($N$92/3)*COS($K$93))),IF(($A64&lt;'Alternative 1'!$B$28),(($H64*'Alternative 1'!$B$39)+(2*(($N$92/3)*COS($K$93)))),IF(($A64&lt;'Alternative 1'!$B$29),(($H$3*'Alternative 1'!$B$39+(($N$92/3)*COS($K$93)))),($H64*'Alternative 1'!$B$39))))</f>
        <v>#VALUE!</v>
      </c>
      <c r="BV64" s="78" t="e">
        <f>BT64*'Alternative 1'!$K65/'Alternative 1'!$L65</f>
        <v>#VALUE!</v>
      </c>
      <c r="BW64" s="78" t="e">
        <f>BU64/'Alternative 1'!$M65</f>
        <v>#VALUE!</v>
      </c>
      <c r="BX64" s="78" t="e">
        <f t="shared" si="11"/>
        <v>#VALUE!</v>
      </c>
      <c r="BZ64" s="77">
        <v>150</v>
      </c>
      <c r="CA64" s="77">
        <v>-150</v>
      </c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</row>
    <row r="65" spans="1:115" ht="15" customHeight="1" x14ac:dyDescent="0.25">
      <c r="A65" s="89" t="str">
        <f>IF('Alternative 1'!F66&gt;0,'Alternative 1'!F66,"x")</f>
        <v>x</v>
      </c>
      <c r="B65" s="89" t="e">
        <f t="shared" si="17"/>
        <v>#VALUE!</v>
      </c>
      <c r="C65" s="89">
        <f t="shared" si="12"/>
        <v>0</v>
      </c>
      <c r="D65" s="89" t="str">
        <f t="shared" si="13"/>
        <v>x</v>
      </c>
      <c r="E65" s="74">
        <f>IF($A65&lt;='Alternative 1'!$B$27, IF($A65='Alternative 1'!$B$27,0,E66+1),0)</f>
        <v>0</v>
      </c>
      <c r="F65" s="74">
        <f>IF($A65&lt;=('Alternative 1'!$B$28), IF($A65=ROUNDDOWN('Alternative 1'!$B$28,0),0,F66+1),0)</f>
        <v>0</v>
      </c>
      <c r="G65" s="74">
        <f>IF($A65&lt;=('Alternative 1'!$B$29), IF($A65=ROUNDDOWN('Alternative 1'!$B$29,0),0,G66+1),0)</f>
        <v>0</v>
      </c>
      <c r="H65" s="89" t="e">
        <f t="shared" si="14"/>
        <v>#VALUE!</v>
      </c>
      <c r="J65" s="77">
        <f t="shared" si="15"/>
        <v>62</v>
      </c>
      <c r="K65" s="77">
        <f t="shared" si="16"/>
        <v>1.0821041362364843</v>
      </c>
      <c r="L65" s="78">
        <f>'Alternative 1'!$B$27*SIN(K65)+'Alternative 1'!$B$28*SIN(K65)+'Alternative 1'!$B$29*SIN(K65)</f>
        <v>60.040436314407032</v>
      </c>
      <c r="M65" s="77">
        <f>(('Alternative 1'!$B$27)*(((('Alternative 1'!$B$28-'Alternative 1'!$B$27)/2)+'Alternative 1'!$B$27)*'Alternative 1'!$B$39)*COS('Alternative 1-Tilt Up'!K65))+(('Alternative 1'!$B$28)*((('Alternative 1'!$B$28-'Alternative 1'!$B$27)/2)+(('Alternative 1'!$B$29-'Alternative 1'!$B$28)/2))*('Alternative 1'!$B$39)*COS('Alternative 1-Tilt Up'!K65))+(('Alternative 1'!$B$29)*((('Alternative 1'!$B$12-'Alternative 1'!$B$29+(('Alternative 1'!$B$29-'Alternative 1'!$B$28)/2)*('Alternative 1'!$B$39)*COS('Alternative 1-Tilt Up'!K65)))))</f>
        <v>2228268.6043851003</v>
      </c>
      <c r="N65" s="77">
        <f t="shared" si="0"/>
        <v>111338.39498017181</v>
      </c>
      <c r="O65" s="77">
        <f>(((('Alternative 1'!$B$28-'Alternative 1'!$B$27)/2)+'Alternative 1'!$B$27)*('Alternative 1'!$B$39)*COS('Alternative 1-Tilt Up'!K65))+(((('Alternative 1'!$B$28-'Alternative 1'!$B$27)/2)+(('Alternative 1'!$B$29-'Alternative 1'!$B$28)/2))*('Alternative 1'!$B$39)*COS('Alternative 1-Tilt Up'!K65))+(((('Alternative 1'!$B$12-'Alternative 1'!$B$29)+(('Alternative 1'!$B$29-'Alternative 1'!$B$28)/2))*('Alternative 1'!$B$39)*COS('Alternative 1-Tilt Up'!K65)))</f>
        <v>143714.59096311516</v>
      </c>
      <c r="P65" s="77">
        <f t="shared" si="1"/>
        <v>52270.210289414048</v>
      </c>
      <c r="R65" s="78" t="e">
        <f>'Alternative 1'!$B$39*$B65*$C65*COS($K$5)-($N$5/3)*$E65*SIN($K$5)-($N$5/3)*$F65*SIN($K$5)-($N$5/3)*$G65*SIN($K$5)</f>
        <v>#VALUE!</v>
      </c>
      <c r="S65" s="79" t="e">
        <f>IF(($A65&lt;'Alternative 1'!$B$27),(($H65*'Alternative 1'!$B$39)+(3*($N$5/3)*COS($K$5))),IF(($A65&lt;'Alternative 1'!$B$28),(($H65*'Alternative 1'!$B$39)+(2*(($N$5/3)*COS($K$5)))),IF(($A65&lt;'Alternative 1'!$B$29),(($H$3*'Alternative 1'!$B$39+(($N$5/3)*COS($K$5)))),($H65*'Alternative 1'!$B$39))))</f>
        <v>#VALUE!</v>
      </c>
      <c r="T65" s="78" t="e">
        <f>R65*'Alternative 1'!$K66/'Alternative 1'!$L66</f>
        <v>#VALUE!</v>
      </c>
      <c r="U65" s="78" t="e">
        <f>S65/'Alternative 1'!$M66</f>
        <v>#VALUE!</v>
      </c>
      <c r="V65" s="78" t="e">
        <f t="shared" si="2"/>
        <v>#VALUE!</v>
      </c>
      <c r="X65" s="78" t="e">
        <f>'Alternative 1'!$B$39*$B65*$C65*COS($K$13)-($N$12/3)*$E65*SIN($K$13)-($N$12/3)*$F65*SIN($K$13)-($N$12/3)*$G65*SIN($K$13)</f>
        <v>#VALUE!</v>
      </c>
      <c r="Y65" s="79" t="e">
        <f>IF(($A65&lt;'Alternative 1'!$B$27),(($H65*'Alternative 1'!$B$39)+(3*($N$12/3)*COS($K$13))),IF(($A65&lt;'Alternative 1'!$B$28),(($H65*'Alternative 1'!$B$39)+(2*(($N$12/3)*COS($K$13)))),IF(($A65&lt;'Alternative 1'!$B$29),(($H$3*'Alternative 1'!$B$39+(($N$12/3)*COS($K$13)))),($H65*'Alternative 1'!$B$39))))</f>
        <v>#VALUE!</v>
      </c>
      <c r="Z65" s="78" t="e">
        <f>X65*'Alternative 1'!$K66/'Alternative 1'!$L66</f>
        <v>#VALUE!</v>
      </c>
      <c r="AA65" s="78" t="e">
        <f>Y65/'Alternative 1'!$M66</f>
        <v>#VALUE!</v>
      </c>
      <c r="AB65" s="78" t="e">
        <f t="shared" si="3"/>
        <v>#VALUE!</v>
      </c>
      <c r="AD65" s="78" t="e">
        <f>'Alternative 1'!$B$39*$B65*$C65*COS($K$23)-($N$22/3)*$E65*SIN($K$23)-($N$22/3)*$F65*SIN($K$23)-($N$22/3)*$G65*SIN($K$23)</f>
        <v>#VALUE!</v>
      </c>
      <c r="AE65" s="79" t="e">
        <f>IF(($A65&lt;'Alternative 1'!$B$27),(($H65*'Alternative 1'!$B$39)+(3*($N$22/3)*COS($K$23))),IF(($A65&lt;'Alternative 1'!$B$28),(($H65*'Alternative 1'!$B$39)+(2*(($N$22/3)*COS($K$23)))),IF(($A65&lt;'Alternative 1'!$B$29),(($H$3*'Alternative 1'!$B$39+(($N$22/3)*COS($K$23)))),($H65*'Alternative 1'!$B$39))))</f>
        <v>#VALUE!</v>
      </c>
      <c r="AF65" s="78" t="e">
        <f>AD65*'Alternative 1'!$K66/'Alternative 1'!$L66</f>
        <v>#VALUE!</v>
      </c>
      <c r="AG65" s="78" t="e">
        <f>AE65/'Alternative 1'!$M66</f>
        <v>#VALUE!</v>
      </c>
      <c r="AH65" s="78" t="e">
        <f t="shared" si="4"/>
        <v>#VALUE!</v>
      </c>
      <c r="AJ65" s="78" t="e">
        <f>'Alternative 1'!$B$39*$B65*$C65*COS($K$33)-($N$32/3)*$E65*SIN($K$33)-($N$32/3)*$F65*SIN($K$33)-($N$32/3)*$G65*SIN($K$33)</f>
        <v>#VALUE!</v>
      </c>
      <c r="AK65" s="79" t="e">
        <f>IF(($A65&lt;'Alternative 1'!$B$27),(($H65*'Alternative 1'!$B$39)+(3*($N$32/3)*COS($K$33))),IF(($A65&lt;'Alternative 1'!$B$28),(($H65*'Alternative 1'!$B$39)+(2*(($N$32/3)*COS($K$33)))),IF(($A65&lt;'Alternative 1'!$B$29),(($H$3*'Alternative 1'!$B$39+(($N$32/3)*COS($K$33)))),($H65*'Alternative 1'!$B$39))))</f>
        <v>#VALUE!</v>
      </c>
      <c r="AL65" s="78" t="e">
        <f>AJ65*'Alternative 1'!$K66/'Alternative 1'!$L66</f>
        <v>#VALUE!</v>
      </c>
      <c r="AM65" s="78" t="e">
        <f>AK65/'Alternative 1'!$M66</f>
        <v>#VALUE!</v>
      </c>
      <c r="AN65" s="78" t="e">
        <f t="shared" si="5"/>
        <v>#VALUE!</v>
      </c>
      <c r="AP65" s="78" t="e">
        <f>'Alternative 1'!$B$39*$B65*$C65*COS($K$43)-($N$42/3)*$E65*SIN($K$43)-($N$42/3)*$F65*SIN($K$43)-($N$42/3)*$G65*SIN($K$43)</f>
        <v>#VALUE!</v>
      </c>
      <c r="AQ65" s="79" t="e">
        <f>IF(($A65&lt;'Alternative 1'!$B$27),(($H65*'Alternative 1'!$B$39)+(3*($N$42/3)*COS($K$43))),IF(($A65&lt;'Alternative 1'!$B$28),(($H65*'Alternative 1'!$B$39)+(2*(($N$42/3)*COS($K$43)))),IF(($A65&lt;'Alternative 1'!$B$29),(($H$3*'Alternative 1'!$B$39+(($N$42/3)*COS($K$43)))),($H65*'Alternative 1'!$B$39))))</f>
        <v>#VALUE!</v>
      </c>
      <c r="AR65" s="78" t="e">
        <f>AP65*'Alternative 1'!$K66/'Alternative 1'!$L66</f>
        <v>#VALUE!</v>
      </c>
      <c r="AS65" s="78" t="e">
        <f>AQ65/'Alternative 1'!$M66</f>
        <v>#VALUE!</v>
      </c>
      <c r="AT65" s="78" t="e">
        <f t="shared" si="6"/>
        <v>#VALUE!</v>
      </c>
      <c r="AV65" s="78" t="e">
        <f>'Alternative 1'!$B$39*$B65*$C65*COS($K$53)-($N$52/3)*$E65*SIN($K$53)-($N$52/3)*$F65*SIN($K$53)-($N$52/3)*$G65*SIN($K$53)</f>
        <v>#VALUE!</v>
      </c>
      <c r="AW65" s="79" t="e">
        <f>IF(($A65&lt;'Alternative 1'!$B$27),(($H65*'Alternative 1'!$B$39)+(3*($N$52/3)*COS($K$53))),IF(($A65&lt;'Alternative 1'!$B$28),(($H65*'Alternative 1'!$B$39)+(2*(($N$52/3)*COS($K$53)))),IF(($A65&lt;'Alternative 1'!$B$29),(($H$3*'Alternative 1'!$B$39+(($N$52/3)*COS($K$53)))),($H65*'Alternative 1'!$B$39))))</f>
        <v>#VALUE!</v>
      </c>
      <c r="AX65" s="78" t="e">
        <f>AV65*'Alternative 1'!$K66/'Alternative 1'!$L66</f>
        <v>#VALUE!</v>
      </c>
      <c r="AY65" s="78" t="e">
        <f>AW65/'Alternative 1'!$M66</f>
        <v>#VALUE!</v>
      </c>
      <c r="AZ65" s="78" t="e">
        <f t="shared" si="7"/>
        <v>#VALUE!</v>
      </c>
      <c r="BB65" s="78" t="e">
        <f>'Alternative 1'!$B$39*$B65*$C65*COS($K$63)-($N$62/3)*$E65*SIN($K$63)-($N$62/3)*$F65*SIN($K$63)-($N$62/3)*$G65*SIN($K$63)</f>
        <v>#VALUE!</v>
      </c>
      <c r="BC65" s="79" t="e">
        <f>IF(($A65&lt;'Alternative 1'!$B$27),(($H65*'Alternative 1'!$B$39)+(3*($N$62/3)*COS($K$63))),IF(($A65&lt;'Alternative 1'!$B$28),(($H65*'Alternative 1'!$B$39)+(2*(($N$62/3)*COS($K$63)))),IF(($A65&lt;'Alternative 1'!$B$29),(($H$3*'Alternative 1'!$B$39+(($N$62/3)*COS($K$63)))),($H65*'Alternative 1'!$B$39))))</f>
        <v>#VALUE!</v>
      </c>
      <c r="BD65" s="78" t="e">
        <f>BB65*'Alternative 1'!$K66/'Alternative 1'!$L66</f>
        <v>#VALUE!</v>
      </c>
      <c r="BE65" s="78" t="e">
        <f>BC65/'Alternative 1'!$M66</f>
        <v>#VALUE!</v>
      </c>
      <c r="BF65" s="78" t="e">
        <f t="shared" si="8"/>
        <v>#VALUE!</v>
      </c>
      <c r="BH65" s="78" t="e">
        <f>'Alternative 1'!$B$39*$B65*$C65*COS($K$73)-($N$72/3)*$E65*SIN($K$73)-($N$72/3)*$F65*SIN($K$73)-($N$72/3)*$G65*SIN($K$73)</f>
        <v>#VALUE!</v>
      </c>
      <c r="BI65" s="79" t="e">
        <f>IF(($A65&lt;'Alternative 1'!$B$27),(($H65*'Alternative 1'!$B$39)+(3*($N$72/3)*COS($K$73))),IF(($A65&lt;'Alternative 1'!$B$28),(($H65*'Alternative 1'!$B$39)+(2*(($N$72/3)*COS($K$73)))),IF(($A65&lt;'Alternative 1'!$B$29),(($H$3*'Alternative 1'!$B$39+(($N$72/3)*COS($K$73)))),($H65*'Alternative 1'!$B$39))))</f>
        <v>#VALUE!</v>
      </c>
      <c r="BJ65" s="78" t="e">
        <f>BH65*'Alternative 1'!$K66/'Alternative 1'!$L66</f>
        <v>#VALUE!</v>
      </c>
      <c r="BK65" s="78" t="e">
        <f>BI65/'Alternative 1'!$M66</f>
        <v>#VALUE!</v>
      </c>
      <c r="BL65" s="78" t="e">
        <f t="shared" si="9"/>
        <v>#VALUE!</v>
      </c>
      <c r="BN65" s="78" t="e">
        <f>'Alternative 1'!$B$39*$B65*$C65*COS($K$83)-($N$82/3)*$E65*SIN($K$83)-($N$82/3)*$F65*SIN($K$83)-($N$82/3)*$G65*SIN($K$83)</f>
        <v>#VALUE!</v>
      </c>
      <c r="BO65" s="79" t="e">
        <f>IF(($A65&lt;'Alternative 1'!$B$27),(($H65*'Alternative 1'!$B$39)+(3*($N$82/3)*COS($K$83))),IF(($A65&lt;'Alternative 1'!$B$28),(($H65*'Alternative 1'!$B$39)+(2*(($N$82/3)*COS($K$83)))),IF(($A65&lt;'Alternative 1'!$B$29),(($H$3*'Alternative 1'!$B$39+(($N$82/3)*COS($K$83)))),($H65*'Alternative 1'!$B$39))))</f>
        <v>#VALUE!</v>
      </c>
      <c r="BP65" s="78" t="e">
        <f>BN65*'Alternative 1'!$K66/'Alternative 1'!$L66</f>
        <v>#VALUE!</v>
      </c>
      <c r="BQ65" s="78" t="e">
        <f>BO65/'Alternative 1'!$M66</f>
        <v>#VALUE!</v>
      </c>
      <c r="BR65" s="78" t="e">
        <f t="shared" si="10"/>
        <v>#VALUE!</v>
      </c>
      <c r="BT65" s="78" t="e">
        <f>'Alternative 1'!$B$39*$B65*$C65*COS($K$93)-($K$92/3)*$E65*SIN($K$93)-($K$92/3)*$F65*SIN($K$93)-($K$92/3)*$G65*SIN($K$93)</f>
        <v>#VALUE!</v>
      </c>
      <c r="BU65" s="79" t="e">
        <f>IF(($A65&lt;'Alternative 1'!$B$27),(($H65*'Alternative 1'!$B$39)+(3*($N$92/3)*COS($K$93))),IF(($A65&lt;'Alternative 1'!$B$28),(($H65*'Alternative 1'!$B$39)+(2*(($N$92/3)*COS($K$93)))),IF(($A65&lt;'Alternative 1'!$B$29),(($H$3*'Alternative 1'!$B$39+(($N$92/3)*COS($K$93)))),($H65*'Alternative 1'!$B$39))))</f>
        <v>#VALUE!</v>
      </c>
      <c r="BV65" s="78" t="e">
        <f>BT65*'Alternative 1'!$K66/'Alternative 1'!$L66</f>
        <v>#VALUE!</v>
      </c>
      <c r="BW65" s="78" t="e">
        <f>BU65/'Alternative 1'!$M66</f>
        <v>#VALUE!</v>
      </c>
      <c r="BX65" s="78" t="e">
        <f t="shared" si="11"/>
        <v>#VALUE!</v>
      </c>
      <c r="BZ65" s="77">
        <v>150</v>
      </c>
      <c r="CA65" s="77">
        <v>-150</v>
      </c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</row>
    <row r="66" spans="1:115" ht="15" customHeight="1" x14ac:dyDescent="0.25">
      <c r="A66" s="89" t="str">
        <f>IF('Alternative 1'!F67&gt;0,'Alternative 1'!F67,"x")</f>
        <v>x</v>
      </c>
      <c r="B66" s="89" t="e">
        <f t="shared" si="17"/>
        <v>#VALUE!</v>
      </c>
      <c r="C66" s="89">
        <f t="shared" si="12"/>
        <v>0</v>
      </c>
      <c r="D66" s="89" t="str">
        <f t="shared" si="13"/>
        <v>x</v>
      </c>
      <c r="E66" s="74">
        <f>IF($A66&lt;='Alternative 1'!$B$27, IF($A66='Alternative 1'!$B$27,0,E67+1),0)</f>
        <v>0</v>
      </c>
      <c r="F66" s="74">
        <f>IF($A66&lt;=('Alternative 1'!$B$28), IF($A66=ROUNDDOWN('Alternative 1'!$B$28,0),0,F67+1),0)</f>
        <v>0</v>
      </c>
      <c r="G66" s="74">
        <f>IF($A66&lt;=('Alternative 1'!$B$29), IF($A66=ROUNDDOWN('Alternative 1'!$B$29,0),0,G67+1),0)</f>
        <v>0</v>
      </c>
      <c r="H66" s="89" t="e">
        <f t="shared" si="14"/>
        <v>#VALUE!</v>
      </c>
      <c r="J66" s="77">
        <f t="shared" si="15"/>
        <v>63</v>
      </c>
      <c r="K66" s="77">
        <f t="shared" si="16"/>
        <v>1.0995574287564276</v>
      </c>
      <c r="L66" s="78">
        <f>'Alternative 1'!$B$27*SIN(K66)+'Alternative 1'!$B$28*SIN(K66)+'Alternative 1'!$B$29*SIN(K66)</f>
        <v>60.588443644809004</v>
      </c>
      <c r="M66" s="77">
        <f>(('Alternative 1'!$B$27)*(((('Alternative 1'!$B$28-'Alternative 1'!$B$27)/2)+'Alternative 1'!$B$27)*'Alternative 1'!$B$39)*COS('Alternative 1-Tilt Up'!K66))+(('Alternative 1'!$B$28)*((('Alternative 1'!$B$28-'Alternative 1'!$B$27)/2)+(('Alternative 1'!$B$29-'Alternative 1'!$B$28)/2))*('Alternative 1'!$B$39)*COS('Alternative 1-Tilt Up'!K66))+(('Alternative 1'!$B$29)*((('Alternative 1'!$B$12-'Alternative 1'!$B$29+(('Alternative 1'!$B$29-'Alternative 1'!$B$28)/2)*('Alternative 1'!$B$39)*COS('Alternative 1-Tilt Up'!K66)))))</f>
        <v>2154796.7673123768</v>
      </c>
      <c r="N66" s="77">
        <f t="shared" si="0"/>
        <v>106693.45362019338</v>
      </c>
      <c r="O66" s="77">
        <f>(((('Alternative 1'!$B$28-'Alternative 1'!$B$27)/2)+'Alternative 1'!$B$27)*('Alternative 1'!$B$39)*COS('Alternative 1-Tilt Up'!K66))+(((('Alternative 1'!$B$28-'Alternative 1'!$B$27)/2)+(('Alternative 1'!$B$29-'Alternative 1'!$B$28)/2))*('Alternative 1'!$B$39)*COS('Alternative 1-Tilt Up'!K66))+(((('Alternative 1'!$B$12-'Alternative 1'!$B$29)+(('Alternative 1'!$B$29-'Alternative 1'!$B$28)/2))*('Alternative 1'!$B$39)*COS('Alternative 1-Tilt Up'!K66)))</f>
        <v>138975.5293889124</v>
      </c>
      <c r="P66" s="77">
        <f t="shared" si="1"/>
        <v>48437.814327969754</v>
      </c>
      <c r="R66" s="78" t="e">
        <f>'Alternative 1'!$B$39*$B66*$C66*COS($K$5)-($N$5/3)*$E66*SIN($K$5)-($N$5/3)*$F66*SIN($K$5)-($N$5/3)*$G66*SIN($K$5)</f>
        <v>#VALUE!</v>
      </c>
      <c r="S66" s="79" t="e">
        <f>IF(($A66&lt;'Alternative 1'!$B$27),(($H66*'Alternative 1'!$B$39)+(3*($N$5/3)*COS($K$5))),IF(($A66&lt;'Alternative 1'!$B$28),(($H66*'Alternative 1'!$B$39)+(2*(($N$5/3)*COS($K$5)))),IF(($A66&lt;'Alternative 1'!$B$29),(($H$3*'Alternative 1'!$B$39+(($N$5/3)*COS($K$5)))),($H66*'Alternative 1'!$B$39))))</f>
        <v>#VALUE!</v>
      </c>
      <c r="T66" s="78" t="e">
        <f>R66*'Alternative 1'!$K67/'Alternative 1'!$L67</f>
        <v>#VALUE!</v>
      </c>
      <c r="U66" s="78" t="e">
        <f>S66/'Alternative 1'!$M67</f>
        <v>#VALUE!</v>
      </c>
      <c r="V66" s="78" t="e">
        <f t="shared" si="2"/>
        <v>#VALUE!</v>
      </c>
      <c r="X66" s="78" t="e">
        <f>'Alternative 1'!$B$39*$B66*$C66*COS($K$13)-($N$12/3)*$E66*SIN($K$13)-($N$12/3)*$F66*SIN($K$13)-($N$12/3)*$G66*SIN($K$13)</f>
        <v>#VALUE!</v>
      </c>
      <c r="Y66" s="79" t="e">
        <f>IF(($A66&lt;'Alternative 1'!$B$27),(($H66*'Alternative 1'!$B$39)+(3*($N$12/3)*COS($K$13))),IF(($A66&lt;'Alternative 1'!$B$28),(($H66*'Alternative 1'!$B$39)+(2*(($N$12/3)*COS($K$13)))),IF(($A66&lt;'Alternative 1'!$B$29),(($H$3*'Alternative 1'!$B$39+(($N$12/3)*COS($K$13)))),($H66*'Alternative 1'!$B$39))))</f>
        <v>#VALUE!</v>
      </c>
      <c r="Z66" s="78" t="e">
        <f>X66*'Alternative 1'!$K67/'Alternative 1'!$L67</f>
        <v>#VALUE!</v>
      </c>
      <c r="AA66" s="78" t="e">
        <f>Y66/'Alternative 1'!$M67</f>
        <v>#VALUE!</v>
      </c>
      <c r="AB66" s="78" t="e">
        <f t="shared" si="3"/>
        <v>#VALUE!</v>
      </c>
      <c r="AD66" s="78" t="e">
        <f>'Alternative 1'!$B$39*$B66*$C66*COS($K$23)-($N$22/3)*$E66*SIN($K$23)-($N$22/3)*$F66*SIN($K$23)-($N$22/3)*$G66*SIN($K$23)</f>
        <v>#VALUE!</v>
      </c>
      <c r="AE66" s="79" t="e">
        <f>IF(($A66&lt;'Alternative 1'!$B$27),(($H66*'Alternative 1'!$B$39)+(3*($N$22/3)*COS($K$23))),IF(($A66&lt;'Alternative 1'!$B$28),(($H66*'Alternative 1'!$B$39)+(2*(($N$22/3)*COS($K$23)))),IF(($A66&lt;'Alternative 1'!$B$29),(($H$3*'Alternative 1'!$B$39+(($N$22/3)*COS($K$23)))),($H66*'Alternative 1'!$B$39))))</f>
        <v>#VALUE!</v>
      </c>
      <c r="AF66" s="78" t="e">
        <f>AD66*'Alternative 1'!$K67/'Alternative 1'!$L67</f>
        <v>#VALUE!</v>
      </c>
      <c r="AG66" s="78" t="e">
        <f>AE66/'Alternative 1'!$M67</f>
        <v>#VALUE!</v>
      </c>
      <c r="AH66" s="78" t="e">
        <f t="shared" si="4"/>
        <v>#VALUE!</v>
      </c>
      <c r="AJ66" s="78" t="e">
        <f>'Alternative 1'!$B$39*$B66*$C66*COS($K$33)-($N$32/3)*$E66*SIN($K$33)-($N$32/3)*$F66*SIN($K$33)-($N$32/3)*$G66*SIN($K$33)</f>
        <v>#VALUE!</v>
      </c>
      <c r="AK66" s="79" t="e">
        <f>IF(($A66&lt;'Alternative 1'!$B$27),(($H66*'Alternative 1'!$B$39)+(3*($N$32/3)*COS($K$33))),IF(($A66&lt;'Alternative 1'!$B$28),(($H66*'Alternative 1'!$B$39)+(2*(($N$32/3)*COS($K$33)))),IF(($A66&lt;'Alternative 1'!$B$29),(($H$3*'Alternative 1'!$B$39+(($N$32/3)*COS($K$33)))),($H66*'Alternative 1'!$B$39))))</f>
        <v>#VALUE!</v>
      </c>
      <c r="AL66" s="78" t="e">
        <f>AJ66*'Alternative 1'!$K67/'Alternative 1'!$L67</f>
        <v>#VALUE!</v>
      </c>
      <c r="AM66" s="78" t="e">
        <f>AK66/'Alternative 1'!$M67</f>
        <v>#VALUE!</v>
      </c>
      <c r="AN66" s="78" t="e">
        <f t="shared" si="5"/>
        <v>#VALUE!</v>
      </c>
      <c r="AP66" s="78" t="e">
        <f>'Alternative 1'!$B$39*$B66*$C66*COS($K$43)-($N$42/3)*$E66*SIN($K$43)-($N$42/3)*$F66*SIN($K$43)-($N$42/3)*$G66*SIN($K$43)</f>
        <v>#VALUE!</v>
      </c>
      <c r="AQ66" s="79" t="e">
        <f>IF(($A66&lt;'Alternative 1'!$B$27),(($H66*'Alternative 1'!$B$39)+(3*($N$42/3)*COS($K$43))),IF(($A66&lt;'Alternative 1'!$B$28),(($H66*'Alternative 1'!$B$39)+(2*(($N$42/3)*COS($K$43)))),IF(($A66&lt;'Alternative 1'!$B$29),(($H$3*'Alternative 1'!$B$39+(($N$42/3)*COS($K$43)))),($H66*'Alternative 1'!$B$39))))</f>
        <v>#VALUE!</v>
      </c>
      <c r="AR66" s="78" t="e">
        <f>AP66*'Alternative 1'!$K67/'Alternative 1'!$L67</f>
        <v>#VALUE!</v>
      </c>
      <c r="AS66" s="78" t="e">
        <f>AQ66/'Alternative 1'!$M67</f>
        <v>#VALUE!</v>
      </c>
      <c r="AT66" s="78" t="e">
        <f t="shared" si="6"/>
        <v>#VALUE!</v>
      </c>
      <c r="AV66" s="78" t="e">
        <f>'Alternative 1'!$B$39*$B66*$C66*COS($K$53)-($N$52/3)*$E66*SIN($K$53)-($N$52/3)*$F66*SIN($K$53)-($N$52/3)*$G66*SIN($K$53)</f>
        <v>#VALUE!</v>
      </c>
      <c r="AW66" s="79" t="e">
        <f>IF(($A66&lt;'Alternative 1'!$B$27),(($H66*'Alternative 1'!$B$39)+(3*($N$52/3)*COS($K$53))),IF(($A66&lt;'Alternative 1'!$B$28),(($H66*'Alternative 1'!$B$39)+(2*(($N$52/3)*COS($K$53)))),IF(($A66&lt;'Alternative 1'!$B$29),(($H$3*'Alternative 1'!$B$39+(($N$52/3)*COS($K$53)))),($H66*'Alternative 1'!$B$39))))</f>
        <v>#VALUE!</v>
      </c>
      <c r="AX66" s="78" t="e">
        <f>AV66*'Alternative 1'!$K67/'Alternative 1'!$L67</f>
        <v>#VALUE!</v>
      </c>
      <c r="AY66" s="78" t="e">
        <f>AW66/'Alternative 1'!$M67</f>
        <v>#VALUE!</v>
      </c>
      <c r="AZ66" s="78" t="e">
        <f t="shared" si="7"/>
        <v>#VALUE!</v>
      </c>
      <c r="BB66" s="78" t="e">
        <f>'Alternative 1'!$B$39*$B66*$C66*COS($K$63)-($N$62/3)*$E66*SIN($K$63)-($N$62/3)*$F66*SIN($K$63)-($N$62/3)*$G66*SIN($K$63)</f>
        <v>#VALUE!</v>
      </c>
      <c r="BC66" s="79" t="e">
        <f>IF(($A66&lt;'Alternative 1'!$B$27),(($H66*'Alternative 1'!$B$39)+(3*($N$62/3)*COS($K$63))),IF(($A66&lt;'Alternative 1'!$B$28),(($H66*'Alternative 1'!$B$39)+(2*(($N$62/3)*COS($K$63)))),IF(($A66&lt;'Alternative 1'!$B$29),(($H$3*'Alternative 1'!$B$39+(($N$62/3)*COS($K$63)))),($H66*'Alternative 1'!$B$39))))</f>
        <v>#VALUE!</v>
      </c>
      <c r="BD66" s="78" t="e">
        <f>BB66*'Alternative 1'!$K67/'Alternative 1'!$L67</f>
        <v>#VALUE!</v>
      </c>
      <c r="BE66" s="78" t="e">
        <f>BC66/'Alternative 1'!$M67</f>
        <v>#VALUE!</v>
      </c>
      <c r="BF66" s="78" t="e">
        <f t="shared" si="8"/>
        <v>#VALUE!</v>
      </c>
      <c r="BH66" s="78" t="e">
        <f>'Alternative 1'!$B$39*$B66*$C66*COS($K$73)-($N$72/3)*$E66*SIN($K$73)-($N$72/3)*$F66*SIN($K$73)-($N$72/3)*$G66*SIN($K$73)</f>
        <v>#VALUE!</v>
      </c>
      <c r="BI66" s="79" t="e">
        <f>IF(($A66&lt;'Alternative 1'!$B$27),(($H66*'Alternative 1'!$B$39)+(3*($N$72/3)*COS($K$73))),IF(($A66&lt;'Alternative 1'!$B$28),(($H66*'Alternative 1'!$B$39)+(2*(($N$72/3)*COS($K$73)))),IF(($A66&lt;'Alternative 1'!$B$29),(($H$3*'Alternative 1'!$B$39+(($N$72/3)*COS($K$73)))),($H66*'Alternative 1'!$B$39))))</f>
        <v>#VALUE!</v>
      </c>
      <c r="BJ66" s="78" t="e">
        <f>BH66*'Alternative 1'!$K67/'Alternative 1'!$L67</f>
        <v>#VALUE!</v>
      </c>
      <c r="BK66" s="78" t="e">
        <f>BI66/'Alternative 1'!$M67</f>
        <v>#VALUE!</v>
      </c>
      <c r="BL66" s="78" t="e">
        <f t="shared" si="9"/>
        <v>#VALUE!</v>
      </c>
      <c r="BN66" s="78" t="e">
        <f>'Alternative 1'!$B$39*$B66*$C66*COS($K$83)-($N$82/3)*$E66*SIN($K$83)-($N$82/3)*$F66*SIN($K$83)-($N$82/3)*$G66*SIN($K$83)</f>
        <v>#VALUE!</v>
      </c>
      <c r="BO66" s="79" t="e">
        <f>IF(($A66&lt;'Alternative 1'!$B$27),(($H66*'Alternative 1'!$B$39)+(3*($N$82/3)*COS($K$83))),IF(($A66&lt;'Alternative 1'!$B$28),(($H66*'Alternative 1'!$B$39)+(2*(($N$82/3)*COS($K$83)))),IF(($A66&lt;'Alternative 1'!$B$29),(($H$3*'Alternative 1'!$B$39+(($N$82/3)*COS($K$83)))),($H66*'Alternative 1'!$B$39))))</f>
        <v>#VALUE!</v>
      </c>
      <c r="BP66" s="78" t="e">
        <f>BN66*'Alternative 1'!$K67/'Alternative 1'!$L67</f>
        <v>#VALUE!</v>
      </c>
      <c r="BQ66" s="78" t="e">
        <f>BO66/'Alternative 1'!$M67</f>
        <v>#VALUE!</v>
      </c>
      <c r="BR66" s="78" t="e">
        <f t="shared" si="10"/>
        <v>#VALUE!</v>
      </c>
      <c r="BT66" s="78" t="e">
        <f>'Alternative 1'!$B$39*$B66*$C66*COS($K$93)-($K$92/3)*$E66*SIN($K$93)-($K$92/3)*$F66*SIN($K$93)-($K$92/3)*$G66*SIN($K$93)</f>
        <v>#VALUE!</v>
      </c>
      <c r="BU66" s="79" t="e">
        <f>IF(($A66&lt;'Alternative 1'!$B$27),(($H66*'Alternative 1'!$B$39)+(3*($N$92/3)*COS($K$93))),IF(($A66&lt;'Alternative 1'!$B$28),(($H66*'Alternative 1'!$B$39)+(2*(($N$92/3)*COS($K$93)))),IF(($A66&lt;'Alternative 1'!$B$29),(($H$3*'Alternative 1'!$B$39+(($N$92/3)*COS($K$93)))),($H66*'Alternative 1'!$B$39))))</f>
        <v>#VALUE!</v>
      </c>
      <c r="BV66" s="78" t="e">
        <f>BT66*'Alternative 1'!$K67/'Alternative 1'!$L67</f>
        <v>#VALUE!</v>
      </c>
      <c r="BW66" s="78" t="e">
        <f>BU66/'Alternative 1'!$M67</f>
        <v>#VALUE!</v>
      </c>
      <c r="BX66" s="78" t="e">
        <f t="shared" si="11"/>
        <v>#VALUE!</v>
      </c>
      <c r="BZ66" s="77">
        <v>150</v>
      </c>
      <c r="CA66" s="77">
        <v>-150</v>
      </c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1"/>
      <c r="DG66" s="281"/>
      <c r="DH66" s="281"/>
      <c r="DI66" s="281"/>
      <c r="DJ66" s="281"/>
      <c r="DK66" s="281"/>
    </row>
    <row r="67" spans="1:115" ht="15" customHeight="1" x14ac:dyDescent="0.25">
      <c r="A67" s="89" t="str">
        <f>IF('Alternative 1'!F68&gt;0,'Alternative 1'!F68,"x")</f>
        <v>x</v>
      </c>
      <c r="B67" s="89" t="e">
        <f t="shared" si="17"/>
        <v>#VALUE!</v>
      </c>
      <c r="C67" s="89">
        <f t="shared" si="12"/>
        <v>0</v>
      </c>
      <c r="D67" s="89" t="str">
        <f t="shared" si="13"/>
        <v>x</v>
      </c>
      <c r="E67" s="74">
        <f>IF($A67&lt;='Alternative 1'!$B$27, IF($A67='Alternative 1'!$B$27,0,E68+1),0)</f>
        <v>0</v>
      </c>
      <c r="F67" s="74">
        <f>IF($A67&lt;=('Alternative 1'!$B$28), IF($A67=ROUNDDOWN('Alternative 1'!$B$28,0),0,F68+1),0)</f>
        <v>0</v>
      </c>
      <c r="G67" s="74">
        <f>IF($A67&lt;=('Alternative 1'!$B$29), IF($A67=ROUNDDOWN('Alternative 1'!$B$29,0),0,G68+1),0)</f>
        <v>0</v>
      </c>
      <c r="H67" s="89" t="e">
        <f t="shared" si="14"/>
        <v>#VALUE!</v>
      </c>
      <c r="J67" s="77">
        <f t="shared" si="15"/>
        <v>64</v>
      </c>
      <c r="K67" s="77">
        <f t="shared" si="16"/>
        <v>1.1170107212763709</v>
      </c>
      <c r="L67" s="78">
        <f>'Alternative 1'!$B$27*SIN(K67)+'Alternative 1'!$B$28*SIN(K67)+'Alternative 1'!$B$29*SIN(K67)</f>
        <v>61.117995148343354</v>
      </c>
      <c r="M67" s="77">
        <f>(('Alternative 1'!$B$27)*(((('Alternative 1'!$B$28-'Alternative 1'!$B$27)/2)+'Alternative 1'!$B$27)*'Alternative 1'!$B$39)*COS('Alternative 1-Tilt Up'!K67))+(('Alternative 1'!$B$28)*((('Alternative 1'!$B$28-'Alternative 1'!$B$27)/2)+(('Alternative 1'!$B$29-'Alternative 1'!$B$28)/2))*('Alternative 1'!$B$39)*COS('Alternative 1-Tilt Up'!K67))+(('Alternative 1'!$B$29)*((('Alternative 1'!$B$12-'Alternative 1'!$B$29+(('Alternative 1'!$B$29-'Alternative 1'!$B$28)/2)*('Alternative 1'!$B$39)*COS('Alternative 1-Tilt Up'!K67)))))</f>
        <v>2080668.6178614735</v>
      </c>
      <c r="N67" s="77">
        <f t="shared" ref="N67:N93" si="18">M67*3/L67</f>
        <v>102130.40919346343</v>
      </c>
      <c r="O67" s="77">
        <f>(((('Alternative 1'!$B$28-'Alternative 1'!$B$27)/2)+'Alternative 1'!$B$27)*('Alternative 1'!$B$39)*COS('Alternative 1-Tilt Up'!K67))+(((('Alternative 1'!$B$28-'Alternative 1'!$B$27)/2)+(('Alternative 1'!$B$29-'Alternative 1'!$B$28)/2))*('Alternative 1'!$B$39)*COS('Alternative 1-Tilt Up'!K67))+(((('Alternative 1'!$B$12-'Alternative 1'!$B$29)+(('Alternative 1'!$B$29-'Alternative 1'!$B$28)/2))*('Alternative 1'!$B$39)*COS('Alternative 1-Tilt Up'!K67)))</f>
        <v>134194.13452217163</v>
      </c>
      <c r="P67" s="77">
        <f t="shared" ref="P67:P93" si="19">N67*COS(K67)</f>
        <v>44771.024600176308</v>
      </c>
      <c r="R67" s="78" t="e">
        <f>'Alternative 1'!$B$39*$B67*$C67*COS($K$5)-($N$5/3)*$E67*SIN($K$5)-($N$5/3)*$F67*SIN($K$5)-($N$5/3)*$G67*SIN($K$5)</f>
        <v>#VALUE!</v>
      </c>
      <c r="S67" s="79" t="e">
        <f>IF(($A67&lt;'Alternative 1'!$B$27),(($H67*'Alternative 1'!$B$39)+(3*($N$5/3)*COS($K$5))),IF(($A67&lt;'Alternative 1'!$B$28),(($H67*'Alternative 1'!$B$39)+(2*(($N$5/3)*COS($K$5)))),IF(($A67&lt;'Alternative 1'!$B$29),(($H$3*'Alternative 1'!$B$39+(($N$5/3)*COS($K$5)))),($H67*'Alternative 1'!$B$39))))</f>
        <v>#VALUE!</v>
      </c>
      <c r="T67" s="78" t="e">
        <f>R67*'Alternative 1'!$K68/'Alternative 1'!$L68</f>
        <v>#VALUE!</v>
      </c>
      <c r="U67" s="78" t="e">
        <f>S67/'Alternative 1'!$M68</f>
        <v>#VALUE!</v>
      </c>
      <c r="V67" s="78" t="e">
        <f t="shared" ref="V67:V93" si="20">(T67+U67)/1000000</f>
        <v>#VALUE!</v>
      </c>
      <c r="X67" s="78" t="e">
        <f>'Alternative 1'!$B$39*$B67*$C67*COS($K$13)-($N$12/3)*$E67*SIN($K$13)-($N$12/3)*$F67*SIN($K$13)-($N$12/3)*$G67*SIN($K$13)</f>
        <v>#VALUE!</v>
      </c>
      <c r="Y67" s="79" t="e">
        <f>IF(($A67&lt;'Alternative 1'!$B$27),(($H67*'Alternative 1'!$B$39)+(3*($N$12/3)*COS($K$13))),IF(($A67&lt;'Alternative 1'!$B$28),(($H67*'Alternative 1'!$B$39)+(2*(($N$12/3)*COS($K$13)))),IF(($A67&lt;'Alternative 1'!$B$29),(($H$3*'Alternative 1'!$B$39+(($N$12/3)*COS($K$13)))),($H67*'Alternative 1'!$B$39))))</f>
        <v>#VALUE!</v>
      </c>
      <c r="Z67" s="78" t="e">
        <f>X67*'Alternative 1'!$K68/'Alternative 1'!$L68</f>
        <v>#VALUE!</v>
      </c>
      <c r="AA67" s="78" t="e">
        <f>Y67/'Alternative 1'!$M68</f>
        <v>#VALUE!</v>
      </c>
      <c r="AB67" s="78" t="e">
        <f t="shared" ref="AB67:AB93" si="21">(Z67+AA67)/1000000</f>
        <v>#VALUE!</v>
      </c>
      <c r="AD67" s="78" t="e">
        <f>'Alternative 1'!$B$39*$B67*$C67*COS($K$23)-($N$22/3)*$E67*SIN($K$23)-($N$22/3)*$F67*SIN($K$23)-($N$22/3)*$G67*SIN($K$23)</f>
        <v>#VALUE!</v>
      </c>
      <c r="AE67" s="79" t="e">
        <f>IF(($A67&lt;'Alternative 1'!$B$27),(($H67*'Alternative 1'!$B$39)+(3*($N$22/3)*COS($K$23))),IF(($A67&lt;'Alternative 1'!$B$28),(($H67*'Alternative 1'!$B$39)+(2*(($N$22/3)*COS($K$23)))),IF(($A67&lt;'Alternative 1'!$B$29),(($H$3*'Alternative 1'!$B$39+(($N$22/3)*COS($K$23)))),($H67*'Alternative 1'!$B$39))))</f>
        <v>#VALUE!</v>
      </c>
      <c r="AF67" s="78" t="e">
        <f>AD67*'Alternative 1'!$K68/'Alternative 1'!$L68</f>
        <v>#VALUE!</v>
      </c>
      <c r="AG67" s="78" t="e">
        <f>AE67/'Alternative 1'!$M68</f>
        <v>#VALUE!</v>
      </c>
      <c r="AH67" s="78" t="e">
        <f t="shared" ref="AH67:AH93" si="22">(AF67+AG67)/1000000</f>
        <v>#VALUE!</v>
      </c>
      <c r="AJ67" s="78" t="e">
        <f>'Alternative 1'!$B$39*$B67*$C67*COS($K$33)-($N$32/3)*$E67*SIN($K$33)-($N$32/3)*$F67*SIN($K$33)-($N$32/3)*$G67*SIN($K$33)</f>
        <v>#VALUE!</v>
      </c>
      <c r="AK67" s="79" t="e">
        <f>IF(($A67&lt;'Alternative 1'!$B$27),(($H67*'Alternative 1'!$B$39)+(3*($N$32/3)*COS($K$33))),IF(($A67&lt;'Alternative 1'!$B$28),(($H67*'Alternative 1'!$B$39)+(2*(($N$32/3)*COS($K$33)))),IF(($A67&lt;'Alternative 1'!$B$29),(($H$3*'Alternative 1'!$B$39+(($N$32/3)*COS($K$33)))),($H67*'Alternative 1'!$B$39))))</f>
        <v>#VALUE!</v>
      </c>
      <c r="AL67" s="78" t="e">
        <f>AJ67*'Alternative 1'!$K68/'Alternative 1'!$L68</f>
        <v>#VALUE!</v>
      </c>
      <c r="AM67" s="78" t="e">
        <f>AK67/'Alternative 1'!$M68</f>
        <v>#VALUE!</v>
      </c>
      <c r="AN67" s="78" t="e">
        <f t="shared" ref="AN67:AN93" si="23">(AL67+AM67)/1000000</f>
        <v>#VALUE!</v>
      </c>
      <c r="AP67" s="78" t="e">
        <f>'Alternative 1'!$B$39*$B67*$C67*COS($K$43)-($N$42/3)*$E67*SIN($K$43)-($N$42/3)*$F67*SIN($K$43)-($N$42/3)*$G67*SIN($K$43)</f>
        <v>#VALUE!</v>
      </c>
      <c r="AQ67" s="79" t="e">
        <f>IF(($A67&lt;'Alternative 1'!$B$27),(($H67*'Alternative 1'!$B$39)+(3*($N$42/3)*COS($K$43))),IF(($A67&lt;'Alternative 1'!$B$28),(($H67*'Alternative 1'!$B$39)+(2*(($N$42/3)*COS($K$43)))),IF(($A67&lt;'Alternative 1'!$B$29),(($H$3*'Alternative 1'!$B$39+(($N$42/3)*COS($K$43)))),($H67*'Alternative 1'!$B$39))))</f>
        <v>#VALUE!</v>
      </c>
      <c r="AR67" s="78" t="e">
        <f>AP67*'Alternative 1'!$K68/'Alternative 1'!$L68</f>
        <v>#VALUE!</v>
      </c>
      <c r="AS67" s="78" t="e">
        <f>AQ67/'Alternative 1'!$M68</f>
        <v>#VALUE!</v>
      </c>
      <c r="AT67" s="78" t="e">
        <f t="shared" ref="AT67:AT93" si="24">(AR67+AS67)/1000000</f>
        <v>#VALUE!</v>
      </c>
      <c r="AV67" s="78" t="e">
        <f>'Alternative 1'!$B$39*$B67*$C67*COS($K$53)-($N$52/3)*$E67*SIN($K$53)-($N$52/3)*$F67*SIN($K$53)-($N$52/3)*$G67*SIN($K$53)</f>
        <v>#VALUE!</v>
      </c>
      <c r="AW67" s="79" t="e">
        <f>IF(($A67&lt;'Alternative 1'!$B$27),(($H67*'Alternative 1'!$B$39)+(3*($N$52/3)*COS($K$53))),IF(($A67&lt;'Alternative 1'!$B$28),(($H67*'Alternative 1'!$B$39)+(2*(($N$52/3)*COS($K$53)))),IF(($A67&lt;'Alternative 1'!$B$29),(($H$3*'Alternative 1'!$B$39+(($N$52/3)*COS($K$53)))),($H67*'Alternative 1'!$B$39))))</f>
        <v>#VALUE!</v>
      </c>
      <c r="AX67" s="78" t="e">
        <f>AV67*'Alternative 1'!$K68/'Alternative 1'!$L68</f>
        <v>#VALUE!</v>
      </c>
      <c r="AY67" s="78" t="e">
        <f>AW67/'Alternative 1'!$M68</f>
        <v>#VALUE!</v>
      </c>
      <c r="AZ67" s="78" t="e">
        <f t="shared" ref="AZ67:AZ93" si="25">(AX67+AY67)/1000000</f>
        <v>#VALUE!</v>
      </c>
      <c r="BB67" s="78" t="e">
        <f>'Alternative 1'!$B$39*$B67*$C67*COS($K$63)-($N$62/3)*$E67*SIN($K$63)-($N$62/3)*$F67*SIN($K$63)-($N$62/3)*$G67*SIN($K$63)</f>
        <v>#VALUE!</v>
      </c>
      <c r="BC67" s="79" t="e">
        <f>IF(($A67&lt;'Alternative 1'!$B$27),(($H67*'Alternative 1'!$B$39)+(3*($N$62/3)*COS($K$63))),IF(($A67&lt;'Alternative 1'!$B$28),(($H67*'Alternative 1'!$B$39)+(2*(($N$62/3)*COS($K$63)))),IF(($A67&lt;'Alternative 1'!$B$29),(($H$3*'Alternative 1'!$B$39+(($N$62/3)*COS($K$63)))),($H67*'Alternative 1'!$B$39))))</f>
        <v>#VALUE!</v>
      </c>
      <c r="BD67" s="78" t="e">
        <f>BB67*'Alternative 1'!$K68/'Alternative 1'!$L68</f>
        <v>#VALUE!</v>
      </c>
      <c r="BE67" s="78" t="e">
        <f>BC67/'Alternative 1'!$M68</f>
        <v>#VALUE!</v>
      </c>
      <c r="BF67" s="78" t="e">
        <f t="shared" ref="BF67:BF93" si="26">(BD67+BE67)/1000000</f>
        <v>#VALUE!</v>
      </c>
      <c r="BH67" s="78" t="e">
        <f>'Alternative 1'!$B$39*$B67*$C67*COS($K$73)-($N$72/3)*$E67*SIN($K$73)-($N$72/3)*$F67*SIN($K$73)-($N$72/3)*$G67*SIN($K$73)</f>
        <v>#VALUE!</v>
      </c>
      <c r="BI67" s="79" t="e">
        <f>IF(($A67&lt;'Alternative 1'!$B$27),(($H67*'Alternative 1'!$B$39)+(3*($N$72/3)*COS($K$73))),IF(($A67&lt;'Alternative 1'!$B$28),(($H67*'Alternative 1'!$B$39)+(2*(($N$72/3)*COS($K$73)))),IF(($A67&lt;'Alternative 1'!$B$29),(($H$3*'Alternative 1'!$B$39+(($N$72/3)*COS($K$73)))),($H67*'Alternative 1'!$B$39))))</f>
        <v>#VALUE!</v>
      </c>
      <c r="BJ67" s="78" t="e">
        <f>BH67*'Alternative 1'!$K68/'Alternative 1'!$L68</f>
        <v>#VALUE!</v>
      </c>
      <c r="BK67" s="78" t="e">
        <f>BI67/'Alternative 1'!$M68</f>
        <v>#VALUE!</v>
      </c>
      <c r="BL67" s="78" t="e">
        <f t="shared" ref="BL67:BL93" si="27">(BJ67+BK67)/1000000</f>
        <v>#VALUE!</v>
      </c>
      <c r="BN67" s="78" t="e">
        <f>'Alternative 1'!$B$39*$B67*$C67*COS($K$83)-($N$82/3)*$E67*SIN($K$83)-($N$82/3)*$F67*SIN($K$83)-($N$82/3)*$G67*SIN($K$83)</f>
        <v>#VALUE!</v>
      </c>
      <c r="BO67" s="79" t="e">
        <f>IF(($A67&lt;'Alternative 1'!$B$27),(($H67*'Alternative 1'!$B$39)+(3*($N$82/3)*COS($K$83))),IF(($A67&lt;'Alternative 1'!$B$28),(($H67*'Alternative 1'!$B$39)+(2*(($N$82/3)*COS($K$83)))),IF(($A67&lt;'Alternative 1'!$B$29),(($H$3*'Alternative 1'!$B$39+(($N$82/3)*COS($K$83)))),($H67*'Alternative 1'!$B$39))))</f>
        <v>#VALUE!</v>
      </c>
      <c r="BP67" s="78" t="e">
        <f>BN67*'Alternative 1'!$K68/'Alternative 1'!$L68</f>
        <v>#VALUE!</v>
      </c>
      <c r="BQ67" s="78" t="e">
        <f>BO67/'Alternative 1'!$M68</f>
        <v>#VALUE!</v>
      </c>
      <c r="BR67" s="78" t="e">
        <f t="shared" ref="BR67:BR93" si="28">(BP67+BQ67)/1000000</f>
        <v>#VALUE!</v>
      </c>
      <c r="BT67" s="78" t="e">
        <f>'Alternative 1'!$B$39*$B67*$C67*COS($K$93)-($K$92/3)*$E67*SIN($K$93)-($K$92/3)*$F67*SIN($K$93)-($K$92/3)*$G67*SIN($K$93)</f>
        <v>#VALUE!</v>
      </c>
      <c r="BU67" s="79" t="e">
        <f>IF(($A67&lt;'Alternative 1'!$B$27),(($H67*'Alternative 1'!$B$39)+(3*($N$92/3)*COS($K$93))),IF(($A67&lt;'Alternative 1'!$B$28),(($H67*'Alternative 1'!$B$39)+(2*(($N$92/3)*COS($K$93)))),IF(($A67&lt;'Alternative 1'!$B$29),(($H$3*'Alternative 1'!$B$39+(($N$92/3)*COS($K$93)))),($H67*'Alternative 1'!$B$39))))</f>
        <v>#VALUE!</v>
      </c>
      <c r="BV67" s="78" t="e">
        <f>BT67*'Alternative 1'!$K68/'Alternative 1'!$L68</f>
        <v>#VALUE!</v>
      </c>
      <c r="BW67" s="78" t="e">
        <f>BU67/'Alternative 1'!$M68</f>
        <v>#VALUE!</v>
      </c>
      <c r="BX67" s="78" t="e">
        <f t="shared" ref="BX67:BX93" si="29">(BV67+BW67)/1000000</f>
        <v>#VALUE!</v>
      </c>
      <c r="BZ67" s="77">
        <v>150</v>
      </c>
      <c r="CA67" s="77">
        <v>-150</v>
      </c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</row>
    <row r="68" spans="1:115" ht="15" customHeight="1" x14ac:dyDescent="0.25">
      <c r="A68" s="89" t="str">
        <f>IF('Alternative 1'!F69&gt;0,'Alternative 1'!F69,"x")</f>
        <v>x</v>
      </c>
      <c r="B68" s="89" t="e">
        <f t="shared" si="17"/>
        <v>#VALUE!</v>
      </c>
      <c r="C68" s="89">
        <f t="shared" ref="C68:C92" si="30">IF((A68="x"),0,C69+0.5)</f>
        <v>0</v>
      </c>
      <c r="D68" s="89" t="str">
        <f t="shared" ref="D68:D92" si="31">A68</f>
        <v>x</v>
      </c>
      <c r="E68" s="74">
        <f>IF($A68&lt;='Alternative 1'!$B$27, IF($A68='Alternative 1'!$B$27,0,E69+1),0)</f>
        <v>0</v>
      </c>
      <c r="F68" s="74">
        <f>IF($A68&lt;=('Alternative 1'!$B$28), IF($A68=ROUNDDOWN('Alternative 1'!$B$28,0),0,F69+1),0)</f>
        <v>0</v>
      </c>
      <c r="G68" s="74">
        <f>IF($A68&lt;=('Alternative 1'!$B$29), IF($A68=ROUNDDOWN('Alternative 1'!$B$29,0),0,G69+1),0)</f>
        <v>0</v>
      </c>
      <c r="H68" s="89" t="e">
        <f t="shared" ref="H68:H92" si="32">B68</f>
        <v>#VALUE!</v>
      </c>
      <c r="J68" s="77">
        <f t="shared" ref="J68:J93" si="33">J67+1</f>
        <v>65</v>
      </c>
      <c r="K68" s="77">
        <f t="shared" ref="K68:K93" si="34">J68*PI()/180</f>
        <v>1.1344640137963142</v>
      </c>
      <c r="L68" s="78">
        <f>'Alternative 1'!$B$27*SIN(K68)+'Alternative 1'!$B$28*SIN(K68)+'Alternative 1'!$B$29*SIN(K68)</f>
        <v>61.628929518492193</v>
      </c>
      <c r="M68" s="77">
        <f>(('Alternative 1'!$B$27)*(((('Alternative 1'!$B$28-'Alternative 1'!$B$27)/2)+'Alternative 1'!$B$27)*'Alternative 1'!$B$39)*COS('Alternative 1-Tilt Up'!K68))+(('Alternative 1'!$B$28)*((('Alternative 1'!$B$28-'Alternative 1'!$B$27)/2)+(('Alternative 1'!$B$29-'Alternative 1'!$B$28)/2))*('Alternative 1'!$B$39)*COS('Alternative 1-Tilt Up'!K68))+(('Alternative 1'!$B$29)*((('Alternative 1'!$B$12-'Alternative 1'!$B$29+(('Alternative 1'!$B$29-'Alternative 1'!$B$28)/2)*('Alternative 1'!$B$39)*COS('Alternative 1-Tilt Up'!K68)))))</f>
        <v>2005906.7361848082</v>
      </c>
      <c r="N68" s="77">
        <f t="shared" si="18"/>
        <v>97644.405891372255</v>
      </c>
      <c r="O68" s="77">
        <f>(((('Alternative 1'!$B$28-'Alternative 1'!$B$27)/2)+'Alternative 1'!$B$27)*('Alternative 1'!$B$39)*COS('Alternative 1-Tilt Up'!K68))+(((('Alternative 1'!$B$28-'Alternative 1'!$B$27)/2)+(('Alternative 1'!$B$29-'Alternative 1'!$B$28)/2))*('Alternative 1'!$B$39)*COS('Alternative 1-Tilt Up'!K68))+(((('Alternative 1'!$B$12-'Alternative 1'!$B$29)+(('Alternative 1'!$B$29-'Alternative 1'!$B$28)/2))*('Alternative 1'!$B$39)*COS('Alternative 1-Tilt Up'!K68)))</f>
        <v>129371.8628220876</v>
      </c>
      <c r="P68" s="77">
        <f t="shared" si="19"/>
        <v>41266.309086515052</v>
      </c>
      <c r="R68" s="78" t="e">
        <f>'Alternative 1'!$B$39*$B68*$C68*COS($K$5)-($N$5/3)*$E68*SIN($K$5)-($N$5/3)*$F68*SIN($K$5)-($N$5/3)*$G68*SIN($K$5)</f>
        <v>#VALUE!</v>
      </c>
      <c r="S68" s="79" t="e">
        <f>IF(($A68&lt;'Alternative 1'!$B$27),(($H68*'Alternative 1'!$B$39)+(3*($N$5/3)*COS($K$5))),IF(($A68&lt;'Alternative 1'!$B$28),(($H68*'Alternative 1'!$B$39)+(2*(($N$5/3)*COS($K$5)))),IF(($A68&lt;'Alternative 1'!$B$29),(($H$3*'Alternative 1'!$B$39+(($N$5/3)*COS($K$5)))),($H68*'Alternative 1'!$B$39))))</f>
        <v>#VALUE!</v>
      </c>
      <c r="T68" s="78" t="e">
        <f>R68*'Alternative 1'!$K69/'Alternative 1'!$L69</f>
        <v>#VALUE!</v>
      </c>
      <c r="U68" s="78" t="e">
        <f>S68/'Alternative 1'!$M69</f>
        <v>#VALUE!</v>
      </c>
      <c r="V68" s="78" t="e">
        <f t="shared" si="20"/>
        <v>#VALUE!</v>
      </c>
      <c r="X68" s="78" t="e">
        <f>'Alternative 1'!$B$39*$B68*$C68*COS($K$13)-($N$12/3)*$E68*SIN($K$13)-($N$12/3)*$F68*SIN($K$13)-($N$12/3)*$G68*SIN($K$13)</f>
        <v>#VALUE!</v>
      </c>
      <c r="Y68" s="79" t="e">
        <f>IF(($A68&lt;'Alternative 1'!$B$27),(($H68*'Alternative 1'!$B$39)+(3*($N$12/3)*COS($K$13))),IF(($A68&lt;'Alternative 1'!$B$28),(($H68*'Alternative 1'!$B$39)+(2*(($N$12/3)*COS($K$13)))),IF(($A68&lt;'Alternative 1'!$B$29),(($H$3*'Alternative 1'!$B$39+(($N$12/3)*COS($K$13)))),($H68*'Alternative 1'!$B$39))))</f>
        <v>#VALUE!</v>
      </c>
      <c r="Z68" s="78" t="e">
        <f>X68*'Alternative 1'!$K69/'Alternative 1'!$L69</f>
        <v>#VALUE!</v>
      </c>
      <c r="AA68" s="78" t="e">
        <f>Y68/'Alternative 1'!$M69</f>
        <v>#VALUE!</v>
      </c>
      <c r="AB68" s="78" t="e">
        <f t="shared" si="21"/>
        <v>#VALUE!</v>
      </c>
      <c r="AD68" s="78" t="e">
        <f>'Alternative 1'!$B$39*$B68*$C68*COS($K$23)-($N$22/3)*$E68*SIN($K$23)-($N$22/3)*$F68*SIN($K$23)-($N$22/3)*$G68*SIN($K$23)</f>
        <v>#VALUE!</v>
      </c>
      <c r="AE68" s="79" t="e">
        <f>IF(($A68&lt;'Alternative 1'!$B$27),(($H68*'Alternative 1'!$B$39)+(3*($N$22/3)*COS($K$23))),IF(($A68&lt;'Alternative 1'!$B$28),(($H68*'Alternative 1'!$B$39)+(2*(($N$22/3)*COS($K$23)))),IF(($A68&lt;'Alternative 1'!$B$29),(($H$3*'Alternative 1'!$B$39+(($N$22/3)*COS($K$23)))),($H68*'Alternative 1'!$B$39))))</f>
        <v>#VALUE!</v>
      </c>
      <c r="AF68" s="78" t="e">
        <f>AD68*'Alternative 1'!$K69/'Alternative 1'!$L69</f>
        <v>#VALUE!</v>
      </c>
      <c r="AG68" s="78" t="e">
        <f>AE68/'Alternative 1'!$M69</f>
        <v>#VALUE!</v>
      </c>
      <c r="AH68" s="78" t="e">
        <f t="shared" si="22"/>
        <v>#VALUE!</v>
      </c>
      <c r="AJ68" s="78" t="e">
        <f>'Alternative 1'!$B$39*$B68*$C68*COS($K$33)-($N$32/3)*$E68*SIN($K$33)-($N$32/3)*$F68*SIN($K$33)-($N$32/3)*$G68*SIN($K$33)</f>
        <v>#VALUE!</v>
      </c>
      <c r="AK68" s="79" t="e">
        <f>IF(($A68&lt;'Alternative 1'!$B$27),(($H68*'Alternative 1'!$B$39)+(3*($N$32/3)*COS($K$33))),IF(($A68&lt;'Alternative 1'!$B$28),(($H68*'Alternative 1'!$B$39)+(2*(($N$32/3)*COS($K$33)))),IF(($A68&lt;'Alternative 1'!$B$29),(($H$3*'Alternative 1'!$B$39+(($N$32/3)*COS($K$33)))),($H68*'Alternative 1'!$B$39))))</f>
        <v>#VALUE!</v>
      </c>
      <c r="AL68" s="78" t="e">
        <f>AJ68*'Alternative 1'!$K69/'Alternative 1'!$L69</f>
        <v>#VALUE!</v>
      </c>
      <c r="AM68" s="78" t="e">
        <f>AK68/'Alternative 1'!$M69</f>
        <v>#VALUE!</v>
      </c>
      <c r="AN68" s="78" t="e">
        <f t="shared" si="23"/>
        <v>#VALUE!</v>
      </c>
      <c r="AP68" s="78" t="e">
        <f>'Alternative 1'!$B$39*$B68*$C68*COS($K$43)-($N$42/3)*$E68*SIN($K$43)-($N$42/3)*$F68*SIN($K$43)-($N$42/3)*$G68*SIN($K$43)</f>
        <v>#VALUE!</v>
      </c>
      <c r="AQ68" s="79" t="e">
        <f>IF(($A68&lt;'Alternative 1'!$B$27),(($H68*'Alternative 1'!$B$39)+(3*($N$42/3)*COS($K$43))),IF(($A68&lt;'Alternative 1'!$B$28),(($H68*'Alternative 1'!$B$39)+(2*(($N$42/3)*COS($K$43)))),IF(($A68&lt;'Alternative 1'!$B$29),(($H$3*'Alternative 1'!$B$39+(($N$42/3)*COS($K$43)))),($H68*'Alternative 1'!$B$39))))</f>
        <v>#VALUE!</v>
      </c>
      <c r="AR68" s="78" t="e">
        <f>AP68*'Alternative 1'!$K69/'Alternative 1'!$L69</f>
        <v>#VALUE!</v>
      </c>
      <c r="AS68" s="78" t="e">
        <f>AQ68/'Alternative 1'!$M69</f>
        <v>#VALUE!</v>
      </c>
      <c r="AT68" s="78" t="e">
        <f t="shared" si="24"/>
        <v>#VALUE!</v>
      </c>
      <c r="AV68" s="78" t="e">
        <f>'Alternative 1'!$B$39*$B68*$C68*COS($K$53)-($N$52/3)*$E68*SIN($K$53)-($N$52/3)*$F68*SIN($K$53)-($N$52/3)*$G68*SIN($K$53)</f>
        <v>#VALUE!</v>
      </c>
      <c r="AW68" s="79" t="e">
        <f>IF(($A68&lt;'Alternative 1'!$B$27),(($H68*'Alternative 1'!$B$39)+(3*($N$52/3)*COS($K$53))),IF(($A68&lt;'Alternative 1'!$B$28),(($H68*'Alternative 1'!$B$39)+(2*(($N$52/3)*COS($K$53)))),IF(($A68&lt;'Alternative 1'!$B$29),(($H$3*'Alternative 1'!$B$39+(($N$52/3)*COS($K$53)))),($H68*'Alternative 1'!$B$39))))</f>
        <v>#VALUE!</v>
      </c>
      <c r="AX68" s="78" t="e">
        <f>AV68*'Alternative 1'!$K69/'Alternative 1'!$L69</f>
        <v>#VALUE!</v>
      </c>
      <c r="AY68" s="78" t="e">
        <f>AW68/'Alternative 1'!$M69</f>
        <v>#VALUE!</v>
      </c>
      <c r="AZ68" s="78" t="e">
        <f t="shared" si="25"/>
        <v>#VALUE!</v>
      </c>
      <c r="BB68" s="78" t="e">
        <f>'Alternative 1'!$B$39*$B68*$C68*COS($K$63)-($N$62/3)*$E68*SIN($K$63)-($N$62/3)*$F68*SIN($K$63)-($N$62/3)*$G68*SIN($K$63)</f>
        <v>#VALUE!</v>
      </c>
      <c r="BC68" s="79" t="e">
        <f>IF(($A68&lt;'Alternative 1'!$B$27),(($H68*'Alternative 1'!$B$39)+(3*($N$62/3)*COS($K$63))),IF(($A68&lt;'Alternative 1'!$B$28),(($H68*'Alternative 1'!$B$39)+(2*(($N$62/3)*COS($K$63)))),IF(($A68&lt;'Alternative 1'!$B$29),(($H$3*'Alternative 1'!$B$39+(($N$62/3)*COS($K$63)))),($H68*'Alternative 1'!$B$39))))</f>
        <v>#VALUE!</v>
      </c>
      <c r="BD68" s="78" t="e">
        <f>BB68*'Alternative 1'!$K69/'Alternative 1'!$L69</f>
        <v>#VALUE!</v>
      </c>
      <c r="BE68" s="78" t="e">
        <f>BC68/'Alternative 1'!$M69</f>
        <v>#VALUE!</v>
      </c>
      <c r="BF68" s="78" t="e">
        <f t="shared" si="26"/>
        <v>#VALUE!</v>
      </c>
      <c r="BH68" s="78" t="e">
        <f>'Alternative 1'!$B$39*$B68*$C68*COS($K$73)-($N$72/3)*$E68*SIN($K$73)-($N$72/3)*$F68*SIN($K$73)-($N$72/3)*$G68*SIN($K$73)</f>
        <v>#VALUE!</v>
      </c>
      <c r="BI68" s="79" t="e">
        <f>IF(($A68&lt;'Alternative 1'!$B$27),(($H68*'Alternative 1'!$B$39)+(3*($N$72/3)*COS($K$73))),IF(($A68&lt;'Alternative 1'!$B$28),(($H68*'Alternative 1'!$B$39)+(2*(($N$72/3)*COS($K$73)))),IF(($A68&lt;'Alternative 1'!$B$29),(($H$3*'Alternative 1'!$B$39+(($N$72/3)*COS($K$73)))),($H68*'Alternative 1'!$B$39))))</f>
        <v>#VALUE!</v>
      </c>
      <c r="BJ68" s="78" t="e">
        <f>BH68*'Alternative 1'!$K69/'Alternative 1'!$L69</f>
        <v>#VALUE!</v>
      </c>
      <c r="BK68" s="78" t="e">
        <f>BI68/'Alternative 1'!$M69</f>
        <v>#VALUE!</v>
      </c>
      <c r="BL68" s="78" t="e">
        <f t="shared" si="27"/>
        <v>#VALUE!</v>
      </c>
      <c r="BN68" s="78" t="e">
        <f>'Alternative 1'!$B$39*$B68*$C68*COS($K$83)-($N$82/3)*$E68*SIN($K$83)-($N$82/3)*$F68*SIN($K$83)-($N$82/3)*$G68*SIN($K$83)</f>
        <v>#VALUE!</v>
      </c>
      <c r="BO68" s="79" t="e">
        <f>IF(($A68&lt;'Alternative 1'!$B$27),(($H68*'Alternative 1'!$B$39)+(3*($N$82/3)*COS($K$83))),IF(($A68&lt;'Alternative 1'!$B$28),(($H68*'Alternative 1'!$B$39)+(2*(($N$82/3)*COS($K$83)))),IF(($A68&lt;'Alternative 1'!$B$29),(($H$3*'Alternative 1'!$B$39+(($N$82/3)*COS($K$83)))),($H68*'Alternative 1'!$B$39))))</f>
        <v>#VALUE!</v>
      </c>
      <c r="BP68" s="78" t="e">
        <f>BN68*'Alternative 1'!$K69/'Alternative 1'!$L69</f>
        <v>#VALUE!</v>
      </c>
      <c r="BQ68" s="78" t="e">
        <f>BO68/'Alternative 1'!$M69</f>
        <v>#VALUE!</v>
      </c>
      <c r="BR68" s="78" t="e">
        <f t="shared" si="28"/>
        <v>#VALUE!</v>
      </c>
      <c r="BT68" s="78" t="e">
        <f>'Alternative 1'!$B$39*$B68*$C68*COS($K$93)-($K$92/3)*$E68*SIN($K$93)-($K$92/3)*$F68*SIN($K$93)-($K$92/3)*$G68*SIN($K$93)</f>
        <v>#VALUE!</v>
      </c>
      <c r="BU68" s="79" t="e">
        <f>IF(($A68&lt;'Alternative 1'!$B$27),(($H68*'Alternative 1'!$B$39)+(3*($N$92/3)*COS($K$93))),IF(($A68&lt;'Alternative 1'!$B$28),(($H68*'Alternative 1'!$B$39)+(2*(($N$92/3)*COS($K$93)))),IF(($A68&lt;'Alternative 1'!$B$29),(($H$3*'Alternative 1'!$B$39+(($N$92/3)*COS($K$93)))),($H68*'Alternative 1'!$B$39))))</f>
        <v>#VALUE!</v>
      </c>
      <c r="BV68" s="78" t="e">
        <f>BT68*'Alternative 1'!$K69/'Alternative 1'!$L69</f>
        <v>#VALUE!</v>
      </c>
      <c r="BW68" s="78" t="e">
        <f>BU68/'Alternative 1'!$M69</f>
        <v>#VALUE!</v>
      </c>
      <c r="BX68" s="78" t="e">
        <f t="shared" si="29"/>
        <v>#VALUE!</v>
      </c>
      <c r="BZ68" s="77">
        <v>150</v>
      </c>
      <c r="CA68" s="77">
        <v>-150</v>
      </c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</row>
    <row r="69" spans="1:115" ht="15" customHeight="1" x14ac:dyDescent="0.25">
      <c r="A69" s="89" t="str">
        <f>IF('Alternative 1'!F70&gt;0,'Alternative 1'!F70,"x")</f>
        <v>x</v>
      </c>
      <c r="B69" s="89" t="e">
        <f t="shared" ref="B69:B92" si="35">IF(B68-1&gt;0,B68-1,"x")</f>
        <v>#VALUE!</v>
      </c>
      <c r="C69" s="89">
        <f t="shared" si="30"/>
        <v>0</v>
      </c>
      <c r="D69" s="89" t="str">
        <f t="shared" si="31"/>
        <v>x</v>
      </c>
      <c r="E69" s="74">
        <f>IF($A69&lt;='Alternative 1'!$B$27, IF($A69='Alternative 1'!$B$27,0,E70+1),0)</f>
        <v>0</v>
      </c>
      <c r="F69" s="74">
        <f>IF($A69&lt;=('Alternative 1'!$B$28), IF($A69=ROUNDDOWN('Alternative 1'!$B$28,0),0,F70+1),0)</f>
        <v>0</v>
      </c>
      <c r="G69" s="74">
        <f>IF($A69&lt;=('Alternative 1'!$B$29), IF($A69=ROUNDDOWN('Alternative 1'!$B$29,0),0,G70+1),0)</f>
        <v>0</v>
      </c>
      <c r="H69" s="89" t="e">
        <f t="shared" si="32"/>
        <v>#VALUE!</v>
      </c>
      <c r="J69" s="77">
        <f t="shared" si="33"/>
        <v>66</v>
      </c>
      <c r="K69" s="77">
        <f t="shared" si="34"/>
        <v>1.1519173063162575</v>
      </c>
      <c r="L69" s="78">
        <f>'Alternative 1'!$B$27*SIN(K69)+'Alternative 1'!$B$28*SIN(K69)+'Alternative 1'!$B$29*SIN(K69)</f>
        <v>62.121091119696857</v>
      </c>
      <c r="M69" s="77">
        <f>(('Alternative 1'!$B$27)*(((('Alternative 1'!$B$28-'Alternative 1'!$B$27)/2)+'Alternative 1'!$B$27)*'Alternative 1'!$B$39)*COS('Alternative 1-Tilt Up'!K69))+(('Alternative 1'!$B$28)*((('Alternative 1'!$B$28-'Alternative 1'!$B$27)/2)+(('Alternative 1'!$B$29-'Alternative 1'!$B$28)/2))*('Alternative 1'!$B$39)*COS('Alternative 1-Tilt Up'!K69))+(('Alternative 1'!$B$29)*((('Alternative 1'!$B$12-'Alternative 1'!$B$29+(('Alternative 1'!$B$29-'Alternative 1'!$B$28)/2)*('Alternative 1'!$B$39)*COS('Alternative 1-Tilt Up'!K69)))))</f>
        <v>1930533.8954757741</v>
      </c>
      <c r="N69" s="77">
        <f t="shared" si="18"/>
        <v>93230.84289147277</v>
      </c>
      <c r="O69" s="77">
        <f>(((('Alternative 1'!$B$28-'Alternative 1'!$B$27)/2)+'Alternative 1'!$B$27)*('Alternative 1'!$B$39)*COS('Alternative 1-Tilt Up'!K69))+(((('Alternative 1'!$B$28-'Alternative 1'!$B$27)/2)+(('Alternative 1'!$B$29-'Alternative 1'!$B$28)/2))*('Alternative 1'!$B$39)*COS('Alternative 1-Tilt Up'!K69))+(((('Alternative 1'!$B$12-'Alternative 1'!$B$29)+(('Alternative 1'!$B$29-'Alternative 1'!$B$28)/2))*('Alternative 1'!$B$39)*COS('Alternative 1-Tilt Up'!K69)))</f>
        <v>124510.18319933461</v>
      </c>
      <c r="P69" s="77">
        <f t="shared" si="19"/>
        <v>37920.400068804964</v>
      </c>
      <c r="R69" s="78" t="e">
        <f>'Alternative 1'!$B$39*$B69*$C69*COS($K$5)-($N$5/3)*$E69*SIN($K$5)-($N$5/3)*$F69*SIN($K$5)-($N$5/3)*$G69*SIN($K$5)</f>
        <v>#VALUE!</v>
      </c>
      <c r="S69" s="79" t="e">
        <f>IF(($A69&lt;'Alternative 1'!$B$27),(($H69*'Alternative 1'!$B$39)+(3*($N$5/3)*COS($K$5))),IF(($A69&lt;'Alternative 1'!$B$28),(($H69*'Alternative 1'!$B$39)+(2*(($N$5/3)*COS($K$5)))),IF(($A69&lt;'Alternative 1'!$B$29),(($H$3*'Alternative 1'!$B$39+(($N$5/3)*COS($K$5)))),($H69*'Alternative 1'!$B$39))))</f>
        <v>#VALUE!</v>
      </c>
      <c r="T69" s="78" t="e">
        <f>R69*'Alternative 1'!$K70/'Alternative 1'!$L70</f>
        <v>#VALUE!</v>
      </c>
      <c r="U69" s="78" t="e">
        <f>S69/'Alternative 1'!$M70</f>
        <v>#VALUE!</v>
      </c>
      <c r="V69" s="78" t="e">
        <f t="shared" si="20"/>
        <v>#VALUE!</v>
      </c>
      <c r="X69" s="78" t="e">
        <f>'Alternative 1'!$B$39*$B69*$C69*COS($K$13)-($N$12/3)*$E69*SIN($K$13)-($N$12/3)*$F69*SIN($K$13)-($N$12/3)*$G69*SIN($K$13)</f>
        <v>#VALUE!</v>
      </c>
      <c r="Y69" s="79" t="e">
        <f>IF(($A69&lt;'Alternative 1'!$B$27),(($H69*'Alternative 1'!$B$39)+(3*($N$12/3)*COS($K$13))),IF(($A69&lt;'Alternative 1'!$B$28),(($H69*'Alternative 1'!$B$39)+(2*(($N$12/3)*COS($K$13)))),IF(($A69&lt;'Alternative 1'!$B$29),(($H$3*'Alternative 1'!$B$39+(($N$12/3)*COS($K$13)))),($H69*'Alternative 1'!$B$39))))</f>
        <v>#VALUE!</v>
      </c>
      <c r="Z69" s="78" t="e">
        <f>X69*'Alternative 1'!$K70/'Alternative 1'!$L70</f>
        <v>#VALUE!</v>
      </c>
      <c r="AA69" s="78" t="e">
        <f>Y69/'Alternative 1'!$M70</f>
        <v>#VALUE!</v>
      </c>
      <c r="AB69" s="78" t="e">
        <f t="shared" si="21"/>
        <v>#VALUE!</v>
      </c>
      <c r="AD69" s="78" t="e">
        <f>'Alternative 1'!$B$39*$B69*$C69*COS($K$23)-($N$22/3)*$E69*SIN($K$23)-($N$22/3)*$F69*SIN($K$23)-($N$22/3)*$G69*SIN($K$23)</f>
        <v>#VALUE!</v>
      </c>
      <c r="AE69" s="79" t="e">
        <f>IF(($A69&lt;'Alternative 1'!$B$27),(($H69*'Alternative 1'!$B$39)+(3*($N$22/3)*COS($K$23))),IF(($A69&lt;'Alternative 1'!$B$28),(($H69*'Alternative 1'!$B$39)+(2*(($N$22/3)*COS($K$23)))),IF(($A69&lt;'Alternative 1'!$B$29),(($H$3*'Alternative 1'!$B$39+(($N$22/3)*COS($K$23)))),($H69*'Alternative 1'!$B$39))))</f>
        <v>#VALUE!</v>
      </c>
      <c r="AF69" s="78" t="e">
        <f>AD69*'Alternative 1'!$K70/'Alternative 1'!$L70</f>
        <v>#VALUE!</v>
      </c>
      <c r="AG69" s="78" t="e">
        <f>AE69/'Alternative 1'!$M70</f>
        <v>#VALUE!</v>
      </c>
      <c r="AH69" s="78" t="e">
        <f t="shared" si="22"/>
        <v>#VALUE!</v>
      </c>
      <c r="AJ69" s="78" t="e">
        <f>'Alternative 1'!$B$39*$B69*$C69*COS($K$33)-($N$32/3)*$E69*SIN($K$33)-($N$32/3)*$F69*SIN($K$33)-($N$32/3)*$G69*SIN($K$33)</f>
        <v>#VALUE!</v>
      </c>
      <c r="AK69" s="79" t="e">
        <f>IF(($A69&lt;'Alternative 1'!$B$27),(($H69*'Alternative 1'!$B$39)+(3*($N$32/3)*COS($K$33))),IF(($A69&lt;'Alternative 1'!$B$28),(($H69*'Alternative 1'!$B$39)+(2*(($N$32/3)*COS($K$33)))),IF(($A69&lt;'Alternative 1'!$B$29),(($H$3*'Alternative 1'!$B$39+(($N$32/3)*COS($K$33)))),($H69*'Alternative 1'!$B$39))))</f>
        <v>#VALUE!</v>
      </c>
      <c r="AL69" s="78" t="e">
        <f>AJ69*'Alternative 1'!$K70/'Alternative 1'!$L70</f>
        <v>#VALUE!</v>
      </c>
      <c r="AM69" s="78" t="e">
        <f>AK69/'Alternative 1'!$M70</f>
        <v>#VALUE!</v>
      </c>
      <c r="AN69" s="78" t="e">
        <f t="shared" si="23"/>
        <v>#VALUE!</v>
      </c>
      <c r="AP69" s="78" t="e">
        <f>'Alternative 1'!$B$39*$B69*$C69*COS($K$43)-($N$42/3)*$E69*SIN($K$43)-($N$42/3)*$F69*SIN($K$43)-($N$42/3)*$G69*SIN($K$43)</f>
        <v>#VALUE!</v>
      </c>
      <c r="AQ69" s="79" t="e">
        <f>IF(($A69&lt;'Alternative 1'!$B$27),(($H69*'Alternative 1'!$B$39)+(3*($N$42/3)*COS($K$43))),IF(($A69&lt;'Alternative 1'!$B$28),(($H69*'Alternative 1'!$B$39)+(2*(($N$42/3)*COS($K$43)))),IF(($A69&lt;'Alternative 1'!$B$29),(($H$3*'Alternative 1'!$B$39+(($N$42/3)*COS($K$43)))),($H69*'Alternative 1'!$B$39))))</f>
        <v>#VALUE!</v>
      </c>
      <c r="AR69" s="78" t="e">
        <f>AP69*'Alternative 1'!$K70/'Alternative 1'!$L70</f>
        <v>#VALUE!</v>
      </c>
      <c r="AS69" s="78" t="e">
        <f>AQ69/'Alternative 1'!$M70</f>
        <v>#VALUE!</v>
      </c>
      <c r="AT69" s="78" t="e">
        <f t="shared" si="24"/>
        <v>#VALUE!</v>
      </c>
      <c r="AV69" s="78" t="e">
        <f>'Alternative 1'!$B$39*$B69*$C69*COS($K$53)-($N$52/3)*$E69*SIN($K$53)-($N$52/3)*$F69*SIN($K$53)-($N$52/3)*$G69*SIN($K$53)</f>
        <v>#VALUE!</v>
      </c>
      <c r="AW69" s="79" t="e">
        <f>IF(($A69&lt;'Alternative 1'!$B$27),(($H69*'Alternative 1'!$B$39)+(3*($N$52/3)*COS($K$53))),IF(($A69&lt;'Alternative 1'!$B$28),(($H69*'Alternative 1'!$B$39)+(2*(($N$52/3)*COS($K$53)))),IF(($A69&lt;'Alternative 1'!$B$29),(($H$3*'Alternative 1'!$B$39+(($N$52/3)*COS($K$53)))),($H69*'Alternative 1'!$B$39))))</f>
        <v>#VALUE!</v>
      </c>
      <c r="AX69" s="78" t="e">
        <f>AV69*'Alternative 1'!$K70/'Alternative 1'!$L70</f>
        <v>#VALUE!</v>
      </c>
      <c r="AY69" s="78" t="e">
        <f>AW69/'Alternative 1'!$M70</f>
        <v>#VALUE!</v>
      </c>
      <c r="AZ69" s="78" t="e">
        <f t="shared" si="25"/>
        <v>#VALUE!</v>
      </c>
      <c r="BB69" s="78" t="e">
        <f>'Alternative 1'!$B$39*$B69*$C69*COS($K$63)-($N$62/3)*$E69*SIN($K$63)-($N$62/3)*$F69*SIN($K$63)-($N$62/3)*$G69*SIN($K$63)</f>
        <v>#VALUE!</v>
      </c>
      <c r="BC69" s="79" t="e">
        <f>IF(($A69&lt;'Alternative 1'!$B$27),(($H69*'Alternative 1'!$B$39)+(3*($N$62/3)*COS($K$63))),IF(($A69&lt;'Alternative 1'!$B$28),(($H69*'Alternative 1'!$B$39)+(2*(($N$62/3)*COS($K$63)))),IF(($A69&lt;'Alternative 1'!$B$29),(($H$3*'Alternative 1'!$B$39+(($N$62/3)*COS($K$63)))),($H69*'Alternative 1'!$B$39))))</f>
        <v>#VALUE!</v>
      </c>
      <c r="BD69" s="78" t="e">
        <f>BB69*'Alternative 1'!$K70/'Alternative 1'!$L70</f>
        <v>#VALUE!</v>
      </c>
      <c r="BE69" s="78" t="e">
        <f>BC69/'Alternative 1'!$M70</f>
        <v>#VALUE!</v>
      </c>
      <c r="BF69" s="78" t="e">
        <f t="shared" si="26"/>
        <v>#VALUE!</v>
      </c>
      <c r="BH69" s="78" t="e">
        <f>'Alternative 1'!$B$39*$B69*$C69*COS($K$73)-($N$72/3)*$E69*SIN($K$73)-($N$72/3)*$F69*SIN($K$73)-($N$72/3)*$G69*SIN($K$73)</f>
        <v>#VALUE!</v>
      </c>
      <c r="BI69" s="79" t="e">
        <f>IF(($A69&lt;'Alternative 1'!$B$27),(($H69*'Alternative 1'!$B$39)+(3*($N$72/3)*COS($K$73))),IF(($A69&lt;'Alternative 1'!$B$28),(($H69*'Alternative 1'!$B$39)+(2*(($N$72/3)*COS($K$73)))),IF(($A69&lt;'Alternative 1'!$B$29),(($H$3*'Alternative 1'!$B$39+(($N$72/3)*COS($K$73)))),($H69*'Alternative 1'!$B$39))))</f>
        <v>#VALUE!</v>
      </c>
      <c r="BJ69" s="78" t="e">
        <f>BH69*'Alternative 1'!$K70/'Alternative 1'!$L70</f>
        <v>#VALUE!</v>
      </c>
      <c r="BK69" s="78" t="e">
        <f>BI69/'Alternative 1'!$M70</f>
        <v>#VALUE!</v>
      </c>
      <c r="BL69" s="78" t="e">
        <f t="shared" si="27"/>
        <v>#VALUE!</v>
      </c>
      <c r="BN69" s="78" t="e">
        <f>'Alternative 1'!$B$39*$B69*$C69*COS($K$83)-($N$82/3)*$E69*SIN($K$83)-($N$82/3)*$F69*SIN($K$83)-($N$82/3)*$G69*SIN($K$83)</f>
        <v>#VALUE!</v>
      </c>
      <c r="BO69" s="79" t="e">
        <f>IF(($A69&lt;'Alternative 1'!$B$27),(($H69*'Alternative 1'!$B$39)+(3*($N$82/3)*COS($K$83))),IF(($A69&lt;'Alternative 1'!$B$28),(($H69*'Alternative 1'!$B$39)+(2*(($N$82/3)*COS($K$83)))),IF(($A69&lt;'Alternative 1'!$B$29),(($H$3*'Alternative 1'!$B$39+(($N$82/3)*COS($K$83)))),($H69*'Alternative 1'!$B$39))))</f>
        <v>#VALUE!</v>
      </c>
      <c r="BP69" s="78" t="e">
        <f>BN69*'Alternative 1'!$K70/'Alternative 1'!$L70</f>
        <v>#VALUE!</v>
      </c>
      <c r="BQ69" s="78" t="e">
        <f>BO69/'Alternative 1'!$M70</f>
        <v>#VALUE!</v>
      </c>
      <c r="BR69" s="78" t="e">
        <f t="shared" si="28"/>
        <v>#VALUE!</v>
      </c>
      <c r="BT69" s="78" t="e">
        <f>'Alternative 1'!$B$39*$B69*$C69*COS($K$93)-($K$92/3)*$E69*SIN($K$93)-($K$92/3)*$F69*SIN($K$93)-($K$92/3)*$G69*SIN($K$93)</f>
        <v>#VALUE!</v>
      </c>
      <c r="BU69" s="79" t="e">
        <f>IF(($A69&lt;'Alternative 1'!$B$27),(($H69*'Alternative 1'!$B$39)+(3*($N$92/3)*COS($K$93))),IF(($A69&lt;'Alternative 1'!$B$28),(($H69*'Alternative 1'!$B$39)+(2*(($N$92/3)*COS($K$93)))),IF(($A69&lt;'Alternative 1'!$B$29),(($H$3*'Alternative 1'!$B$39+(($N$92/3)*COS($K$93)))),($H69*'Alternative 1'!$B$39))))</f>
        <v>#VALUE!</v>
      </c>
      <c r="BV69" s="78" t="e">
        <f>BT69*'Alternative 1'!$K70/'Alternative 1'!$L70</f>
        <v>#VALUE!</v>
      </c>
      <c r="BW69" s="78" t="e">
        <f>BU69/'Alternative 1'!$M70</f>
        <v>#VALUE!</v>
      </c>
      <c r="BX69" s="78" t="e">
        <f t="shared" si="29"/>
        <v>#VALUE!</v>
      </c>
      <c r="BZ69" s="77">
        <v>150</v>
      </c>
      <c r="CA69" s="77">
        <v>-150</v>
      </c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</row>
    <row r="70" spans="1:115" ht="15" customHeight="1" x14ac:dyDescent="0.25">
      <c r="A70" s="89" t="str">
        <f>IF('Alternative 1'!F71&gt;0,'Alternative 1'!F71,"x")</f>
        <v>x</v>
      </c>
      <c r="B70" s="89" t="e">
        <f t="shared" si="35"/>
        <v>#VALUE!</v>
      </c>
      <c r="C70" s="89">
        <f t="shared" si="30"/>
        <v>0</v>
      </c>
      <c r="D70" s="89" t="str">
        <f t="shared" si="31"/>
        <v>x</v>
      </c>
      <c r="E70" s="74">
        <f>IF($A70&lt;='Alternative 1'!$B$27, IF($A70='Alternative 1'!$B$27,0,E71+1),0)</f>
        <v>0</v>
      </c>
      <c r="F70" s="74">
        <f>IF($A70&lt;=('Alternative 1'!$B$28), IF($A70=ROUNDDOWN('Alternative 1'!$B$28,0),0,F71+1),0)</f>
        <v>0</v>
      </c>
      <c r="G70" s="74">
        <f>IF($A70&lt;=('Alternative 1'!$B$29), IF($A70=ROUNDDOWN('Alternative 1'!$B$29,0),0,G71+1),0)</f>
        <v>0</v>
      </c>
      <c r="H70" s="89" t="e">
        <f t="shared" si="32"/>
        <v>#VALUE!</v>
      </c>
      <c r="J70" s="77">
        <f t="shared" si="33"/>
        <v>67</v>
      </c>
      <c r="K70" s="77">
        <f t="shared" si="34"/>
        <v>1.1693705988362006</v>
      </c>
      <c r="L70" s="78">
        <f>'Alternative 1'!$B$27*SIN(K70)+'Alternative 1'!$B$28*SIN(K70)+'Alternative 1'!$B$29*SIN(K70)</f>
        <v>62.594330034765939</v>
      </c>
      <c r="M70" s="77">
        <f>(('Alternative 1'!$B$27)*(((('Alternative 1'!$B$28-'Alternative 1'!$B$27)/2)+'Alternative 1'!$B$27)*'Alternative 1'!$B$39)*COS('Alternative 1-Tilt Up'!K70))+(('Alternative 1'!$B$28)*((('Alternative 1'!$B$28-'Alternative 1'!$B$27)/2)+(('Alternative 1'!$B$29-'Alternative 1'!$B$28)/2))*('Alternative 1'!$B$39)*COS('Alternative 1-Tilt Up'!K70))+(('Alternative 1'!$B$29)*((('Alternative 1'!$B$12-'Alternative 1'!$B$29+(('Alternative 1'!$B$29-'Alternative 1'!$B$28)/2)*('Alternative 1'!$B$39)*COS('Alternative 1-Tilt Up'!K70)))))</f>
        <v>1854573.0550318055</v>
      </c>
      <c r="N70" s="77">
        <f t="shared" si="18"/>
        <v>88885.353705443194</v>
      </c>
      <c r="O70" s="77">
        <f>(((('Alternative 1'!$B$28-'Alternative 1'!$B$27)/2)+'Alternative 1'!$B$27)*('Alternative 1'!$B$39)*COS('Alternative 1-Tilt Up'!K70))+(((('Alternative 1'!$B$28-'Alternative 1'!$B$27)/2)+(('Alternative 1'!$B$29-'Alternative 1'!$B$28)/2))*('Alternative 1'!$B$39)*COS('Alternative 1-Tilt Up'!K70))+(((('Alternative 1'!$B$12-'Alternative 1'!$B$29)+(('Alternative 1'!$B$29-'Alternative 1'!$B$28)/2))*('Alternative 1'!$B$39)*COS('Alternative 1-Tilt Up'!K70)))</f>
        <v>119610.57656862192</v>
      </c>
      <c r="P70" s="77">
        <f t="shared" si="19"/>
        <v>34730.274559496087</v>
      </c>
      <c r="R70" s="78" t="e">
        <f>'Alternative 1'!$B$39*$B70*$C70*COS($K$5)-($N$5/3)*$E70*SIN($K$5)-($N$5/3)*$F70*SIN($K$5)-($N$5/3)*$G70*SIN($K$5)</f>
        <v>#VALUE!</v>
      </c>
      <c r="S70" s="79" t="e">
        <f>IF(($A70&lt;'Alternative 1'!$B$27),(($H70*'Alternative 1'!$B$39)+(3*($N$5/3)*COS($K$5))),IF(($A70&lt;'Alternative 1'!$B$28),(($H70*'Alternative 1'!$B$39)+(2*(($N$5/3)*COS($K$5)))),IF(($A70&lt;'Alternative 1'!$B$29),(($H$3*'Alternative 1'!$B$39+(($N$5/3)*COS($K$5)))),($H70*'Alternative 1'!$B$39))))</f>
        <v>#VALUE!</v>
      </c>
      <c r="T70" s="78" t="e">
        <f>R70*'Alternative 1'!$K71/'Alternative 1'!$L71</f>
        <v>#VALUE!</v>
      </c>
      <c r="U70" s="78" t="e">
        <f>S70/'Alternative 1'!$M71</f>
        <v>#VALUE!</v>
      </c>
      <c r="V70" s="78" t="e">
        <f t="shared" si="20"/>
        <v>#VALUE!</v>
      </c>
      <c r="X70" s="78" t="e">
        <f>'Alternative 1'!$B$39*$B70*$C70*COS($K$13)-($N$12/3)*$E70*SIN($K$13)-($N$12/3)*$F70*SIN($K$13)-($N$12/3)*$G70*SIN($K$13)</f>
        <v>#VALUE!</v>
      </c>
      <c r="Y70" s="79" t="e">
        <f>IF(($A70&lt;'Alternative 1'!$B$27),(($H70*'Alternative 1'!$B$39)+(3*($N$12/3)*COS($K$13))),IF(($A70&lt;'Alternative 1'!$B$28),(($H70*'Alternative 1'!$B$39)+(2*(($N$12/3)*COS($K$13)))),IF(($A70&lt;'Alternative 1'!$B$29),(($H$3*'Alternative 1'!$B$39+(($N$12/3)*COS($K$13)))),($H70*'Alternative 1'!$B$39))))</f>
        <v>#VALUE!</v>
      </c>
      <c r="Z70" s="78" t="e">
        <f>X70*'Alternative 1'!$K71/'Alternative 1'!$L71</f>
        <v>#VALUE!</v>
      </c>
      <c r="AA70" s="78" t="e">
        <f>Y70/'Alternative 1'!$M71</f>
        <v>#VALUE!</v>
      </c>
      <c r="AB70" s="78" t="e">
        <f t="shared" si="21"/>
        <v>#VALUE!</v>
      </c>
      <c r="AD70" s="78" t="e">
        <f>'Alternative 1'!$B$39*$B70*$C70*COS($K$23)-($N$22/3)*$E70*SIN($K$23)-($N$22/3)*$F70*SIN($K$23)-($N$22/3)*$G70*SIN($K$23)</f>
        <v>#VALUE!</v>
      </c>
      <c r="AE70" s="79" t="e">
        <f>IF(($A70&lt;'Alternative 1'!$B$27),(($H70*'Alternative 1'!$B$39)+(3*($N$22/3)*COS($K$23))),IF(($A70&lt;'Alternative 1'!$B$28),(($H70*'Alternative 1'!$B$39)+(2*(($N$22/3)*COS($K$23)))),IF(($A70&lt;'Alternative 1'!$B$29),(($H$3*'Alternative 1'!$B$39+(($N$22/3)*COS($K$23)))),($H70*'Alternative 1'!$B$39))))</f>
        <v>#VALUE!</v>
      </c>
      <c r="AF70" s="78" t="e">
        <f>AD70*'Alternative 1'!$K71/'Alternative 1'!$L71</f>
        <v>#VALUE!</v>
      </c>
      <c r="AG70" s="78" t="e">
        <f>AE70/'Alternative 1'!$M71</f>
        <v>#VALUE!</v>
      </c>
      <c r="AH70" s="78" t="e">
        <f t="shared" si="22"/>
        <v>#VALUE!</v>
      </c>
      <c r="AJ70" s="78" t="e">
        <f>'Alternative 1'!$B$39*$B70*$C70*COS($K$33)-($N$32/3)*$E70*SIN($K$33)-($N$32/3)*$F70*SIN($K$33)-($N$32/3)*$G70*SIN($K$33)</f>
        <v>#VALUE!</v>
      </c>
      <c r="AK70" s="79" t="e">
        <f>IF(($A70&lt;'Alternative 1'!$B$27),(($H70*'Alternative 1'!$B$39)+(3*($N$32/3)*COS($K$33))),IF(($A70&lt;'Alternative 1'!$B$28),(($H70*'Alternative 1'!$B$39)+(2*(($N$32/3)*COS($K$33)))),IF(($A70&lt;'Alternative 1'!$B$29),(($H$3*'Alternative 1'!$B$39+(($N$32/3)*COS($K$33)))),($H70*'Alternative 1'!$B$39))))</f>
        <v>#VALUE!</v>
      </c>
      <c r="AL70" s="78" t="e">
        <f>AJ70*'Alternative 1'!$K71/'Alternative 1'!$L71</f>
        <v>#VALUE!</v>
      </c>
      <c r="AM70" s="78" t="e">
        <f>AK70/'Alternative 1'!$M71</f>
        <v>#VALUE!</v>
      </c>
      <c r="AN70" s="78" t="e">
        <f t="shared" si="23"/>
        <v>#VALUE!</v>
      </c>
      <c r="AP70" s="78" t="e">
        <f>'Alternative 1'!$B$39*$B70*$C70*COS($K$43)-($N$42/3)*$E70*SIN($K$43)-($N$42/3)*$F70*SIN($K$43)-($N$42/3)*$G70*SIN($K$43)</f>
        <v>#VALUE!</v>
      </c>
      <c r="AQ70" s="79" t="e">
        <f>IF(($A70&lt;'Alternative 1'!$B$27),(($H70*'Alternative 1'!$B$39)+(3*($N$42/3)*COS($K$43))),IF(($A70&lt;'Alternative 1'!$B$28),(($H70*'Alternative 1'!$B$39)+(2*(($N$42/3)*COS($K$43)))),IF(($A70&lt;'Alternative 1'!$B$29),(($H$3*'Alternative 1'!$B$39+(($N$42/3)*COS($K$43)))),($H70*'Alternative 1'!$B$39))))</f>
        <v>#VALUE!</v>
      </c>
      <c r="AR70" s="78" t="e">
        <f>AP70*'Alternative 1'!$K71/'Alternative 1'!$L71</f>
        <v>#VALUE!</v>
      </c>
      <c r="AS70" s="78" t="e">
        <f>AQ70/'Alternative 1'!$M71</f>
        <v>#VALUE!</v>
      </c>
      <c r="AT70" s="78" t="e">
        <f t="shared" si="24"/>
        <v>#VALUE!</v>
      </c>
      <c r="AV70" s="78" t="e">
        <f>'Alternative 1'!$B$39*$B70*$C70*COS($K$53)-($N$52/3)*$E70*SIN($K$53)-($N$52/3)*$F70*SIN($K$53)-($N$52/3)*$G70*SIN($K$53)</f>
        <v>#VALUE!</v>
      </c>
      <c r="AW70" s="79" t="e">
        <f>IF(($A70&lt;'Alternative 1'!$B$27),(($H70*'Alternative 1'!$B$39)+(3*($N$52/3)*COS($K$53))),IF(($A70&lt;'Alternative 1'!$B$28),(($H70*'Alternative 1'!$B$39)+(2*(($N$52/3)*COS($K$53)))),IF(($A70&lt;'Alternative 1'!$B$29),(($H$3*'Alternative 1'!$B$39+(($N$52/3)*COS($K$53)))),($H70*'Alternative 1'!$B$39))))</f>
        <v>#VALUE!</v>
      </c>
      <c r="AX70" s="78" t="e">
        <f>AV70*'Alternative 1'!$K71/'Alternative 1'!$L71</f>
        <v>#VALUE!</v>
      </c>
      <c r="AY70" s="78" t="e">
        <f>AW70/'Alternative 1'!$M71</f>
        <v>#VALUE!</v>
      </c>
      <c r="AZ70" s="78" t="e">
        <f t="shared" si="25"/>
        <v>#VALUE!</v>
      </c>
      <c r="BB70" s="78" t="e">
        <f>'Alternative 1'!$B$39*$B70*$C70*COS($K$63)-($N$62/3)*$E70*SIN($K$63)-($N$62/3)*$F70*SIN($K$63)-($N$62/3)*$G70*SIN($K$63)</f>
        <v>#VALUE!</v>
      </c>
      <c r="BC70" s="79" t="e">
        <f>IF(($A70&lt;'Alternative 1'!$B$27),(($H70*'Alternative 1'!$B$39)+(3*($N$62/3)*COS($K$63))),IF(($A70&lt;'Alternative 1'!$B$28),(($H70*'Alternative 1'!$B$39)+(2*(($N$62/3)*COS($K$63)))),IF(($A70&lt;'Alternative 1'!$B$29),(($H$3*'Alternative 1'!$B$39+(($N$62/3)*COS($K$63)))),($H70*'Alternative 1'!$B$39))))</f>
        <v>#VALUE!</v>
      </c>
      <c r="BD70" s="78" t="e">
        <f>BB70*'Alternative 1'!$K71/'Alternative 1'!$L71</f>
        <v>#VALUE!</v>
      </c>
      <c r="BE70" s="78" t="e">
        <f>BC70/'Alternative 1'!$M71</f>
        <v>#VALUE!</v>
      </c>
      <c r="BF70" s="78" t="e">
        <f t="shared" si="26"/>
        <v>#VALUE!</v>
      </c>
      <c r="BH70" s="78" t="e">
        <f>'Alternative 1'!$B$39*$B70*$C70*COS($K$73)-($N$72/3)*$E70*SIN($K$73)-($N$72/3)*$F70*SIN($K$73)-($N$72/3)*$G70*SIN($K$73)</f>
        <v>#VALUE!</v>
      </c>
      <c r="BI70" s="79" t="e">
        <f>IF(($A70&lt;'Alternative 1'!$B$27),(($H70*'Alternative 1'!$B$39)+(3*($N$72/3)*COS($K$73))),IF(($A70&lt;'Alternative 1'!$B$28),(($H70*'Alternative 1'!$B$39)+(2*(($N$72/3)*COS($K$73)))),IF(($A70&lt;'Alternative 1'!$B$29),(($H$3*'Alternative 1'!$B$39+(($N$72/3)*COS($K$73)))),($H70*'Alternative 1'!$B$39))))</f>
        <v>#VALUE!</v>
      </c>
      <c r="BJ70" s="78" t="e">
        <f>BH70*'Alternative 1'!$K71/'Alternative 1'!$L71</f>
        <v>#VALUE!</v>
      </c>
      <c r="BK70" s="78" t="e">
        <f>BI70/'Alternative 1'!$M71</f>
        <v>#VALUE!</v>
      </c>
      <c r="BL70" s="78" t="e">
        <f t="shared" si="27"/>
        <v>#VALUE!</v>
      </c>
      <c r="BN70" s="78" t="e">
        <f>'Alternative 1'!$B$39*$B70*$C70*COS($K$83)-($N$82/3)*$E70*SIN($K$83)-($N$82/3)*$F70*SIN($K$83)-($N$82/3)*$G70*SIN($K$83)</f>
        <v>#VALUE!</v>
      </c>
      <c r="BO70" s="79" t="e">
        <f>IF(($A70&lt;'Alternative 1'!$B$27),(($H70*'Alternative 1'!$B$39)+(3*($N$82/3)*COS($K$83))),IF(($A70&lt;'Alternative 1'!$B$28),(($H70*'Alternative 1'!$B$39)+(2*(($N$82/3)*COS($K$83)))),IF(($A70&lt;'Alternative 1'!$B$29),(($H$3*'Alternative 1'!$B$39+(($N$82/3)*COS($K$83)))),($H70*'Alternative 1'!$B$39))))</f>
        <v>#VALUE!</v>
      </c>
      <c r="BP70" s="78" t="e">
        <f>BN70*'Alternative 1'!$K71/'Alternative 1'!$L71</f>
        <v>#VALUE!</v>
      </c>
      <c r="BQ70" s="78" t="e">
        <f>BO70/'Alternative 1'!$M71</f>
        <v>#VALUE!</v>
      </c>
      <c r="BR70" s="78" t="e">
        <f t="shared" si="28"/>
        <v>#VALUE!</v>
      </c>
      <c r="BT70" s="78" t="e">
        <f>'Alternative 1'!$B$39*$B70*$C70*COS($K$93)-($K$92/3)*$E70*SIN($K$93)-($K$92/3)*$F70*SIN($K$93)-($K$92/3)*$G70*SIN($K$93)</f>
        <v>#VALUE!</v>
      </c>
      <c r="BU70" s="79" t="e">
        <f>IF(($A70&lt;'Alternative 1'!$B$27),(($H70*'Alternative 1'!$B$39)+(3*($N$92/3)*COS($K$93))),IF(($A70&lt;'Alternative 1'!$B$28),(($H70*'Alternative 1'!$B$39)+(2*(($N$92/3)*COS($K$93)))),IF(($A70&lt;'Alternative 1'!$B$29),(($H$3*'Alternative 1'!$B$39+(($N$92/3)*COS($K$93)))),($H70*'Alternative 1'!$B$39))))</f>
        <v>#VALUE!</v>
      </c>
      <c r="BV70" s="78" t="e">
        <f>BT70*'Alternative 1'!$K71/'Alternative 1'!$L71</f>
        <v>#VALUE!</v>
      </c>
      <c r="BW70" s="78" t="e">
        <f>BU70/'Alternative 1'!$M71</f>
        <v>#VALUE!</v>
      </c>
      <c r="BX70" s="78" t="e">
        <f t="shared" si="29"/>
        <v>#VALUE!</v>
      </c>
      <c r="BZ70" s="151"/>
      <c r="CA70" s="15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1"/>
      <c r="DB70" s="281"/>
      <c r="DC70" s="281"/>
      <c r="DD70" s="281"/>
      <c r="DE70" s="281"/>
      <c r="DF70" s="281"/>
      <c r="DG70" s="281"/>
      <c r="DH70" s="281"/>
      <c r="DI70" s="281"/>
      <c r="DJ70" s="281"/>
      <c r="DK70" s="281"/>
    </row>
    <row r="71" spans="1:115" ht="15" customHeight="1" x14ac:dyDescent="0.25">
      <c r="A71" s="89" t="str">
        <f>IF('Alternative 1'!F72&gt;0,'Alternative 1'!F72,"x")</f>
        <v>x</v>
      </c>
      <c r="B71" s="89" t="e">
        <f t="shared" si="35"/>
        <v>#VALUE!</v>
      </c>
      <c r="C71" s="89">
        <f t="shared" si="30"/>
        <v>0</v>
      </c>
      <c r="D71" s="89" t="str">
        <f t="shared" si="31"/>
        <v>x</v>
      </c>
      <c r="E71" s="74">
        <f>IF($A71&lt;='Alternative 1'!$B$27, IF($A71='Alternative 1'!$B$27,0,E72+1),0)</f>
        <v>0</v>
      </c>
      <c r="F71" s="74">
        <f>IF($A71&lt;=('Alternative 1'!$B$28), IF($A71=ROUNDDOWN('Alternative 1'!$B$28,0),0,F72+1),0)</f>
        <v>0</v>
      </c>
      <c r="G71" s="74">
        <f>IF($A71&lt;=('Alternative 1'!$B$29), IF($A71=ROUNDDOWN('Alternative 1'!$B$29,0),0,G72+1),0)</f>
        <v>0</v>
      </c>
      <c r="H71" s="89" t="e">
        <f t="shared" si="32"/>
        <v>#VALUE!</v>
      </c>
      <c r="J71" s="77">
        <f t="shared" si="33"/>
        <v>68</v>
      </c>
      <c r="K71" s="77">
        <f t="shared" si="34"/>
        <v>1.1868238913561442</v>
      </c>
      <c r="L71" s="78">
        <f>'Alternative 1'!$B$27*SIN(K71)+'Alternative 1'!$B$28*SIN(K71)+'Alternative 1'!$B$29*SIN(K71)</f>
        <v>63.048502110541548</v>
      </c>
      <c r="M71" s="77">
        <f>(('Alternative 1'!$B$27)*(((('Alternative 1'!$B$28-'Alternative 1'!$B$27)/2)+'Alternative 1'!$B$27)*'Alternative 1'!$B$39)*COS('Alternative 1-Tilt Up'!K71))+(('Alternative 1'!$B$28)*((('Alternative 1'!$B$28-'Alternative 1'!$B$27)/2)+(('Alternative 1'!$B$29-'Alternative 1'!$B$28)/2))*('Alternative 1'!$B$39)*COS('Alternative 1-Tilt Up'!K71))+(('Alternative 1'!$B$29)*((('Alternative 1'!$B$12-'Alternative 1'!$B$29+(('Alternative 1'!$B$29-'Alternative 1'!$B$28)/2)*('Alternative 1'!$B$39)*COS('Alternative 1-Tilt Up'!K71)))))</f>
        <v>1778047.3532607479</v>
      </c>
      <c r="N71" s="77">
        <f t="shared" si="18"/>
        <v>84603.787262542886</v>
      </c>
      <c r="O71" s="77">
        <f>(((('Alternative 1'!$B$28-'Alternative 1'!$B$27)/2)+'Alternative 1'!$B$27)*('Alternative 1'!$B$39)*COS('Alternative 1-Tilt Up'!K71))+(((('Alternative 1'!$B$28-'Alternative 1'!$B$27)/2)+(('Alternative 1'!$B$29-'Alternative 1'!$B$28)/2))*('Alternative 1'!$B$39)*COS('Alternative 1-Tilt Up'!K71))+(((('Alternative 1'!$B$12-'Alternative 1'!$B$29)+(('Alternative 1'!$B$29-'Alternative 1'!$B$28)/2))*('Alternative 1'!$B$39)*COS('Alternative 1-Tilt Up'!K71)))</f>
        <v>114674.53539759264</v>
      </c>
      <c r="P71" s="77">
        <f t="shared" si="19"/>
        <v>31693.136536505714</v>
      </c>
      <c r="R71" s="78" t="e">
        <f>'Alternative 1'!$B$39*$B71*$C71*COS($K$5)-($N$5/3)*$E71*SIN($K$5)-($N$5/3)*$F71*SIN($K$5)-($N$5/3)*$G71*SIN($K$5)</f>
        <v>#VALUE!</v>
      </c>
      <c r="S71" s="79" t="e">
        <f>IF(($A71&lt;'Alternative 1'!$B$27),(($H71*'Alternative 1'!$B$39)+(3*($N$5/3)*COS($K$5))),IF(($A71&lt;'Alternative 1'!$B$28),(($H71*'Alternative 1'!$B$39)+(2*(($N$5/3)*COS($K$5)))),IF(($A71&lt;'Alternative 1'!$B$29),(($H$3*'Alternative 1'!$B$39+(($N$5/3)*COS($K$5)))),($H71*'Alternative 1'!$B$39))))</f>
        <v>#VALUE!</v>
      </c>
      <c r="T71" s="78" t="e">
        <f>R71*'Alternative 1'!$K72/'Alternative 1'!$L72</f>
        <v>#VALUE!</v>
      </c>
      <c r="U71" s="78" t="e">
        <f>S71/'Alternative 1'!$M72</f>
        <v>#VALUE!</v>
      </c>
      <c r="V71" s="78" t="e">
        <f t="shared" si="20"/>
        <v>#VALUE!</v>
      </c>
      <c r="X71" s="78" t="e">
        <f>'Alternative 1'!$B$39*$B71*$C71*COS($K$13)-($N$12/3)*$E71*SIN($K$13)-($N$12/3)*$F71*SIN($K$13)-($N$12/3)*$G71*SIN($K$13)</f>
        <v>#VALUE!</v>
      </c>
      <c r="Y71" s="79" t="e">
        <f>IF(($A71&lt;'Alternative 1'!$B$27),(($H71*'Alternative 1'!$B$39)+(3*($N$12/3)*COS($K$13))),IF(($A71&lt;'Alternative 1'!$B$28),(($H71*'Alternative 1'!$B$39)+(2*(($N$12/3)*COS($K$13)))),IF(($A71&lt;'Alternative 1'!$B$29),(($H$3*'Alternative 1'!$B$39+(($N$12/3)*COS($K$13)))),($H71*'Alternative 1'!$B$39))))</f>
        <v>#VALUE!</v>
      </c>
      <c r="Z71" s="78" t="e">
        <f>X71*'Alternative 1'!$K72/'Alternative 1'!$L72</f>
        <v>#VALUE!</v>
      </c>
      <c r="AA71" s="78" t="e">
        <f>Y71/'Alternative 1'!$M72</f>
        <v>#VALUE!</v>
      </c>
      <c r="AB71" s="78" t="e">
        <f t="shared" si="21"/>
        <v>#VALUE!</v>
      </c>
      <c r="AD71" s="78" t="e">
        <f>'Alternative 1'!$B$39*$B71*$C71*COS($K$23)-($N$22/3)*$E71*SIN($K$23)-($N$22/3)*$F71*SIN($K$23)-($N$22/3)*$G71*SIN($K$23)</f>
        <v>#VALUE!</v>
      </c>
      <c r="AE71" s="79" t="e">
        <f>IF(($A71&lt;'Alternative 1'!$B$27),(($H71*'Alternative 1'!$B$39)+(3*($N$22/3)*COS($K$23))),IF(($A71&lt;'Alternative 1'!$B$28),(($H71*'Alternative 1'!$B$39)+(2*(($N$22/3)*COS($K$23)))),IF(($A71&lt;'Alternative 1'!$B$29),(($H$3*'Alternative 1'!$B$39+(($N$22/3)*COS($K$23)))),($H71*'Alternative 1'!$B$39))))</f>
        <v>#VALUE!</v>
      </c>
      <c r="AF71" s="78" t="e">
        <f>AD71*'Alternative 1'!$K72/'Alternative 1'!$L72</f>
        <v>#VALUE!</v>
      </c>
      <c r="AG71" s="78" t="e">
        <f>AE71/'Alternative 1'!$M72</f>
        <v>#VALUE!</v>
      </c>
      <c r="AH71" s="78" t="e">
        <f t="shared" si="22"/>
        <v>#VALUE!</v>
      </c>
      <c r="AJ71" s="78" t="e">
        <f>'Alternative 1'!$B$39*$B71*$C71*COS($K$33)-($N$32/3)*$E71*SIN($K$33)-($N$32/3)*$F71*SIN($K$33)-($N$32/3)*$G71*SIN($K$33)</f>
        <v>#VALUE!</v>
      </c>
      <c r="AK71" s="79" t="e">
        <f>IF(($A71&lt;'Alternative 1'!$B$27),(($H71*'Alternative 1'!$B$39)+(3*($N$32/3)*COS($K$33))),IF(($A71&lt;'Alternative 1'!$B$28),(($H71*'Alternative 1'!$B$39)+(2*(($N$32/3)*COS($K$33)))),IF(($A71&lt;'Alternative 1'!$B$29),(($H$3*'Alternative 1'!$B$39+(($N$32/3)*COS($K$33)))),($H71*'Alternative 1'!$B$39))))</f>
        <v>#VALUE!</v>
      </c>
      <c r="AL71" s="78" t="e">
        <f>AJ71*'Alternative 1'!$K72/'Alternative 1'!$L72</f>
        <v>#VALUE!</v>
      </c>
      <c r="AM71" s="78" t="e">
        <f>AK71/'Alternative 1'!$M72</f>
        <v>#VALUE!</v>
      </c>
      <c r="AN71" s="78" t="e">
        <f t="shared" si="23"/>
        <v>#VALUE!</v>
      </c>
      <c r="AP71" s="78" t="e">
        <f>'Alternative 1'!$B$39*$B71*$C71*COS($K$43)-($N$42/3)*$E71*SIN($K$43)-($N$42/3)*$F71*SIN($K$43)-($N$42/3)*$G71*SIN($K$43)</f>
        <v>#VALUE!</v>
      </c>
      <c r="AQ71" s="79" t="e">
        <f>IF(($A71&lt;'Alternative 1'!$B$27),(($H71*'Alternative 1'!$B$39)+(3*($N$42/3)*COS($K$43))),IF(($A71&lt;'Alternative 1'!$B$28),(($H71*'Alternative 1'!$B$39)+(2*(($N$42/3)*COS($K$43)))),IF(($A71&lt;'Alternative 1'!$B$29),(($H$3*'Alternative 1'!$B$39+(($N$42/3)*COS($K$43)))),($H71*'Alternative 1'!$B$39))))</f>
        <v>#VALUE!</v>
      </c>
      <c r="AR71" s="78" t="e">
        <f>AP71*'Alternative 1'!$K72/'Alternative 1'!$L72</f>
        <v>#VALUE!</v>
      </c>
      <c r="AS71" s="78" t="e">
        <f>AQ71/'Alternative 1'!$M72</f>
        <v>#VALUE!</v>
      </c>
      <c r="AT71" s="78" t="e">
        <f t="shared" si="24"/>
        <v>#VALUE!</v>
      </c>
      <c r="AV71" s="78" t="e">
        <f>'Alternative 1'!$B$39*$B71*$C71*COS($K$53)-($N$52/3)*$E71*SIN($K$53)-($N$52/3)*$F71*SIN($K$53)-($N$52/3)*$G71*SIN($K$53)</f>
        <v>#VALUE!</v>
      </c>
      <c r="AW71" s="79" t="e">
        <f>IF(($A71&lt;'Alternative 1'!$B$27),(($H71*'Alternative 1'!$B$39)+(3*($N$52/3)*COS($K$53))),IF(($A71&lt;'Alternative 1'!$B$28),(($H71*'Alternative 1'!$B$39)+(2*(($N$52/3)*COS($K$53)))),IF(($A71&lt;'Alternative 1'!$B$29),(($H$3*'Alternative 1'!$B$39+(($N$52/3)*COS($K$53)))),($H71*'Alternative 1'!$B$39))))</f>
        <v>#VALUE!</v>
      </c>
      <c r="AX71" s="78" t="e">
        <f>AV71*'Alternative 1'!$K72/'Alternative 1'!$L72</f>
        <v>#VALUE!</v>
      </c>
      <c r="AY71" s="78" t="e">
        <f>AW71/'Alternative 1'!$M72</f>
        <v>#VALUE!</v>
      </c>
      <c r="AZ71" s="78" t="e">
        <f t="shared" si="25"/>
        <v>#VALUE!</v>
      </c>
      <c r="BB71" s="78" t="e">
        <f>'Alternative 1'!$B$39*$B71*$C71*COS($K$63)-($N$62/3)*$E71*SIN($K$63)-($N$62/3)*$F71*SIN($K$63)-($N$62/3)*$G71*SIN($K$63)</f>
        <v>#VALUE!</v>
      </c>
      <c r="BC71" s="79" t="e">
        <f>IF(($A71&lt;'Alternative 1'!$B$27),(($H71*'Alternative 1'!$B$39)+(3*($N$62/3)*COS($K$63))),IF(($A71&lt;'Alternative 1'!$B$28),(($H71*'Alternative 1'!$B$39)+(2*(($N$62/3)*COS($K$63)))),IF(($A71&lt;'Alternative 1'!$B$29),(($H$3*'Alternative 1'!$B$39+(($N$62/3)*COS($K$63)))),($H71*'Alternative 1'!$B$39))))</f>
        <v>#VALUE!</v>
      </c>
      <c r="BD71" s="78" t="e">
        <f>BB71*'Alternative 1'!$K72/'Alternative 1'!$L72</f>
        <v>#VALUE!</v>
      </c>
      <c r="BE71" s="78" t="e">
        <f>BC71/'Alternative 1'!$M72</f>
        <v>#VALUE!</v>
      </c>
      <c r="BF71" s="78" t="e">
        <f t="shared" si="26"/>
        <v>#VALUE!</v>
      </c>
      <c r="BH71" s="78" t="e">
        <f>'Alternative 1'!$B$39*$B71*$C71*COS($K$73)-($N$72/3)*$E71*SIN($K$73)-($N$72/3)*$F71*SIN($K$73)-($N$72/3)*$G71*SIN($K$73)</f>
        <v>#VALUE!</v>
      </c>
      <c r="BI71" s="79" t="e">
        <f>IF(($A71&lt;'Alternative 1'!$B$27),(($H71*'Alternative 1'!$B$39)+(3*($N$72/3)*COS($K$73))),IF(($A71&lt;'Alternative 1'!$B$28),(($H71*'Alternative 1'!$B$39)+(2*(($N$72/3)*COS($K$73)))),IF(($A71&lt;'Alternative 1'!$B$29),(($H$3*'Alternative 1'!$B$39+(($N$72/3)*COS($K$73)))),($H71*'Alternative 1'!$B$39))))</f>
        <v>#VALUE!</v>
      </c>
      <c r="BJ71" s="78" t="e">
        <f>BH71*'Alternative 1'!$K72/'Alternative 1'!$L72</f>
        <v>#VALUE!</v>
      </c>
      <c r="BK71" s="78" t="e">
        <f>BI71/'Alternative 1'!$M72</f>
        <v>#VALUE!</v>
      </c>
      <c r="BL71" s="78" t="e">
        <f t="shared" si="27"/>
        <v>#VALUE!</v>
      </c>
      <c r="BN71" s="78" t="e">
        <f>'Alternative 1'!$B$39*$B71*$C71*COS($K$83)-($N$82/3)*$E71*SIN($K$83)-($N$82/3)*$F71*SIN($K$83)-($N$82/3)*$G71*SIN($K$83)</f>
        <v>#VALUE!</v>
      </c>
      <c r="BO71" s="79" t="e">
        <f>IF(($A71&lt;'Alternative 1'!$B$27),(($H71*'Alternative 1'!$B$39)+(3*($N$82/3)*COS($K$83))),IF(($A71&lt;'Alternative 1'!$B$28),(($H71*'Alternative 1'!$B$39)+(2*(($N$82/3)*COS($K$83)))),IF(($A71&lt;'Alternative 1'!$B$29),(($H$3*'Alternative 1'!$B$39+(($N$82/3)*COS($K$83)))),($H71*'Alternative 1'!$B$39))))</f>
        <v>#VALUE!</v>
      </c>
      <c r="BP71" s="78" t="e">
        <f>BN71*'Alternative 1'!$K72/'Alternative 1'!$L72</f>
        <v>#VALUE!</v>
      </c>
      <c r="BQ71" s="78" t="e">
        <f>BO71/'Alternative 1'!$M72</f>
        <v>#VALUE!</v>
      </c>
      <c r="BR71" s="78" t="e">
        <f t="shared" si="28"/>
        <v>#VALUE!</v>
      </c>
      <c r="BT71" s="78" t="e">
        <f>'Alternative 1'!$B$39*$B71*$C71*COS($K$93)-($K$92/3)*$E71*SIN($K$93)-($K$92/3)*$F71*SIN($K$93)-($K$92/3)*$G71*SIN($K$93)</f>
        <v>#VALUE!</v>
      </c>
      <c r="BU71" s="79" t="e">
        <f>IF(($A71&lt;'Alternative 1'!$B$27),(($H71*'Alternative 1'!$B$39)+(3*($N$92/3)*COS($K$93))),IF(($A71&lt;'Alternative 1'!$B$28),(($H71*'Alternative 1'!$B$39)+(2*(($N$92/3)*COS($K$93)))),IF(($A71&lt;'Alternative 1'!$B$29),(($H$3*'Alternative 1'!$B$39+(($N$92/3)*COS($K$93)))),($H71*'Alternative 1'!$B$39))))</f>
        <v>#VALUE!</v>
      </c>
      <c r="BV71" s="78" t="e">
        <f>BT71*'Alternative 1'!$K72/'Alternative 1'!$L72</f>
        <v>#VALUE!</v>
      </c>
      <c r="BW71" s="78" t="e">
        <f>BU71/'Alternative 1'!$M72</f>
        <v>#VALUE!</v>
      </c>
      <c r="BX71" s="78" t="e">
        <f t="shared" si="29"/>
        <v>#VALUE!</v>
      </c>
      <c r="BZ71" s="151"/>
      <c r="CA71" s="15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</row>
    <row r="72" spans="1:115" ht="15" customHeight="1" x14ac:dyDescent="0.25">
      <c r="A72" s="89" t="str">
        <f>IF('Alternative 1'!F73&gt;0,'Alternative 1'!F73,"x")</f>
        <v>x</v>
      </c>
      <c r="B72" s="89" t="e">
        <f t="shared" si="35"/>
        <v>#VALUE!</v>
      </c>
      <c r="C72" s="89">
        <f t="shared" si="30"/>
        <v>0</v>
      </c>
      <c r="D72" s="89" t="str">
        <f t="shared" si="31"/>
        <v>x</v>
      </c>
      <c r="E72" s="74">
        <f>IF($A72&lt;='Alternative 1'!$B$27, IF($A72='Alternative 1'!$B$27,0,E73+1),0)</f>
        <v>0</v>
      </c>
      <c r="F72" s="74">
        <f>IF($A72&lt;=('Alternative 1'!$B$28), IF($A72=ROUNDDOWN('Alternative 1'!$B$28,0),0,F73+1),0)</f>
        <v>0</v>
      </c>
      <c r="G72" s="74">
        <f>IF($A72&lt;=('Alternative 1'!$B$29), IF($A72=ROUNDDOWN('Alternative 1'!$B$29,0),0,G73+1),0)</f>
        <v>0</v>
      </c>
      <c r="H72" s="89" t="e">
        <f t="shared" si="32"/>
        <v>#VALUE!</v>
      </c>
      <c r="J72" s="77">
        <f t="shared" si="33"/>
        <v>69</v>
      </c>
      <c r="K72" s="77">
        <f t="shared" si="34"/>
        <v>1.2042771838760873</v>
      </c>
      <c r="L72" s="78">
        <f>'Alternative 1'!$B$27*SIN(K72)+'Alternative 1'!$B$28*SIN(K72)+'Alternative 1'!$B$29*SIN(K72)</f>
        <v>63.483469001809716</v>
      </c>
      <c r="M72" s="77">
        <f>(('Alternative 1'!$B$27)*(((('Alternative 1'!$B$28-'Alternative 1'!$B$27)/2)+'Alternative 1'!$B$27)*'Alternative 1'!$B$39)*COS('Alternative 1-Tilt Up'!K72))+(('Alternative 1'!$B$28)*((('Alternative 1'!$B$28-'Alternative 1'!$B$27)/2)+(('Alternative 1'!$B$29-'Alternative 1'!$B$28)/2))*('Alternative 1'!$B$39)*COS('Alternative 1-Tilt Up'!K72))+(('Alternative 1'!$B$29)*((('Alternative 1'!$B$12-'Alternative 1'!$B$29+(('Alternative 1'!$B$29-'Alternative 1'!$B$28)/2)*('Alternative 1'!$B$39)*COS('Alternative 1-Tilt Up'!K72)))))</f>
        <v>1700980.1006326857</v>
      </c>
      <c r="N72" s="82">
        <f t="shared" si="18"/>
        <v>80382.190547157836</v>
      </c>
      <c r="O72" s="77">
        <f>(((('Alternative 1'!$B$28-'Alternative 1'!$B$27)/2)+'Alternative 1'!$B$27)*('Alternative 1'!$B$39)*COS('Alternative 1-Tilt Up'!K72))+(((('Alternative 1'!$B$28-'Alternative 1'!$B$27)/2)+(('Alternative 1'!$B$29-'Alternative 1'!$B$28)/2))*('Alternative 1'!$B$39)*COS('Alternative 1-Tilt Up'!K72))+(((('Alternative 1'!$B$12-'Alternative 1'!$B$29)+(('Alternative 1'!$B$29-'Alternative 1'!$B$28)/2))*('Alternative 1'!$B$39)*COS('Alternative 1-Tilt Up'!K72)))</f>
        <v>109703.56325220421</v>
      </c>
      <c r="P72" s="77">
        <f t="shared" si="19"/>
        <v>28806.40080634458</v>
      </c>
      <c r="R72" s="78" t="e">
        <f>'Alternative 1'!$B$39*$B72*$C72*COS($K$5)-($N$5/3)*$E72*SIN($K$5)-($N$5/3)*$F72*SIN($K$5)-($N$5/3)*$G72*SIN($K$5)</f>
        <v>#VALUE!</v>
      </c>
      <c r="S72" s="79" t="e">
        <f>IF(($A72&lt;'Alternative 1'!$B$27),(($H72*'Alternative 1'!$B$39)+(3*($N$5/3)*COS($K$5))),IF(($A72&lt;'Alternative 1'!$B$28),(($H72*'Alternative 1'!$B$39)+(2*(($N$5/3)*COS($K$5)))),IF(($A72&lt;'Alternative 1'!$B$29),(($H$3*'Alternative 1'!$B$39+(($N$5/3)*COS($K$5)))),($H72*'Alternative 1'!$B$39))))</f>
        <v>#VALUE!</v>
      </c>
      <c r="T72" s="78" t="e">
        <f>R72*'Alternative 1'!$K73/'Alternative 1'!$L73</f>
        <v>#VALUE!</v>
      </c>
      <c r="U72" s="78" t="e">
        <f>S72/'Alternative 1'!$M73</f>
        <v>#VALUE!</v>
      </c>
      <c r="V72" s="78" t="e">
        <f t="shared" si="20"/>
        <v>#VALUE!</v>
      </c>
      <c r="X72" s="78" t="e">
        <f>'Alternative 1'!$B$39*$B72*$C72*COS($K$13)-($N$12/3)*$E72*SIN($K$13)-($N$12/3)*$F72*SIN($K$13)-($N$12/3)*$G72*SIN($K$13)</f>
        <v>#VALUE!</v>
      </c>
      <c r="Y72" s="79" t="e">
        <f>IF(($A72&lt;'Alternative 1'!$B$27),(($H72*'Alternative 1'!$B$39)+(3*($N$12/3)*COS($K$13))),IF(($A72&lt;'Alternative 1'!$B$28),(($H72*'Alternative 1'!$B$39)+(2*(($N$12/3)*COS($K$13)))),IF(($A72&lt;'Alternative 1'!$B$29),(($H$3*'Alternative 1'!$B$39+(($N$12/3)*COS($K$13)))),($H72*'Alternative 1'!$B$39))))</f>
        <v>#VALUE!</v>
      </c>
      <c r="Z72" s="78" t="e">
        <f>X72*'Alternative 1'!$K73/'Alternative 1'!$L73</f>
        <v>#VALUE!</v>
      </c>
      <c r="AA72" s="78" t="e">
        <f>Y72/'Alternative 1'!$M73</f>
        <v>#VALUE!</v>
      </c>
      <c r="AB72" s="78" t="e">
        <f t="shared" si="21"/>
        <v>#VALUE!</v>
      </c>
      <c r="AD72" s="78" t="e">
        <f>'Alternative 1'!$B$39*$B72*$C72*COS($K$23)-($N$22/3)*$E72*SIN($K$23)-($N$22/3)*$F72*SIN($K$23)-($N$22/3)*$G72*SIN($K$23)</f>
        <v>#VALUE!</v>
      </c>
      <c r="AE72" s="79" t="e">
        <f>IF(($A72&lt;'Alternative 1'!$B$27),(($H72*'Alternative 1'!$B$39)+(3*($N$22/3)*COS($K$23))),IF(($A72&lt;'Alternative 1'!$B$28),(($H72*'Alternative 1'!$B$39)+(2*(($N$22/3)*COS($K$23)))),IF(($A72&lt;'Alternative 1'!$B$29),(($H$3*'Alternative 1'!$B$39+(($N$22/3)*COS($K$23)))),($H72*'Alternative 1'!$B$39))))</f>
        <v>#VALUE!</v>
      </c>
      <c r="AF72" s="78" t="e">
        <f>AD72*'Alternative 1'!$K73/'Alternative 1'!$L73</f>
        <v>#VALUE!</v>
      </c>
      <c r="AG72" s="78" t="e">
        <f>AE72/'Alternative 1'!$M73</f>
        <v>#VALUE!</v>
      </c>
      <c r="AH72" s="78" t="e">
        <f t="shared" si="22"/>
        <v>#VALUE!</v>
      </c>
      <c r="AJ72" s="78" t="e">
        <f>'Alternative 1'!$B$39*$B72*$C72*COS($K$33)-($N$32/3)*$E72*SIN($K$33)-($N$32/3)*$F72*SIN($K$33)-($N$32/3)*$G72*SIN($K$33)</f>
        <v>#VALUE!</v>
      </c>
      <c r="AK72" s="79" t="e">
        <f>IF(($A72&lt;'Alternative 1'!$B$27),(($H72*'Alternative 1'!$B$39)+(3*($N$32/3)*COS($K$33))),IF(($A72&lt;'Alternative 1'!$B$28),(($H72*'Alternative 1'!$B$39)+(2*(($N$32/3)*COS($K$33)))),IF(($A72&lt;'Alternative 1'!$B$29),(($H$3*'Alternative 1'!$B$39+(($N$32/3)*COS($K$33)))),($H72*'Alternative 1'!$B$39))))</f>
        <v>#VALUE!</v>
      </c>
      <c r="AL72" s="78" t="e">
        <f>AJ72*'Alternative 1'!$K73/'Alternative 1'!$L73</f>
        <v>#VALUE!</v>
      </c>
      <c r="AM72" s="78" t="e">
        <f>AK72/'Alternative 1'!$M73</f>
        <v>#VALUE!</v>
      </c>
      <c r="AN72" s="78" t="e">
        <f t="shared" si="23"/>
        <v>#VALUE!</v>
      </c>
      <c r="AP72" s="78" t="e">
        <f>'Alternative 1'!$B$39*$B72*$C72*COS($K$43)-($N$42/3)*$E72*SIN($K$43)-($N$42/3)*$F72*SIN($K$43)-($N$42/3)*$G72*SIN($K$43)</f>
        <v>#VALUE!</v>
      </c>
      <c r="AQ72" s="79" t="e">
        <f>IF(($A72&lt;'Alternative 1'!$B$27),(($H72*'Alternative 1'!$B$39)+(3*($N$42/3)*COS($K$43))),IF(($A72&lt;'Alternative 1'!$B$28),(($H72*'Alternative 1'!$B$39)+(2*(($N$42/3)*COS($K$43)))),IF(($A72&lt;'Alternative 1'!$B$29),(($H$3*'Alternative 1'!$B$39+(($N$42/3)*COS($K$43)))),($H72*'Alternative 1'!$B$39))))</f>
        <v>#VALUE!</v>
      </c>
      <c r="AR72" s="78" t="e">
        <f>AP72*'Alternative 1'!$K73/'Alternative 1'!$L73</f>
        <v>#VALUE!</v>
      </c>
      <c r="AS72" s="78" t="e">
        <f>AQ72/'Alternative 1'!$M73</f>
        <v>#VALUE!</v>
      </c>
      <c r="AT72" s="78" t="e">
        <f t="shared" si="24"/>
        <v>#VALUE!</v>
      </c>
      <c r="AV72" s="78" t="e">
        <f>'Alternative 1'!$B$39*$B72*$C72*COS($K$53)-($N$52/3)*$E72*SIN($K$53)-($N$52/3)*$F72*SIN($K$53)-($N$52/3)*$G72*SIN($K$53)</f>
        <v>#VALUE!</v>
      </c>
      <c r="AW72" s="79" t="e">
        <f>IF(($A72&lt;'Alternative 1'!$B$27),(($H72*'Alternative 1'!$B$39)+(3*($N$52/3)*COS($K$53))),IF(($A72&lt;'Alternative 1'!$B$28),(($H72*'Alternative 1'!$B$39)+(2*(($N$52/3)*COS($K$53)))),IF(($A72&lt;'Alternative 1'!$B$29),(($H$3*'Alternative 1'!$B$39+(($N$52/3)*COS($K$53)))),($H72*'Alternative 1'!$B$39))))</f>
        <v>#VALUE!</v>
      </c>
      <c r="AX72" s="78" t="e">
        <f>AV72*'Alternative 1'!$K73/'Alternative 1'!$L73</f>
        <v>#VALUE!</v>
      </c>
      <c r="AY72" s="78" t="e">
        <f>AW72/'Alternative 1'!$M73</f>
        <v>#VALUE!</v>
      </c>
      <c r="AZ72" s="78" t="e">
        <f t="shared" si="25"/>
        <v>#VALUE!</v>
      </c>
      <c r="BB72" s="78" t="e">
        <f>'Alternative 1'!$B$39*$B72*$C72*COS($K$63)-($N$62/3)*$E72*SIN($K$63)-($N$62/3)*$F72*SIN($K$63)-($N$62/3)*$G72*SIN($K$63)</f>
        <v>#VALUE!</v>
      </c>
      <c r="BC72" s="79" t="e">
        <f>IF(($A72&lt;'Alternative 1'!$B$27),(($H72*'Alternative 1'!$B$39)+(3*($N$62/3)*COS($K$63))),IF(($A72&lt;'Alternative 1'!$B$28),(($H72*'Alternative 1'!$B$39)+(2*(($N$62/3)*COS($K$63)))),IF(($A72&lt;'Alternative 1'!$B$29),(($H$3*'Alternative 1'!$B$39+(($N$62/3)*COS($K$63)))),($H72*'Alternative 1'!$B$39))))</f>
        <v>#VALUE!</v>
      </c>
      <c r="BD72" s="78" t="e">
        <f>BB72*'Alternative 1'!$K73/'Alternative 1'!$L73</f>
        <v>#VALUE!</v>
      </c>
      <c r="BE72" s="78" t="e">
        <f>BC72/'Alternative 1'!$M73</f>
        <v>#VALUE!</v>
      </c>
      <c r="BF72" s="78" t="e">
        <f t="shared" si="26"/>
        <v>#VALUE!</v>
      </c>
      <c r="BH72" s="78" t="e">
        <f>'Alternative 1'!$B$39*$B72*$C72*COS($K$73)-($N$72/3)*$E72*SIN($K$73)-($N$72/3)*$F72*SIN($K$73)-($N$72/3)*$G72*SIN($K$73)</f>
        <v>#VALUE!</v>
      </c>
      <c r="BI72" s="79" t="e">
        <f>IF(($A72&lt;'Alternative 1'!$B$27),(($H72*'Alternative 1'!$B$39)+(3*($N$72/3)*COS($K$73))),IF(($A72&lt;'Alternative 1'!$B$28),(($H72*'Alternative 1'!$B$39)+(2*(($N$72/3)*COS($K$73)))),IF(($A72&lt;'Alternative 1'!$B$29),(($H$3*'Alternative 1'!$B$39+(($N$72/3)*COS($K$73)))),($H72*'Alternative 1'!$B$39))))</f>
        <v>#VALUE!</v>
      </c>
      <c r="BJ72" s="78" t="e">
        <f>BH72*'Alternative 1'!$K73/'Alternative 1'!$L73</f>
        <v>#VALUE!</v>
      </c>
      <c r="BK72" s="78" t="e">
        <f>BI72/'Alternative 1'!$M73</f>
        <v>#VALUE!</v>
      </c>
      <c r="BL72" s="78" t="e">
        <f t="shared" si="27"/>
        <v>#VALUE!</v>
      </c>
      <c r="BN72" s="78" t="e">
        <f>'Alternative 1'!$B$39*$B72*$C72*COS($K$83)-($N$82/3)*$E72*SIN($K$83)-($N$82/3)*$F72*SIN($K$83)-($N$82/3)*$G72*SIN($K$83)</f>
        <v>#VALUE!</v>
      </c>
      <c r="BO72" s="79" t="e">
        <f>IF(($A72&lt;'Alternative 1'!$B$27),(($H72*'Alternative 1'!$B$39)+(3*($N$82/3)*COS($K$83))),IF(($A72&lt;'Alternative 1'!$B$28),(($H72*'Alternative 1'!$B$39)+(2*(($N$82/3)*COS($K$83)))),IF(($A72&lt;'Alternative 1'!$B$29),(($H$3*'Alternative 1'!$B$39+(($N$82/3)*COS($K$83)))),($H72*'Alternative 1'!$B$39))))</f>
        <v>#VALUE!</v>
      </c>
      <c r="BP72" s="78" t="e">
        <f>BN72*'Alternative 1'!$K73/'Alternative 1'!$L73</f>
        <v>#VALUE!</v>
      </c>
      <c r="BQ72" s="78" t="e">
        <f>BO72/'Alternative 1'!$M73</f>
        <v>#VALUE!</v>
      </c>
      <c r="BR72" s="78" t="e">
        <f t="shared" si="28"/>
        <v>#VALUE!</v>
      </c>
      <c r="BT72" s="78" t="e">
        <f>'Alternative 1'!$B$39*$B72*$C72*COS($K$93)-($K$92/3)*$E72*SIN($K$93)-($K$92/3)*$F72*SIN($K$93)-($K$92/3)*$G72*SIN($K$93)</f>
        <v>#VALUE!</v>
      </c>
      <c r="BU72" s="79" t="e">
        <f>IF(($A72&lt;'Alternative 1'!$B$27),(($H72*'Alternative 1'!$B$39)+(3*($N$92/3)*COS($K$93))),IF(($A72&lt;'Alternative 1'!$B$28),(($H72*'Alternative 1'!$B$39)+(2*(($N$92/3)*COS($K$93)))),IF(($A72&lt;'Alternative 1'!$B$29),(($H$3*'Alternative 1'!$B$39+(($N$92/3)*COS($K$93)))),($H72*'Alternative 1'!$B$39))))</f>
        <v>#VALUE!</v>
      </c>
      <c r="BV72" s="78" t="e">
        <f>BT72*'Alternative 1'!$K73/'Alternative 1'!$L73</f>
        <v>#VALUE!</v>
      </c>
      <c r="BW72" s="78" t="e">
        <f>BU72/'Alternative 1'!$M73</f>
        <v>#VALUE!</v>
      </c>
      <c r="BX72" s="78" t="e">
        <f t="shared" si="29"/>
        <v>#VALUE!</v>
      </c>
      <c r="BZ72" s="151"/>
      <c r="CA72" s="15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O72" s="281"/>
      <c r="CP72" s="281"/>
      <c r="CQ72" s="281"/>
      <c r="CR72" s="281"/>
      <c r="CS72" s="281"/>
      <c r="CT72" s="281"/>
      <c r="CU72" s="281"/>
      <c r="CV72" s="281"/>
      <c r="CW72" s="281"/>
      <c r="CX72" s="281"/>
      <c r="CY72" s="281"/>
      <c r="CZ72" s="281"/>
      <c r="DA72" s="281"/>
      <c r="DB72" s="281"/>
      <c r="DC72" s="281"/>
      <c r="DD72" s="281"/>
      <c r="DE72" s="281"/>
      <c r="DF72" s="281"/>
      <c r="DG72" s="281"/>
      <c r="DH72" s="281"/>
      <c r="DI72" s="281"/>
      <c r="DJ72" s="281"/>
      <c r="DK72" s="281"/>
    </row>
    <row r="73" spans="1:115" ht="15" customHeight="1" x14ac:dyDescent="0.25">
      <c r="A73" s="89" t="str">
        <f>IF('Alternative 1'!F74&gt;0,'Alternative 1'!F74,"x")</f>
        <v>x</v>
      </c>
      <c r="B73" s="89" t="e">
        <f t="shared" si="35"/>
        <v>#VALUE!</v>
      </c>
      <c r="C73" s="89">
        <f t="shared" si="30"/>
        <v>0</v>
      </c>
      <c r="D73" s="89" t="str">
        <f t="shared" si="31"/>
        <v>x</v>
      </c>
      <c r="E73" s="74">
        <f>IF($A73&lt;='Alternative 1'!$B$27, IF($A73='Alternative 1'!$B$27,0,E74+1),0)</f>
        <v>0</v>
      </c>
      <c r="F73" s="74">
        <f>IF($A73&lt;=('Alternative 1'!$B$28), IF($A73=ROUNDDOWN('Alternative 1'!$B$28,0),0,F74+1),0)</f>
        <v>0</v>
      </c>
      <c r="G73" s="74">
        <f>IF($A73&lt;=('Alternative 1'!$B$29), IF($A73=ROUNDDOWN('Alternative 1'!$B$29,0),0,G74+1),0)</f>
        <v>0</v>
      </c>
      <c r="H73" s="89" t="e">
        <f t="shared" si="32"/>
        <v>#VALUE!</v>
      </c>
      <c r="J73" s="77">
        <f t="shared" si="33"/>
        <v>70</v>
      </c>
      <c r="K73" s="82">
        <f t="shared" si="34"/>
        <v>1.2217304763960306</v>
      </c>
      <c r="L73" s="78">
        <f>'Alternative 1'!$B$27*SIN(K73)+'Alternative 1'!$B$28*SIN(K73)+'Alternative 1'!$B$29*SIN(K73)</f>
        <v>63.899098213441761</v>
      </c>
      <c r="M73" s="77">
        <f>(('Alternative 1'!$B$27)*(((('Alternative 1'!$B$28-'Alternative 1'!$B$27)/2)+'Alternative 1'!$B$27)*'Alternative 1'!$B$39)*COS('Alternative 1-Tilt Up'!K73))+(('Alternative 1'!$B$28)*((('Alternative 1'!$B$28-'Alternative 1'!$B$27)/2)+(('Alternative 1'!$B$29-'Alternative 1'!$B$28)/2))*('Alternative 1'!$B$39)*COS('Alternative 1-Tilt Up'!K73))+(('Alternative 1'!$B$29)*((('Alternative 1'!$B$12-'Alternative 1'!$B$29+(('Alternative 1'!$B$29-'Alternative 1'!$B$28)/2)*('Alternative 1'!$B$39)*COS('Alternative 1-Tilt Up'!K73)))))</f>
        <v>1623394.7725793337</v>
      </c>
      <c r="N73" s="77">
        <f t="shared" si="18"/>
        <v>76216.79262937569</v>
      </c>
      <c r="O73" s="77">
        <f>(((('Alternative 1'!$B$28-'Alternative 1'!$B$27)/2)+'Alternative 1'!$B$27)*('Alternative 1'!$B$39)*COS('Alternative 1-Tilt Up'!K73))+(((('Alternative 1'!$B$28-'Alternative 1'!$B$27)/2)+(('Alternative 1'!$B$29-'Alternative 1'!$B$28)/2))*('Alternative 1'!$B$39)*COS('Alternative 1-Tilt Up'!K73))+(((('Alternative 1'!$B$12-'Alternative 1'!$B$29)+(('Alternative 1'!$B$29-'Alternative 1'!$B$28)/2))*('Alternative 1'!$B$39)*COS('Alternative 1-Tilt Up'!K73)))</f>
        <v>104699.17433872681</v>
      </c>
      <c r="P73" s="82">
        <f t="shared" si="19"/>
        <v>26067.678338921854</v>
      </c>
      <c r="R73" s="78" t="e">
        <f>'Alternative 1'!$B$39*$B73*$C73*COS($K$5)-($N$5/3)*$E73*SIN($K$5)-($N$5/3)*$F73*SIN($K$5)-($N$5/3)*$G73*SIN($K$5)</f>
        <v>#VALUE!</v>
      </c>
      <c r="S73" s="79" t="e">
        <f>IF(($A73&lt;'Alternative 1'!$B$27),(($H73*'Alternative 1'!$B$39)+(3*($N$5/3)*COS($K$5))),IF(($A73&lt;'Alternative 1'!$B$28),(($H73*'Alternative 1'!$B$39)+(2*(($N$5/3)*COS($K$5)))),IF(($A73&lt;'Alternative 1'!$B$29),(($H$3*'Alternative 1'!$B$39+(($N$5/3)*COS($K$5)))),($H73*'Alternative 1'!$B$39))))</f>
        <v>#VALUE!</v>
      </c>
      <c r="T73" s="78" t="e">
        <f>R73*'Alternative 1'!$K74/'Alternative 1'!$L74</f>
        <v>#VALUE!</v>
      </c>
      <c r="U73" s="78" t="e">
        <f>S73/'Alternative 1'!$M74</f>
        <v>#VALUE!</v>
      </c>
      <c r="V73" s="78" t="e">
        <f t="shared" si="20"/>
        <v>#VALUE!</v>
      </c>
      <c r="X73" s="78" t="e">
        <f>'Alternative 1'!$B$39*$B73*$C73*COS($K$13)-($N$12/3)*$E73*SIN($K$13)-($N$12/3)*$F73*SIN($K$13)-($N$12/3)*$G73*SIN($K$13)</f>
        <v>#VALUE!</v>
      </c>
      <c r="Y73" s="79" t="e">
        <f>IF(($A73&lt;'Alternative 1'!$B$27),(($H73*'Alternative 1'!$B$39)+(3*($N$12/3)*COS($K$13))),IF(($A73&lt;'Alternative 1'!$B$28),(($H73*'Alternative 1'!$B$39)+(2*(($N$12/3)*COS($K$13)))),IF(($A73&lt;'Alternative 1'!$B$29),(($H$3*'Alternative 1'!$B$39+(($N$12/3)*COS($K$13)))),($H73*'Alternative 1'!$B$39))))</f>
        <v>#VALUE!</v>
      </c>
      <c r="Z73" s="78" t="e">
        <f>X73*'Alternative 1'!$K74/'Alternative 1'!$L74</f>
        <v>#VALUE!</v>
      </c>
      <c r="AA73" s="78" t="e">
        <f>Y73/'Alternative 1'!$M74</f>
        <v>#VALUE!</v>
      </c>
      <c r="AB73" s="78" t="e">
        <f t="shared" si="21"/>
        <v>#VALUE!</v>
      </c>
      <c r="AD73" s="78" t="e">
        <f>'Alternative 1'!$B$39*$B73*$C73*COS($K$23)-($N$22/3)*$E73*SIN($K$23)-($N$22/3)*$F73*SIN($K$23)-($N$22/3)*$G73*SIN($K$23)</f>
        <v>#VALUE!</v>
      </c>
      <c r="AE73" s="79" t="e">
        <f>IF(($A73&lt;'Alternative 1'!$B$27),(($H73*'Alternative 1'!$B$39)+(3*($N$22/3)*COS($K$23))),IF(($A73&lt;'Alternative 1'!$B$28),(($H73*'Alternative 1'!$B$39)+(2*(($N$22/3)*COS($K$23)))),IF(($A73&lt;'Alternative 1'!$B$29),(($H$3*'Alternative 1'!$B$39+(($N$22/3)*COS($K$23)))),($H73*'Alternative 1'!$B$39))))</f>
        <v>#VALUE!</v>
      </c>
      <c r="AF73" s="78" t="e">
        <f>AD73*'Alternative 1'!$K74/'Alternative 1'!$L74</f>
        <v>#VALUE!</v>
      </c>
      <c r="AG73" s="78" t="e">
        <f>AE73/'Alternative 1'!$M74</f>
        <v>#VALUE!</v>
      </c>
      <c r="AH73" s="78" t="e">
        <f t="shared" si="22"/>
        <v>#VALUE!</v>
      </c>
      <c r="AJ73" s="78" t="e">
        <f>'Alternative 1'!$B$39*$B73*$C73*COS($K$33)-($N$32/3)*$E73*SIN($K$33)-($N$32/3)*$F73*SIN($K$33)-($N$32/3)*$G73*SIN($K$33)</f>
        <v>#VALUE!</v>
      </c>
      <c r="AK73" s="79" t="e">
        <f>IF(($A73&lt;'Alternative 1'!$B$27),(($H73*'Alternative 1'!$B$39)+(3*($N$32/3)*COS($K$33))),IF(($A73&lt;'Alternative 1'!$B$28),(($H73*'Alternative 1'!$B$39)+(2*(($N$32/3)*COS($K$33)))),IF(($A73&lt;'Alternative 1'!$B$29),(($H$3*'Alternative 1'!$B$39+(($N$32/3)*COS($K$33)))),($H73*'Alternative 1'!$B$39))))</f>
        <v>#VALUE!</v>
      </c>
      <c r="AL73" s="78" t="e">
        <f>AJ73*'Alternative 1'!$K74/'Alternative 1'!$L74</f>
        <v>#VALUE!</v>
      </c>
      <c r="AM73" s="78" t="e">
        <f>AK73/'Alternative 1'!$M74</f>
        <v>#VALUE!</v>
      </c>
      <c r="AN73" s="78" t="e">
        <f t="shared" si="23"/>
        <v>#VALUE!</v>
      </c>
      <c r="AP73" s="78" t="e">
        <f>'Alternative 1'!$B$39*$B73*$C73*COS($K$43)-($N$42/3)*$E73*SIN($K$43)-($N$42/3)*$F73*SIN($K$43)-($N$42/3)*$G73*SIN($K$43)</f>
        <v>#VALUE!</v>
      </c>
      <c r="AQ73" s="79" t="e">
        <f>IF(($A73&lt;'Alternative 1'!$B$27),(($H73*'Alternative 1'!$B$39)+(3*($N$42/3)*COS($K$43))),IF(($A73&lt;'Alternative 1'!$B$28),(($H73*'Alternative 1'!$B$39)+(2*(($N$42/3)*COS($K$43)))),IF(($A73&lt;'Alternative 1'!$B$29),(($H$3*'Alternative 1'!$B$39+(($N$42/3)*COS($K$43)))),($H73*'Alternative 1'!$B$39))))</f>
        <v>#VALUE!</v>
      </c>
      <c r="AR73" s="78" t="e">
        <f>AP73*'Alternative 1'!$K74/'Alternative 1'!$L74</f>
        <v>#VALUE!</v>
      </c>
      <c r="AS73" s="78" t="e">
        <f>AQ73/'Alternative 1'!$M74</f>
        <v>#VALUE!</v>
      </c>
      <c r="AT73" s="78" t="e">
        <f t="shared" si="24"/>
        <v>#VALUE!</v>
      </c>
      <c r="AV73" s="78" t="e">
        <f>'Alternative 1'!$B$39*$B73*$C73*COS($K$53)-($N$52/3)*$E73*SIN($K$53)-($N$52/3)*$F73*SIN($K$53)-($N$52/3)*$G73*SIN($K$53)</f>
        <v>#VALUE!</v>
      </c>
      <c r="AW73" s="79" t="e">
        <f>IF(($A73&lt;'Alternative 1'!$B$27),(($H73*'Alternative 1'!$B$39)+(3*($N$52/3)*COS($K$53))),IF(($A73&lt;'Alternative 1'!$B$28),(($H73*'Alternative 1'!$B$39)+(2*(($N$52/3)*COS($K$53)))),IF(($A73&lt;'Alternative 1'!$B$29),(($H$3*'Alternative 1'!$B$39+(($N$52/3)*COS($K$53)))),($H73*'Alternative 1'!$B$39))))</f>
        <v>#VALUE!</v>
      </c>
      <c r="AX73" s="78" t="e">
        <f>AV73*'Alternative 1'!$K74/'Alternative 1'!$L74</f>
        <v>#VALUE!</v>
      </c>
      <c r="AY73" s="78" t="e">
        <f>AW73/'Alternative 1'!$M74</f>
        <v>#VALUE!</v>
      </c>
      <c r="AZ73" s="78" t="e">
        <f t="shared" si="25"/>
        <v>#VALUE!</v>
      </c>
      <c r="BB73" s="78" t="e">
        <f>'Alternative 1'!$B$39*$B73*$C73*COS($K$63)-($N$62/3)*$E73*SIN($K$63)-($N$62/3)*$F73*SIN($K$63)-($N$62/3)*$G73*SIN($K$63)</f>
        <v>#VALUE!</v>
      </c>
      <c r="BC73" s="79" t="e">
        <f>IF(($A73&lt;'Alternative 1'!$B$27),(($H73*'Alternative 1'!$B$39)+(3*($N$62/3)*COS($K$63))),IF(($A73&lt;'Alternative 1'!$B$28),(($H73*'Alternative 1'!$B$39)+(2*(($N$62/3)*COS($K$63)))),IF(($A73&lt;'Alternative 1'!$B$29),(($H$3*'Alternative 1'!$B$39+(($N$62/3)*COS($K$63)))),($H73*'Alternative 1'!$B$39))))</f>
        <v>#VALUE!</v>
      </c>
      <c r="BD73" s="78" t="e">
        <f>BB73*'Alternative 1'!$K74/'Alternative 1'!$L74</f>
        <v>#VALUE!</v>
      </c>
      <c r="BE73" s="78" t="e">
        <f>BC73/'Alternative 1'!$M74</f>
        <v>#VALUE!</v>
      </c>
      <c r="BF73" s="78" t="e">
        <f t="shared" si="26"/>
        <v>#VALUE!</v>
      </c>
      <c r="BH73" s="78" t="e">
        <f>'Alternative 1'!$B$39*$B73*$C73*COS($K$73)-($N$72/3)*$E73*SIN($K$73)-($N$72/3)*$F73*SIN($K$73)-($N$72/3)*$G73*SIN($K$73)</f>
        <v>#VALUE!</v>
      </c>
      <c r="BI73" s="79" t="e">
        <f>IF(($A73&lt;'Alternative 1'!$B$27),(($H73*'Alternative 1'!$B$39)+(3*($N$72/3)*COS($K$73))),IF(($A73&lt;'Alternative 1'!$B$28),(($H73*'Alternative 1'!$B$39)+(2*(($N$72/3)*COS($K$73)))),IF(($A73&lt;'Alternative 1'!$B$29),(($H$3*'Alternative 1'!$B$39+(($N$72/3)*COS($K$73)))),($H73*'Alternative 1'!$B$39))))</f>
        <v>#VALUE!</v>
      </c>
      <c r="BJ73" s="78" t="e">
        <f>BH73*'Alternative 1'!$K74/'Alternative 1'!$L74</f>
        <v>#VALUE!</v>
      </c>
      <c r="BK73" s="78" t="e">
        <f>BI73/'Alternative 1'!$M74</f>
        <v>#VALUE!</v>
      </c>
      <c r="BL73" s="78" t="e">
        <f t="shared" si="27"/>
        <v>#VALUE!</v>
      </c>
      <c r="BN73" s="78" t="e">
        <f>'Alternative 1'!$B$39*$B73*$C73*COS($K$83)-($N$82/3)*$E73*SIN($K$83)-($N$82/3)*$F73*SIN($K$83)-($N$82/3)*$G73*SIN($K$83)</f>
        <v>#VALUE!</v>
      </c>
      <c r="BO73" s="79" t="e">
        <f>IF(($A73&lt;'Alternative 1'!$B$27),(($H73*'Alternative 1'!$B$39)+(3*($N$82/3)*COS($K$83))),IF(($A73&lt;'Alternative 1'!$B$28),(($H73*'Alternative 1'!$B$39)+(2*(($N$82/3)*COS($K$83)))),IF(($A73&lt;'Alternative 1'!$B$29),(($H$3*'Alternative 1'!$B$39+(($N$82/3)*COS($K$83)))),($H73*'Alternative 1'!$B$39))))</f>
        <v>#VALUE!</v>
      </c>
      <c r="BP73" s="78" t="e">
        <f>BN73*'Alternative 1'!$K74/'Alternative 1'!$L74</f>
        <v>#VALUE!</v>
      </c>
      <c r="BQ73" s="78" t="e">
        <f>BO73/'Alternative 1'!$M74</f>
        <v>#VALUE!</v>
      </c>
      <c r="BR73" s="78" t="e">
        <f t="shared" si="28"/>
        <v>#VALUE!</v>
      </c>
      <c r="BT73" s="78" t="e">
        <f>'Alternative 1'!$B$39*$B73*$C73*COS($K$93)-($K$92/3)*$E73*SIN($K$93)-($K$92/3)*$F73*SIN($K$93)-($K$92/3)*$G73*SIN($K$93)</f>
        <v>#VALUE!</v>
      </c>
      <c r="BU73" s="79" t="e">
        <f>IF(($A73&lt;'Alternative 1'!$B$27),(($H73*'Alternative 1'!$B$39)+(3*($N$92/3)*COS($K$93))),IF(($A73&lt;'Alternative 1'!$B$28),(($H73*'Alternative 1'!$B$39)+(2*(($N$92/3)*COS($K$93)))),IF(($A73&lt;'Alternative 1'!$B$29),(($H$3*'Alternative 1'!$B$39+(($N$92/3)*COS($K$93)))),($H73*'Alternative 1'!$B$39))))</f>
        <v>#VALUE!</v>
      </c>
      <c r="BV73" s="78" t="e">
        <f>BT73*'Alternative 1'!$K74/'Alternative 1'!$L74</f>
        <v>#VALUE!</v>
      </c>
      <c r="BW73" s="78" t="e">
        <f>BU73/'Alternative 1'!$M74</f>
        <v>#VALUE!</v>
      </c>
      <c r="BX73" s="78" t="e">
        <f t="shared" si="29"/>
        <v>#VALUE!</v>
      </c>
      <c r="BZ73" s="151"/>
      <c r="CA73" s="15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1"/>
      <c r="DA73" s="281"/>
      <c r="DB73" s="281"/>
      <c r="DC73" s="281"/>
      <c r="DD73" s="281"/>
      <c r="DE73" s="281"/>
      <c r="DF73" s="281"/>
      <c r="DG73" s="281"/>
      <c r="DH73" s="281"/>
      <c r="DI73" s="281"/>
      <c r="DJ73" s="281"/>
      <c r="DK73" s="281"/>
    </row>
    <row r="74" spans="1:115" ht="15" customHeight="1" x14ac:dyDescent="0.25">
      <c r="A74" s="89" t="str">
        <f>IF('Alternative 1'!F75&gt;0,'Alternative 1'!F75,"x")</f>
        <v>x</v>
      </c>
      <c r="B74" s="89" t="e">
        <f t="shared" si="35"/>
        <v>#VALUE!</v>
      </c>
      <c r="C74" s="89">
        <f t="shared" si="30"/>
        <v>0</v>
      </c>
      <c r="D74" s="89" t="str">
        <f t="shared" si="31"/>
        <v>x</v>
      </c>
      <c r="E74" s="74">
        <f>IF($A74&lt;='Alternative 1'!$B$27, IF($A74='Alternative 1'!$B$27,0,E75+1),0)</f>
        <v>0</v>
      </c>
      <c r="F74" s="74">
        <f>IF($A74&lt;=('Alternative 1'!$B$28), IF($A74=ROUNDDOWN('Alternative 1'!$B$28,0),0,F75+1),0)</f>
        <v>0</v>
      </c>
      <c r="G74" s="74">
        <f>IF($A74&lt;=('Alternative 1'!$B$29), IF($A74=ROUNDDOWN('Alternative 1'!$B$29,0),0,G75+1),0)</f>
        <v>0</v>
      </c>
      <c r="H74" s="89" t="e">
        <f t="shared" si="32"/>
        <v>#VALUE!</v>
      </c>
      <c r="J74" s="77">
        <f t="shared" si="33"/>
        <v>71</v>
      </c>
      <c r="K74" s="77">
        <f t="shared" si="34"/>
        <v>1.2391837689159739</v>
      </c>
      <c r="L74" s="78">
        <f>'Alternative 1'!$B$27*SIN(K74)+'Alternative 1'!$B$28*SIN(K74)+'Alternative 1'!$B$29*SIN(K74)</f>
        <v>64.295263140753534</v>
      </c>
      <c r="M74" s="77">
        <f>(('Alternative 1'!$B$27)*(((('Alternative 1'!$B$28-'Alternative 1'!$B$27)/2)+'Alternative 1'!$B$27)*'Alternative 1'!$B$39)*COS('Alternative 1-Tilt Up'!K74))+(('Alternative 1'!$B$28)*((('Alternative 1'!$B$28-'Alternative 1'!$B$27)/2)+(('Alternative 1'!$B$29-'Alternative 1'!$B$28)/2))*('Alternative 1'!$B$39)*COS('Alternative 1-Tilt Up'!K74))+(('Alternative 1'!$B$29)*((('Alternative 1'!$B$12-'Alternative 1'!$B$29+(('Alternative 1'!$B$29-'Alternative 1'!$B$28)/2)*('Alternative 1'!$B$39)*COS('Alternative 1-Tilt Up'!K74)))))</f>
        <v>1545315.0023432039</v>
      </c>
      <c r="N74" s="77">
        <f t="shared" si="18"/>
        <v>72103.98994527357</v>
      </c>
      <c r="O74" s="77">
        <f>(((('Alternative 1'!$B$28-'Alternative 1'!$B$27)/2)+'Alternative 1'!$B$27)*('Alternative 1'!$B$39)*COS('Alternative 1-Tilt Up'!K74))+(((('Alternative 1'!$B$28-'Alternative 1'!$B$27)/2)+(('Alternative 1'!$B$29-'Alternative 1'!$B$28)/2))*('Alternative 1'!$B$39)*COS('Alternative 1-Tilt Up'!K74))+(((('Alternative 1'!$B$12-'Alternative 1'!$B$29)+(('Alternative 1'!$B$29-'Alternative 1'!$B$28)/2))*('Alternative 1'!$B$39)*COS('Alternative 1-Tilt Up'!K74)))</f>
        <v>99662.893042502154</v>
      </c>
      <c r="P74" s="77">
        <f t="shared" si="19"/>
        <v>23474.762935480103</v>
      </c>
      <c r="R74" s="78" t="e">
        <f>'Alternative 1'!$B$39*$B74*$C74*COS($K$5)-($N$5/3)*$E74*SIN($K$5)-($N$5/3)*$F74*SIN($K$5)-($N$5/3)*$G74*SIN($K$5)</f>
        <v>#VALUE!</v>
      </c>
      <c r="S74" s="79" t="e">
        <f>IF(($A74&lt;'Alternative 1'!$B$27),(($H74*'Alternative 1'!$B$39)+(3*($N$5/3)*COS($K$5))),IF(($A74&lt;'Alternative 1'!$B$28),(($H74*'Alternative 1'!$B$39)+(2*(($N$5/3)*COS($K$5)))),IF(($A74&lt;'Alternative 1'!$B$29),(($H$3*'Alternative 1'!$B$39+(($N$5/3)*COS($K$5)))),($H74*'Alternative 1'!$B$39))))</f>
        <v>#VALUE!</v>
      </c>
      <c r="T74" s="78" t="e">
        <f>R74*'Alternative 1'!$K75/'Alternative 1'!$L75</f>
        <v>#VALUE!</v>
      </c>
      <c r="U74" s="78" t="e">
        <f>S74/'Alternative 1'!$M75</f>
        <v>#VALUE!</v>
      </c>
      <c r="V74" s="78" t="e">
        <f t="shared" si="20"/>
        <v>#VALUE!</v>
      </c>
      <c r="X74" s="78" t="e">
        <f>'Alternative 1'!$B$39*$B74*$C74*COS($K$13)-($N$12/3)*$E74*SIN($K$13)-($N$12/3)*$F74*SIN($K$13)-($N$12/3)*$G74*SIN($K$13)</f>
        <v>#VALUE!</v>
      </c>
      <c r="Y74" s="79" t="e">
        <f>IF(($A74&lt;'Alternative 1'!$B$27),(($H74*'Alternative 1'!$B$39)+(3*($N$12/3)*COS($K$13))),IF(($A74&lt;'Alternative 1'!$B$28),(($H74*'Alternative 1'!$B$39)+(2*(($N$12/3)*COS($K$13)))),IF(($A74&lt;'Alternative 1'!$B$29),(($H$3*'Alternative 1'!$B$39+(($N$12/3)*COS($K$13)))),($H74*'Alternative 1'!$B$39))))</f>
        <v>#VALUE!</v>
      </c>
      <c r="Z74" s="78" t="e">
        <f>X74*'Alternative 1'!$K75/'Alternative 1'!$L75</f>
        <v>#VALUE!</v>
      </c>
      <c r="AA74" s="78" t="e">
        <f>Y74/'Alternative 1'!$M75</f>
        <v>#VALUE!</v>
      </c>
      <c r="AB74" s="78" t="e">
        <f t="shared" si="21"/>
        <v>#VALUE!</v>
      </c>
      <c r="AD74" s="78" t="e">
        <f>'Alternative 1'!$B$39*$B74*$C74*COS($K$23)-($N$22/3)*$E74*SIN($K$23)-($N$22/3)*$F74*SIN($K$23)-($N$22/3)*$G74*SIN($K$23)</f>
        <v>#VALUE!</v>
      </c>
      <c r="AE74" s="79" t="e">
        <f>IF(($A74&lt;'Alternative 1'!$B$27),(($H74*'Alternative 1'!$B$39)+(3*($N$22/3)*COS($K$23))),IF(($A74&lt;'Alternative 1'!$B$28),(($H74*'Alternative 1'!$B$39)+(2*(($N$22/3)*COS($K$23)))),IF(($A74&lt;'Alternative 1'!$B$29),(($H$3*'Alternative 1'!$B$39+(($N$22/3)*COS($K$23)))),($H74*'Alternative 1'!$B$39))))</f>
        <v>#VALUE!</v>
      </c>
      <c r="AF74" s="78" t="e">
        <f>AD74*'Alternative 1'!$K75/'Alternative 1'!$L75</f>
        <v>#VALUE!</v>
      </c>
      <c r="AG74" s="78" t="e">
        <f>AE74/'Alternative 1'!$M75</f>
        <v>#VALUE!</v>
      </c>
      <c r="AH74" s="78" t="e">
        <f t="shared" si="22"/>
        <v>#VALUE!</v>
      </c>
      <c r="AJ74" s="78" t="e">
        <f>'Alternative 1'!$B$39*$B74*$C74*COS($K$33)-($N$32/3)*$E74*SIN($K$33)-($N$32/3)*$F74*SIN($K$33)-($N$32/3)*$G74*SIN($K$33)</f>
        <v>#VALUE!</v>
      </c>
      <c r="AK74" s="79" t="e">
        <f>IF(($A74&lt;'Alternative 1'!$B$27),(($H74*'Alternative 1'!$B$39)+(3*($N$32/3)*COS($K$33))),IF(($A74&lt;'Alternative 1'!$B$28),(($H74*'Alternative 1'!$B$39)+(2*(($N$32/3)*COS($K$33)))),IF(($A74&lt;'Alternative 1'!$B$29),(($H$3*'Alternative 1'!$B$39+(($N$32/3)*COS($K$33)))),($H74*'Alternative 1'!$B$39))))</f>
        <v>#VALUE!</v>
      </c>
      <c r="AL74" s="78" t="e">
        <f>AJ74*'Alternative 1'!$K75/'Alternative 1'!$L75</f>
        <v>#VALUE!</v>
      </c>
      <c r="AM74" s="78" t="e">
        <f>AK74/'Alternative 1'!$M75</f>
        <v>#VALUE!</v>
      </c>
      <c r="AN74" s="78" t="e">
        <f t="shared" si="23"/>
        <v>#VALUE!</v>
      </c>
      <c r="AP74" s="78" t="e">
        <f>'Alternative 1'!$B$39*$B74*$C74*COS($K$43)-($N$42/3)*$E74*SIN($K$43)-($N$42/3)*$F74*SIN($K$43)-($N$42/3)*$G74*SIN($K$43)</f>
        <v>#VALUE!</v>
      </c>
      <c r="AQ74" s="79" t="e">
        <f>IF(($A74&lt;'Alternative 1'!$B$27),(($H74*'Alternative 1'!$B$39)+(3*($N$42/3)*COS($K$43))),IF(($A74&lt;'Alternative 1'!$B$28),(($H74*'Alternative 1'!$B$39)+(2*(($N$42/3)*COS($K$43)))),IF(($A74&lt;'Alternative 1'!$B$29),(($H$3*'Alternative 1'!$B$39+(($N$42/3)*COS($K$43)))),($H74*'Alternative 1'!$B$39))))</f>
        <v>#VALUE!</v>
      </c>
      <c r="AR74" s="78" t="e">
        <f>AP74*'Alternative 1'!$K75/'Alternative 1'!$L75</f>
        <v>#VALUE!</v>
      </c>
      <c r="AS74" s="78" t="e">
        <f>AQ74/'Alternative 1'!$M75</f>
        <v>#VALUE!</v>
      </c>
      <c r="AT74" s="78" t="e">
        <f t="shared" si="24"/>
        <v>#VALUE!</v>
      </c>
      <c r="AV74" s="78" t="e">
        <f>'Alternative 1'!$B$39*$B74*$C74*COS($K$53)-($N$52/3)*$E74*SIN($K$53)-($N$52/3)*$F74*SIN($K$53)-($N$52/3)*$G74*SIN($K$53)</f>
        <v>#VALUE!</v>
      </c>
      <c r="AW74" s="79" t="e">
        <f>IF(($A74&lt;'Alternative 1'!$B$27),(($H74*'Alternative 1'!$B$39)+(3*($N$52/3)*COS($K$53))),IF(($A74&lt;'Alternative 1'!$B$28),(($H74*'Alternative 1'!$B$39)+(2*(($N$52/3)*COS($K$53)))),IF(($A74&lt;'Alternative 1'!$B$29),(($H$3*'Alternative 1'!$B$39+(($N$52/3)*COS($K$53)))),($H74*'Alternative 1'!$B$39))))</f>
        <v>#VALUE!</v>
      </c>
      <c r="AX74" s="78" t="e">
        <f>AV74*'Alternative 1'!$K75/'Alternative 1'!$L75</f>
        <v>#VALUE!</v>
      </c>
      <c r="AY74" s="78" t="e">
        <f>AW74/'Alternative 1'!$M75</f>
        <v>#VALUE!</v>
      </c>
      <c r="AZ74" s="78" t="e">
        <f t="shared" si="25"/>
        <v>#VALUE!</v>
      </c>
      <c r="BB74" s="78" t="e">
        <f>'Alternative 1'!$B$39*$B74*$C74*COS($K$63)-($N$62/3)*$E74*SIN($K$63)-($N$62/3)*$F74*SIN($K$63)-($N$62/3)*$G74*SIN($K$63)</f>
        <v>#VALUE!</v>
      </c>
      <c r="BC74" s="79" t="e">
        <f>IF(($A74&lt;'Alternative 1'!$B$27),(($H74*'Alternative 1'!$B$39)+(3*($N$62/3)*COS($K$63))),IF(($A74&lt;'Alternative 1'!$B$28),(($H74*'Alternative 1'!$B$39)+(2*(($N$62/3)*COS($K$63)))),IF(($A74&lt;'Alternative 1'!$B$29),(($H$3*'Alternative 1'!$B$39+(($N$62/3)*COS($K$63)))),($H74*'Alternative 1'!$B$39))))</f>
        <v>#VALUE!</v>
      </c>
      <c r="BD74" s="78" t="e">
        <f>BB74*'Alternative 1'!$K75/'Alternative 1'!$L75</f>
        <v>#VALUE!</v>
      </c>
      <c r="BE74" s="78" t="e">
        <f>BC74/'Alternative 1'!$M75</f>
        <v>#VALUE!</v>
      </c>
      <c r="BF74" s="78" t="e">
        <f t="shared" si="26"/>
        <v>#VALUE!</v>
      </c>
      <c r="BH74" s="78" t="e">
        <f>'Alternative 1'!$B$39*$B74*$C74*COS($K$73)-($N$72/3)*$E74*SIN($K$73)-($N$72/3)*$F74*SIN($K$73)-($N$72/3)*$G74*SIN($K$73)</f>
        <v>#VALUE!</v>
      </c>
      <c r="BI74" s="79" t="e">
        <f>IF(($A74&lt;'Alternative 1'!$B$27),(($H74*'Alternative 1'!$B$39)+(3*($N$72/3)*COS($K$73))),IF(($A74&lt;'Alternative 1'!$B$28),(($H74*'Alternative 1'!$B$39)+(2*(($N$72/3)*COS($K$73)))),IF(($A74&lt;'Alternative 1'!$B$29),(($H$3*'Alternative 1'!$B$39+(($N$72/3)*COS($K$73)))),($H74*'Alternative 1'!$B$39))))</f>
        <v>#VALUE!</v>
      </c>
      <c r="BJ74" s="78" t="e">
        <f>BH74*'Alternative 1'!$K75/'Alternative 1'!$L75</f>
        <v>#VALUE!</v>
      </c>
      <c r="BK74" s="78" t="e">
        <f>BI74/'Alternative 1'!$M75</f>
        <v>#VALUE!</v>
      </c>
      <c r="BL74" s="78" t="e">
        <f t="shared" si="27"/>
        <v>#VALUE!</v>
      </c>
      <c r="BN74" s="78" t="e">
        <f>'Alternative 1'!$B$39*$B74*$C74*COS($K$83)-($N$82/3)*$E74*SIN($K$83)-($N$82/3)*$F74*SIN($K$83)-($N$82/3)*$G74*SIN($K$83)</f>
        <v>#VALUE!</v>
      </c>
      <c r="BO74" s="79" t="e">
        <f>IF(($A74&lt;'Alternative 1'!$B$27),(($H74*'Alternative 1'!$B$39)+(3*($N$82/3)*COS($K$83))),IF(($A74&lt;'Alternative 1'!$B$28),(($H74*'Alternative 1'!$B$39)+(2*(($N$82/3)*COS($K$83)))),IF(($A74&lt;'Alternative 1'!$B$29),(($H$3*'Alternative 1'!$B$39+(($N$82/3)*COS($K$83)))),($H74*'Alternative 1'!$B$39))))</f>
        <v>#VALUE!</v>
      </c>
      <c r="BP74" s="78" t="e">
        <f>BN74*'Alternative 1'!$K75/'Alternative 1'!$L75</f>
        <v>#VALUE!</v>
      </c>
      <c r="BQ74" s="78" t="e">
        <f>BO74/'Alternative 1'!$M75</f>
        <v>#VALUE!</v>
      </c>
      <c r="BR74" s="78" t="e">
        <f t="shared" si="28"/>
        <v>#VALUE!</v>
      </c>
      <c r="BT74" s="78" t="e">
        <f>'Alternative 1'!$B$39*$B74*$C74*COS($K$93)-($K$92/3)*$E74*SIN($K$93)-($K$92/3)*$F74*SIN($K$93)-($K$92/3)*$G74*SIN($K$93)</f>
        <v>#VALUE!</v>
      </c>
      <c r="BU74" s="79" t="e">
        <f>IF(($A74&lt;'Alternative 1'!$B$27),(($H74*'Alternative 1'!$B$39)+(3*($N$92/3)*COS($K$93))),IF(($A74&lt;'Alternative 1'!$B$28),(($H74*'Alternative 1'!$B$39)+(2*(($N$92/3)*COS($K$93)))),IF(($A74&lt;'Alternative 1'!$B$29),(($H$3*'Alternative 1'!$B$39+(($N$92/3)*COS($K$93)))),($H74*'Alternative 1'!$B$39))))</f>
        <v>#VALUE!</v>
      </c>
      <c r="BV74" s="78" t="e">
        <f>BT74*'Alternative 1'!$K75/'Alternative 1'!$L75</f>
        <v>#VALUE!</v>
      </c>
      <c r="BW74" s="78" t="e">
        <f>BU74/'Alternative 1'!$M75</f>
        <v>#VALUE!</v>
      </c>
      <c r="BX74" s="78" t="e">
        <f t="shared" si="29"/>
        <v>#VALUE!</v>
      </c>
      <c r="BZ74" s="151"/>
      <c r="CA74" s="15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1"/>
      <c r="DA74" s="281"/>
      <c r="DB74" s="281"/>
      <c r="DC74" s="281"/>
      <c r="DD74" s="281"/>
      <c r="DE74" s="281"/>
      <c r="DF74" s="281"/>
      <c r="DG74" s="281"/>
      <c r="DH74" s="281"/>
      <c r="DI74" s="281"/>
      <c r="DJ74" s="281"/>
      <c r="DK74" s="281"/>
    </row>
    <row r="75" spans="1:115" ht="15" customHeight="1" x14ac:dyDescent="0.25">
      <c r="A75" s="89" t="str">
        <f>IF('Alternative 1'!F76&gt;0,'Alternative 1'!F76,"x")</f>
        <v>x</v>
      </c>
      <c r="B75" s="89" t="e">
        <f t="shared" si="35"/>
        <v>#VALUE!</v>
      </c>
      <c r="C75" s="89">
        <f t="shared" si="30"/>
        <v>0</v>
      </c>
      <c r="D75" s="89" t="str">
        <f t="shared" si="31"/>
        <v>x</v>
      </c>
      <c r="E75" s="74">
        <f>IF($A75&lt;='Alternative 1'!$B$27, IF($A75='Alternative 1'!$B$27,0,E76+1),0)</f>
        <v>0</v>
      </c>
      <c r="F75" s="74">
        <f>IF($A75&lt;=('Alternative 1'!$B$28), IF($A75=ROUNDDOWN('Alternative 1'!$B$28,0),0,F76+1),0)</f>
        <v>0</v>
      </c>
      <c r="G75" s="74">
        <f>IF($A75&lt;=('Alternative 1'!$B$29), IF($A75=ROUNDDOWN('Alternative 1'!$B$29,0),0,G76+1),0)</f>
        <v>0</v>
      </c>
      <c r="H75" s="89" t="e">
        <f t="shared" si="32"/>
        <v>#VALUE!</v>
      </c>
      <c r="J75" s="77">
        <f t="shared" si="33"/>
        <v>72</v>
      </c>
      <c r="K75" s="77">
        <f t="shared" si="34"/>
        <v>1.2566370614359172</v>
      </c>
      <c r="L75" s="78">
        <f>'Alternative 1'!$B$27*SIN(K75)+'Alternative 1'!$B$28*SIN(K75)+'Alternative 1'!$B$29*SIN(K75)</f>
        <v>64.671843108070448</v>
      </c>
      <c r="M75" s="77">
        <f>(('Alternative 1'!$B$27)*(((('Alternative 1'!$B$28-'Alternative 1'!$B$27)/2)+'Alternative 1'!$B$27)*'Alternative 1'!$B$39)*COS('Alternative 1-Tilt Up'!K75))+(('Alternative 1'!$B$28)*((('Alternative 1'!$B$28-'Alternative 1'!$B$27)/2)+(('Alternative 1'!$B$29-'Alternative 1'!$B$28)/2))*('Alternative 1'!$B$39)*COS('Alternative 1-Tilt Up'!K75))+(('Alternative 1'!$B$29)*((('Alternative 1'!$B$12-'Alternative 1'!$B$29+(('Alternative 1'!$B$29-'Alternative 1'!$B$28)/2)*('Alternative 1'!$B$39)*COS('Alternative 1-Tilt Up'!K75)))))</f>
        <v>1466764.5737786861</v>
      </c>
      <c r="N75" s="77">
        <f t="shared" si="18"/>
        <v>68040.332699083723</v>
      </c>
      <c r="O75" s="77">
        <f>(((('Alternative 1'!$B$28-'Alternative 1'!$B$27)/2)+'Alternative 1'!$B$27)*('Alternative 1'!$B$39)*COS('Alternative 1-Tilt Up'!K75))+(((('Alternative 1'!$B$28-'Alternative 1'!$B$27)/2)+(('Alternative 1'!$B$29-'Alternative 1'!$B$28)/2))*('Alternative 1'!$B$39)*COS('Alternative 1-Tilt Up'!K75))+(((('Alternative 1'!$B$12-'Alternative 1'!$B$29)+(('Alternative 1'!$B$29-'Alternative 1'!$B$28)/2))*('Alternative 1'!$B$39)*COS('Alternative 1-Tilt Up'!K75)))</f>
        <v>94596.253463600631</v>
      </c>
      <c r="P75" s="77">
        <f t="shared" si="19"/>
        <v>21025.619106942308</v>
      </c>
      <c r="R75" s="78" t="e">
        <f>'Alternative 1'!$B$39*$B75*$C75*COS($K$5)-($N$5/3)*$E75*SIN($K$5)-($N$5/3)*$F75*SIN($K$5)-($N$5/3)*$G75*SIN($K$5)</f>
        <v>#VALUE!</v>
      </c>
      <c r="S75" s="79" t="e">
        <f>IF(($A75&lt;'Alternative 1'!$B$27),(($H75*'Alternative 1'!$B$39)+(3*($N$5/3)*COS($K$5))),IF(($A75&lt;'Alternative 1'!$B$28),(($H75*'Alternative 1'!$B$39)+(2*(($N$5/3)*COS($K$5)))),IF(($A75&lt;'Alternative 1'!$B$29),(($H$3*'Alternative 1'!$B$39+(($N$5/3)*COS($K$5)))),($H75*'Alternative 1'!$B$39))))</f>
        <v>#VALUE!</v>
      </c>
      <c r="T75" s="78" t="e">
        <f>R75*'Alternative 1'!$K76/'Alternative 1'!$L76</f>
        <v>#VALUE!</v>
      </c>
      <c r="U75" s="78" t="e">
        <f>S75/'Alternative 1'!$M76</f>
        <v>#VALUE!</v>
      </c>
      <c r="V75" s="78" t="e">
        <f t="shared" si="20"/>
        <v>#VALUE!</v>
      </c>
      <c r="X75" s="78" t="e">
        <f>'Alternative 1'!$B$39*$B75*$C75*COS($K$13)-($N$12/3)*$E75*SIN($K$13)-($N$12/3)*$F75*SIN($K$13)-($N$12/3)*$G75*SIN($K$13)</f>
        <v>#VALUE!</v>
      </c>
      <c r="Y75" s="79" t="e">
        <f>IF(($A75&lt;'Alternative 1'!$B$27),(($H75*'Alternative 1'!$B$39)+(3*($N$12/3)*COS($K$13))),IF(($A75&lt;'Alternative 1'!$B$28),(($H75*'Alternative 1'!$B$39)+(2*(($N$12/3)*COS($K$13)))),IF(($A75&lt;'Alternative 1'!$B$29),(($H$3*'Alternative 1'!$B$39+(($N$12/3)*COS($K$13)))),($H75*'Alternative 1'!$B$39))))</f>
        <v>#VALUE!</v>
      </c>
      <c r="Z75" s="78" t="e">
        <f>X75*'Alternative 1'!$K76/'Alternative 1'!$L76</f>
        <v>#VALUE!</v>
      </c>
      <c r="AA75" s="78" t="e">
        <f>Y75/'Alternative 1'!$M76</f>
        <v>#VALUE!</v>
      </c>
      <c r="AB75" s="78" t="e">
        <f t="shared" si="21"/>
        <v>#VALUE!</v>
      </c>
      <c r="AD75" s="78" t="e">
        <f>'Alternative 1'!$B$39*$B75*$C75*COS($K$23)-($N$22/3)*$E75*SIN($K$23)-($N$22/3)*$F75*SIN($K$23)-($N$22/3)*$G75*SIN($K$23)</f>
        <v>#VALUE!</v>
      </c>
      <c r="AE75" s="79" t="e">
        <f>IF(($A75&lt;'Alternative 1'!$B$27),(($H75*'Alternative 1'!$B$39)+(3*($N$22/3)*COS($K$23))),IF(($A75&lt;'Alternative 1'!$B$28),(($H75*'Alternative 1'!$B$39)+(2*(($N$22/3)*COS($K$23)))),IF(($A75&lt;'Alternative 1'!$B$29),(($H$3*'Alternative 1'!$B$39+(($N$22/3)*COS($K$23)))),($H75*'Alternative 1'!$B$39))))</f>
        <v>#VALUE!</v>
      </c>
      <c r="AF75" s="78" t="e">
        <f>AD75*'Alternative 1'!$K76/'Alternative 1'!$L76</f>
        <v>#VALUE!</v>
      </c>
      <c r="AG75" s="78" t="e">
        <f>AE75/'Alternative 1'!$M76</f>
        <v>#VALUE!</v>
      </c>
      <c r="AH75" s="78" t="e">
        <f t="shared" si="22"/>
        <v>#VALUE!</v>
      </c>
      <c r="AJ75" s="78" t="e">
        <f>'Alternative 1'!$B$39*$B75*$C75*COS($K$33)-($N$32/3)*$E75*SIN($K$33)-($N$32/3)*$F75*SIN($K$33)-($N$32/3)*$G75*SIN($K$33)</f>
        <v>#VALUE!</v>
      </c>
      <c r="AK75" s="79" t="e">
        <f>IF(($A75&lt;'Alternative 1'!$B$27),(($H75*'Alternative 1'!$B$39)+(3*($N$32/3)*COS($K$33))),IF(($A75&lt;'Alternative 1'!$B$28),(($H75*'Alternative 1'!$B$39)+(2*(($N$32/3)*COS($K$33)))),IF(($A75&lt;'Alternative 1'!$B$29),(($H$3*'Alternative 1'!$B$39+(($N$32/3)*COS($K$33)))),($H75*'Alternative 1'!$B$39))))</f>
        <v>#VALUE!</v>
      </c>
      <c r="AL75" s="78" t="e">
        <f>AJ75*'Alternative 1'!$K76/'Alternative 1'!$L76</f>
        <v>#VALUE!</v>
      </c>
      <c r="AM75" s="78" t="e">
        <f>AK75/'Alternative 1'!$M76</f>
        <v>#VALUE!</v>
      </c>
      <c r="AN75" s="78" t="e">
        <f t="shared" si="23"/>
        <v>#VALUE!</v>
      </c>
      <c r="AP75" s="78" t="e">
        <f>'Alternative 1'!$B$39*$B75*$C75*COS($K$43)-($N$42/3)*$E75*SIN($K$43)-($N$42/3)*$F75*SIN($K$43)-($N$42/3)*$G75*SIN($K$43)</f>
        <v>#VALUE!</v>
      </c>
      <c r="AQ75" s="79" t="e">
        <f>IF(($A75&lt;'Alternative 1'!$B$27),(($H75*'Alternative 1'!$B$39)+(3*($N$42/3)*COS($K$43))),IF(($A75&lt;'Alternative 1'!$B$28),(($H75*'Alternative 1'!$B$39)+(2*(($N$42/3)*COS($K$43)))),IF(($A75&lt;'Alternative 1'!$B$29),(($H$3*'Alternative 1'!$B$39+(($N$42/3)*COS($K$43)))),($H75*'Alternative 1'!$B$39))))</f>
        <v>#VALUE!</v>
      </c>
      <c r="AR75" s="78" t="e">
        <f>AP75*'Alternative 1'!$K76/'Alternative 1'!$L76</f>
        <v>#VALUE!</v>
      </c>
      <c r="AS75" s="78" t="e">
        <f>AQ75/'Alternative 1'!$M76</f>
        <v>#VALUE!</v>
      </c>
      <c r="AT75" s="78" t="e">
        <f t="shared" si="24"/>
        <v>#VALUE!</v>
      </c>
      <c r="AV75" s="78" t="e">
        <f>'Alternative 1'!$B$39*$B75*$C75*COS($K$53)-($N$52/3)*$E75*SIN($K$53)-($N$52/3)*$F75*SIN($K$53)-($N$52/3)*$G75*SIN($K$53)</f>
        <v>#VALUE!</v>
      </c>
      <c r="AW75" s="79" t="e">
        <f>IF(($A75&lt;'Alternative 1'!$B$27),(($H75*'Alternative 1'!$B$39)+(3*($N$52/3)*COS($K$53))),IF(($A75&lt;'Alternative 1'!$B$28),(($H75*'Alternative 1'!$B$39)+(2*(($N$52/3)*COS($K$53)))),IF(($A75&lt;'Alternative 1'!$B$29),(($H$3*'Alternative 1'!$B$39+(($N$52/3)*COS($K$53)))),($H75*'Alternative 1'!$B$39))))</f>
        <v>#VALUE!</v>
      </c>
      <c r="AX75" s="78" t="e">
        <f>AV75*'Alternative 1'!$K76/'Alternative 1'!$L76</f>
        <v>#VALUE!</v>
      </c>
      <c r="AY75" s="78" t="e">
        <f>AW75/'Alternative 1'!$M76</f>
        <v>#VALUE!</v>
      </c>
      <c r="AZ75" s="78" t="e">
        <f t="shared" si="25"/>
        <v>#VALUE!</v>
      </c>
      <c r="BB75" s="78" t="e">
        <f>'Alternative 1'!$B$39*$B75*$C75*COS($K$63)-($N$62/3)*$E75*SIN($K$63)-($N$62/3)*$F75*SIN($K$63)-($N$62/3)*$G75*SIN($K$63)</f>
        <v>#VALUE!</v>
      </c>
      <c r="BC75" s="79" t="e">
        <f>IF(($A75&lt;'Alternative 1'!$B$27),(($H75*'Alternative 1'!$B$39)+(3*($N$62/3)*COS($K$63))),IF(($A75&lt;'Alternative 1'!$B$28),(($H75*'Alternative 1'!$B$39)+(2*(($N$62/3)*COS($K$63)))),IF(($A75&lt;'Alternative 1'!$B$29),(($H$3*'Alternative 1'!$B$39+(($N$62/3)*COS($K$63)))),($H75*'Alternative 1'!$B$39))))</f>
        <v>#VALUE!</v>
      </c>
      <c r="BD75" s="78" t="e">
        <f>BB75*'Alternative 1'!$K76/'Alternative 1'!$L76</f>
        <v>#VALUE!</v>
      </c>
      <c r="BE75" s="78" t="e">
        <f>BC75/'Alternative 1'!$M76</f>
        <v>#VALUE!</v>
      </c>
      <c r="BF75" s="78" t="e">
        <f t="shared" si="26"/>
        <v>#VALUE!</v>
      </c>
      <c r="BH75" s="78" t="e">
        <f>'Alternative 1'!$B$39*$B75*$C75*COS($K$73)-($N$72/3)*$E75*SIN($K$73)-($N$72/3)*$F75*SIN($K$73)-($N$72/3)*$G75*SIN($K$73)</f>
        <v>#VALUE!</v>
      </c>
      <c r="BI75" s="79" t="e">
        <f>IF(($A75&lt;'Alternative 1'!$B$27),(($H75*'Alternative 1'!$B$39)+(3*($N$72/3)*COS($K$73))),IF(($A75&lt;'Alternative 1'!$B$28),(($H75*'Alternative 1'!$B$39)+(2*(($N$72/3)*COS($K$73)))),IF(($A75&lt;'Alternative 1'!$B$29),(($H$3*'Alternative 1'!$B$39+(($N$72/3)*COS($K$73)))),($H75*'Alternative 1'!$B$39))))</f>
        <v>#VALUE!</v>
      </c>
      <c r="BJ75" s="78" t="e">
        <f>BH75*'Alternative 1'!$K76/'Alternative 1'!$L76</f>
        <v>#VALUE!</v>
      </c>
      <c r="BK75" s="78" t="e">
        <f>BI75/'Alternative 1'!$M76</f>
        <v>#VALUE!</v>
      </c>
      <c r="BL75" s="78" t="e">
        <f t="shared" si="27"/>
        <v>#VALUE!</v>
      </c>
      <c r="BN75" s="78" t="e">
        <f>'Alternative 1'!$B$39*$B75*$C75*COS($K$83)-($N$82/3)*$E75*SIN($K$83)-($N$82/3)*$F75*SIN($K$83)-($N$82/3)*$G75*SIN($K$83)</f>
        <v>#VALUE!</v>
      </c>
      <c r="BO75" s="79" t="e">
        <f>IF(($A75&lt;'Alternative 1'!$B$27),(($H75*'Alternative 1'!$B$39)+(3*($N$82/3)*COS($K$83))),IF(($A75&lt;'Alternative 1'!$B$28),(($H75*'Alternative 1'!$B$39)+(2*(($N$82/3)*COS($K$83)))),IF(($A75&lt;'Alternative 1'!$B$29),(($H$3*'Alternative 1'!$B$39+(($N$82/3)*COS($K$83)))),($H75*'Alternative 1'!$B$39))))</f>
        <v>#VALUE!</v>
      </c>
      <c r="BP75" s="78" t="e">
        <f>BN75*'Alternative 1'!$K76/'Alternative 1'!$L76</f>
        <v>#VALUE!</v>
      </c>
      <c r="BQ75" s="78" t="e">
        <f>BO75/'Alternative 1'!$M76</f>
        <v>#VALUE!</v>
      </c>
      <c r="BR75" s="78" t="e">
        <f t="shared" si="28"/>
        <v>#VALUE!</v>
      </c>
      <c r="BT75" s="78" t="e">
        <f>'Alternative 1'!$B$39*$B75*$C75*COS($K$93)-($K$92/3)*$E75*SIN($K$93)-($K$92/3)*$F75*SIN($K$93)-($K$92/3)*$G75*SIN($K$93)</f>
        <v>#VALUE!</v>
      </c>
      <c r="BU75" s="79" t="e">
        <f>IF(($A75&lt;'Alternative 1'!$B$27),(($H75*'Alternative 1'!$B$39)+(3*($N$92/3)*COS($K$93))),IF(($A75&lt;'Alternative 1'!$B$28),(($H75*'Alternative 1'!$B$39)+(2*(($N$92/3)*COS($K$93)))),IF(($A75&lt;'Alternative 1'!$B$29),(($H$3*'Alternative 1'!$B$39+(($N$92/3)*COS($K$93)))),($H75*'Alternative 1'!$B$39))))</f>
        <v>#VALUE!</v>
      </c>
      <c r="BV75" s="78" t="e">
        <f>BT75*'Alternative 1'!$K76/'Alternative 1'!$L76</f>
        <v>#VALUE!</v>
      </c>
      <c r="BW75" s="78" t="e">
        <f>BU75/'Alternative 1'!$M76</f>
        <v>#VALUE!</v>
      </c>
      <c r="BX75" s="78" t="e">
        <f t="shared" si="29"/>
        <v>#VALUE!</v>
      </c>
      <c r="BZ75" s="151"/>
      <c r="CA75" s="15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</row>
    <row r="76" spans="1:115" ht="15" customHeight="1" x14ac:dyDescent="0.25">
      <c r="A76" s="89" t="str">
        <f>IF('Alternative 1'!F77&gt;0,'Alternative 1'!F77,"x")</f>
        <v>x</v>
      </c>
      <c r="B76" s="89" t="e">
        <f t="shared" si="35"/>
        <v>#VALUE!</v>
      </c>
      <c r="C76" s="89">
        <f t="shared" si="30"/>
        <v>0</v>
      </c>
      <c r="D76" s="89" t="str">
        <f t="shared" si="31"/>
        <v>x</v>
      </c>
      <c r="E76" s="74">
        <f>IF($A76&lt;='Alternative 1'!$B$27, IF($A76='Alternative 1'!$B$27,0,E77+1),0)</f>
        <v>0</v>
      </c>
      <c r="F76" s="74">
        <f>IF($A76&lt;=('Alternative 1'!$B$28), IF($A76=ROUNDDOWN('Alternative 1'!$B$28,0),0,F77+1),0)</f>
        <v>0</v>
      </c>
      <c r="G76" s="74">
        <f>IF($A76&lt;=('Alternative 1'!$B$29), IF($A76=ROUNDDOWN('Alternative 1'!$B$29,0),0,G77+1),0)</f>
        <v>0</v>
      </c>
      <c r="H76" s="89" t="e">
        <f t="shared" si="32"/>
        <v>#VALUE!</v>
      </c>
      <c r="J76" s="77">
        <f t="shared" si="33"/>
        <v>73</v>
      </c>
      <c r="K76" s="77">
        <f t="shared" si="34"/>
        <v>1.2740903539558606</v>
      </c>
      <c r="L76" s="78">
        <f>'Alternative 1'!$B$27*SIN(K76)+'Alternative 1'!$B$28*SIN(K76)+'Alternative 1'!$B$29*SIN(K76)</f>
        <v>65.028723405486417</v>
      </c>
      <c r="M76" s="77">
        <f>(('Alternative 1'!$B$27)*(((('Alternative 1'!$B$28-'Alternative 1'!$B$27)/2)+'Alternative 1'!$B$27)*'Alternative 1'!$B$39)*COS('Alternative 1-Tilt Up'!K76))+(('Alternative 1'!$B$28)*((('Alternative 1'!$B$28-'Alternative 1'!$B$27)/2)+(('Alternative 1'!$B$29-'Alternative 1'!$B$28)/2))*('Alternative 1'!$B$39)*COS('Alternative 1-Tilt Up'!K76))+(('Alternative 1'!$B$29)*((('Alternative 1'!$B$12-'Alternative 1'!$B$29+(('Alternative 1'!$B$29-'Alternative 1'!$B$28)/2)*('Alternative 1'!$B$39)*COS('Alternative 1-Tilt Up'!K76)))))</f>
        <v>1387767.4141072561</v>
      </c>
      <c r="N76" s="77">
        <f t="shared" si="18"/>
        <v>64022.512272946049</v>
      </c>
      <c r="O76" s="77">
        <f>(((('Alternative 1'!$B$28-'Alternative 1'!$B$27)/2)+'Alternative 1'!$B$27)*('Alternative 1'!$B$39)*COS('Alternative 1-Tilt Up'!K76))+(((('Alternative 1'!$B$28-'Alternative 1'!$B$27)/2)+(('Alternative 1'!$B$29-'Alternative 1'!$B$28)/2))*('Alternative 1'!$B$39)*COS('Alternative 1-Tilt Up'!K76))+(((('Alternative 1'!$B$12-'Alternative 1'!$B$29)+(('Alternative 1'!$B$29-'Alternative 1'!$B$28)/2))*('Alternative 1'!$B$39)*COS('Alternative 1-Tilt Up'!K76)))</f>
        <v>89500.798949519623</v>
      </c>
      <c r="P76" s="77">
        <f t="shared" si="19"/>
        <v>18718.371053873572</v>
      </c>
      <c r="R76" s="78" t="e">
        <f>'Alternative 1'!$B$39*$B76*$C76*COS($K$5)-($N$5/3)*$E76*SIN($K$5)-($N$5/3)*$F76*SIN($K$5)-($N$5/3)*$G76*SIN($K$5)</f>
        <v>#VALUE!</v>
      </c>
      <c r="S76" s="79" t="e">
        <f>IF(($A76&lt;'Alternative 1'!$B$27),(($H76*'Alternative 1'!$B$39)+(3*($N$5/3)*COS($K$5))),IF(($A76&lt;'Alternative 1'!$B$28),(($H76*'Alternative 1'!$B$39)+(2*(($N$5/3)*COS($K$5)))),IF(($A76&lt;'Alternative 1'!$B$29),(($H$3*'Alternative 1'!$B$39+(($N$5/3)*COS($K$5)))),($H76*'Alternative 1'!$B$39))))</f>
        <v>#VALUE!</v>
      </c>
      <c r="T76" s="78" t="e">
        <f>R76*'Alternative 1'!$K77/'Alternative 1'!$L77</f>
        <v>#VALUE!</v>
      </c>
      <c r="U76" s="78" t="e">
        <f>S76/'Alternative 1'!$M77</f>
        <v>#VALUE!</v>
      </c>
      <c r="V76" s="78" t="e">
        <f t="shared" si="20"/>
        <v>#VALUE!</v>
      </c>
      <c r="X76" s="78" t="e">
        <f>'Alternative 1'!$B$39*$B76*$C76*COS($K$13)-($N$12/3)*$E76*SIN($K$13)-($N$12/3)*$F76*SIN($K$13)-($N$12/3)*$G76*SIN($K$13)</f>
        <v>#VALUE!</v>
      </c>
      <c r="Y76" s="79" t="e">
        <f>IF(($A76&lt;'Alternative 1'!$B$27),(($H76*'Alternative 1'!$B$39)+(3*($N$12/3)*COS($K$13))),IF(($A76&lt;'Alternative 1'!$B$28),(($H76*'Alternative 1'!$B$39)+(2*(($N$12/3)*COS($K$13)))),IF(($A76&lt;'Alternative 1'!$B$29),(($H$3*'Alternative 1'!$B$39+(($N$12/3)*COS($K$13)))),($H76*'Alternative 1'!$B$39))))</f>
        <v>#VALUE!</v>
      </c>
      <c r="Z76" s="78" t="e">
        <f>X76*'Alternative 1'!$K77/'Alternative 1'!$L77</f>
        <v>#VALUE!</v>
      </c>
      <c r="AA76" s="78" t="e">
        <f>Y76/'Alternative 1'!$M77</f>
        <v>#VALUE!</v>
      </c>
      <c r="AB76" s="78" t="e">
        <f t="shared" si="21"/>
        <v>#VALUE!</v>
      </c>
      <c r="AD76" s="78" t="e">
        <f>'Alternative 1'!$B$39*$B76*$C76*COS($K$23)-($N$22/3)*$E76*SIN($K$23)-($N$22/3)*$F76*SIN($K$23)-($N$22/3)*$G76*SIN($K$23)</f>
        <v>#VALUE!</v>
      </c>
      <c r="AE76" s="79" t="e">
        <f>IF(($A76&lt;'Alternative 1'!$B$27),(($H76*'Alternative 1'!$B$39)+(3*($N$22/3)*COS($K$23))),IF(($A76&lt;'Alternative 1'!$B$28),(($H76*'Alternative 1'!$B$39)+(2*(($N$22/3)*COS($K$23)))),IF(($A76&lt;'Alternative 1'!$B$29),(($H$3*'Alternative 1'!$B$39+(($N$22/3)*COS($K$23)))),($H76*'Alternative 1'!$B$39))))</f>
        <v>#VALUE!</v>
      </c>
      <c r="AF76" s="78" t="e">
        <f>AD76*'Alternative 1'!$K77/'Alternative 1'!$L77</f>
        <v>#VALUE!</v>
      </c>
      <c r="AG76" s="78" t="e">
        <f>AE76/'Alternative 1'!$M77</f>
        <v>#VALUE!</v>
      </c>
      <c r="AH76" s="78" t="e">
        <f t="shared" si="22"/>
        <v>#VALUE!</v>
      </c>
      <c r="AJ76" s="78" t="e">
        <f>'Alternative 1'!$B$39*$B76*$C76*COS($K$33)-($N$32/3)*$E76*SIN($K$33)-($N$32/3)*$F76*SIN($K$33)-($N$32/3)*$G76*SIN($K$33)</f>
        <v>#VALUE!</v>
      </c>
      <c r="AK76" s="79" t="e">
        <f>IF(($A76&lt;'Alternative 1'!$B$27),(($H76*'Alternative 1'!$B$39)+(3*($N$32/3)*COS($K$33))),IF(($A76&lt;'Alternative 1'!$B$28),(($H76*'Alternative 1'!$B$39)+(2*(($N$32/3)*COS($K$33)))),IF(($A76&lt;'Alternative 1'!$B$29),(($H$3*'Alternative 1'!$B$39+(($N$32/3)*COS($K$33)))),($H76*'Alternative 1'!$B$39))))</f>
        <v>#VALUE!</v>
      </c>
      <c r="AL76" s="78" t="e">
        <f>AJ76*'Alternative 1'!$K77/'Alternative 1'!$L77</f>
        <v>#VALUE!</v>
      </c>
      <c r="AM76" s="78" t="e">
        <f>AK76/'Alternative 1'!$M77</f>
        <v>#VALUE!</v>
      </c>
      <c r="AN76" s="78" t="e">
        <f t="shared" si="23"/>
        <v>#VALUE!</v>
      </c>
      <c r="AP76" s="78" t="e">
        <f>'Alternative 1'!$B$39*$B76*$C76*COS($K$43)-($N$42/3)*$E76*SIN($K$43)-($N$42/3)*$F76*SIN($K$43)-($N$42/3)*$G76*SIN($K$43)</f>
        <v>#VALUE!</v>
      </c>
      <c r="AQ76" s="79" t="e">
        <f>IF(($A76&lt;'Alternative 1'!$B$27),(($H76*'Alternative 1'!$B$39)+(3*($N$42/3)*COS($K$43))),IF(($A76&lt;'Alternative 1'!$B$28),(($H76*'Alternative 1'!$B$39)+(2*(($N$42/3)*COS($K$43)))),IF(($A76&lt;'Alternative 1'!$B$29),(($H$3*'Alternative 1'!$B$39+(($N$42/3)*COS($K$43)))),($H76*'Alternative 1'!$B$39))))</f>
        <v>#VALUE!</v>
      </c>
      <c r="AR76" s="78" t="e">
        <f>AP76*'Alternative 1'!$K77/'Alternative 1'!$L77</f>
        <v>#VALUE!</v>
      </c>
      <c r="AS76" s="78" t="e">
        <f>AQ76/'Alternative 1'!$M77</f>
        <v>#VALUE!</v>
      </c>
      <c r="AT76" s="78" t="e">
        <f t="shared" si="24"/>
        <v>#VALUE!</v>
      </c>
      <c r="AV76" s="78" t="e">
        <f>'Alternative 1'!$B$39*$B76*$C76*COS($K$53)-($N$52/3)*$E76*SIN($K$53)-($N$52/3)*$F76*SIN($K$53)-($N$52/3)*$G76*SIN($K$53)</f>
        <v>#VALUE!</v>
      </c>
      <c r="AW76" s="79" t="e">
        <f>IF(($A76&lt;'Alternative 1'!$B$27),(($H76*'Alternative 1'!$B$39)+(3*($N$52/3)*COS($K$53))),IF(($A76&lt;'Alternative 1'!$B$28),(($H76*'Alternative 1'!$B$39)+(2*(($N$52/3)*COS($K$53)))),IF(($A76&lt;'Alternative 1'!$B$29),(($H$3*'Alternative 1'!$B$39+(($N$52/3)*COS($K$53)))),($H76*'Alternative 1'!$B$39))))</f>
        <v>#VALUE!</v>
      </c>
      <c r="AX76" s="78" t="e">
        <f>AV76*'Alternative 1'!$K77/'Alternative 1'!$L77</f>
        <v>#VALUE!</v>
      </c>
      <c r="AY76" s="78" t="e">
        <f>AW76/'Alternative 1'!$M77</f>
        <v>#VALUE!</v>
      </c>
      <c r="AZ76" s="78" t="e">
        <f t="shared" si="25"/>
        <v>#VALUE!</v>
      </c>
      <c r="BB76" s="78" t="e">
        <f>'Alternative 1'!$B$39*$B76*$C76*COS($K$63)-($N$62/3)*$E76*SIN($K$63)-($N$62/3)*$F76*SIN($K$63)-($N$62/3)*$G76*SIN($K$63)</f>
        <v>#VALUE!</v>
      </c>
      <c r="BC76" s="79" t="e">
        <f>IF(($A76&lt;'Alternative 1'!$B$27),(($H76*'Alternative 1'!$B$39)+(3*($N$62/3)*COS($K$63))),IF(($A76&lt;'Alternative 1'!$B$28),(($H76*'Alternative 1'!$B$39)+(2*(($N$62/3)*COS($K$63)))),IF(($A76&lt;'Alternative 1'!$B$29),(($H$3*'Alternative 1'!$B$39+(($N$62/3)*COS($K$63)))),($H76*'Alternative 1'!$B$39))))</f>
        <v>#VALUE!</v>
      </c>
      <c r="BD76" s="78" t="e">
        <f>BB76*'Alternative 1'!$K77/'Alternative 1'!$L77</f>
        <v>#VALUE!</v>
      </c>
      <c r="BE76" s="78" t="e">
        <f>BC76/'Alternative 1'!$M77</f>
        <v>#VALUE!</v>
      </c>
      <c r="BF76" s="78" t="e">
        <f t="shared" si="26"/>
        <v>#VALUE!</v>
      </c>
      <c r="BH76" s="78" t="e">
        <f>'Alternative 1'!$B$39*$B76*$C76*COS($K$73)-($N$72/3)*$E76*SIN($K$73)-($N$72/3)*$F76*SIN($K$73)-($N$72/3)*$G76*SIN($K$73)</f>
        <v>#VALUE!</v>
      </c>
      <c r="BI76" s="79" t="e">
        <f>IF(($A76&lt;'Alternative 1'!$B$27),(($H76*'Alternative 1'!$B$39)+(3*($N$72/3)*COS($K$73))),IF(($A76&lt;'Alternative 1'!$B$28),(($H76*'Alternative 1'!$B$39)+(2*(($N$72/3)*COS($K$73)))),IF(($A76&lt;'Alternative 1'!$B$29),(($H$3*'Alternative 1'!$B$39+(($N$72/3)*COS($K$73)))),($H76*'Alternative 1'!$B$39))))</f>
        <v>#VALUE!</v>
      </c>
      <c r="BJ76" s="78" t="e">
        <f>BH76*'Alternative 1'!$K77/'Alternative 1'!$L77</f>
        <v>#VALUE!</v>
      </c>
      <c r="BK76" s="78" t="e">
        <f>BI76/'Alternative 1'!$M77</f>
        <v>#VALUE!</v>
      </c>
      <c r="BL76" s="78" t="e">
        <f t="shared" si="27"/>
        <v>#VALUE!</v>
      </c>
      <c r="BN76" s="78" t="e">
        <f>'Alternative 1'!$B$39*$B76*$C76*COS($K$83)-($N$82/3)*$E76*SIN($K$83)-($N$82/3)*$F76*SIN($K$83)-($N$82/3)*$G76*SIN($K$83)</f>
        <v>#VALUE!</v>
      </c>
      <c r="BO76" s="79" t="e">
        <f>IF(($A76&lt;'Alternative 1'!$B$27),(($H76*'Alternative 1'!$B$39)+(3*($N$82/3)*COS($K$83))),IF(($A76&lt;'Alternative 1'!$B$28),(($H76*'Alternative 1'!$B$39)+(2*(($N$82/3)*COS($K$83)))),IF(($A76&lt;'Alternative 1'!$B$29),(($H$3*'Alternative 1'!$B$39+(($N$82/3)*COS($K$83)))),($H76*'Alternative 1'!$B$39))))</f>
        <v>#VALUE!</v>
      </c>
      <c r="BP76" s="78" t="e">
        <f>BN76*'Alternative 1'!$K77/'Alternative 1'!$L77</f>
        <v>#VALUE!</v>
      </c>
      <c r="BQ76" s="78" t="e">
        <f>BO76/'Alternative 1'!$M77</f>
        <v>#VALUE!</v>
      </c>
      <c r="BR76" s="78" t="e">
        <f t="shared" si="28"/>
        <v>#VALUE!</v>
      </c>
      <c r="BT76" s="78" t="e">
        <f>'Alternative 1'!$B$39*$B76*$C76*COS($K$93)-($K$92/3)*$E76*SIN($K$93)-($K$92/3)*$F76*SIN($K$93)-($K$92/3)*$G76*SIN($K$93)</f>
        <v>#VALUE!</v>
      </c>
      <c r="BU76" s="79" t="e">
        <f>IF(($A76&lt;'Alternative 1'!$B$27),(($H76*'Alternative 1'!$B$39)+(3*($N$92/3)*COS($K$93))),IF(($A76&lt;'Alternative 1'!$B$28),(($H76*'Alternative 1'!$B$39)+(2*(($N$92/3)*COS($K$93)))),IF(($A76&lt;'Alternative 1'!$B$29),(($H$3*'Alternative 1'!$B$39+(($N$92/3)*COS($K$93)))),($H76*'Alternative 1'!$B$39))))</f>
        <v>#VALUE!</v>
      </c>
      <c r="BV76" s="78" t="e">
        <f>BT76*'Alternative 1'!$K77/'Alternative 1'!$L77</f>
        <v>#VALUE!</v>
      </c>
      <c r="BW76" s="78" t="e">
        <f>BU76/'Alternative 1'!$M77</f>
        <v>#VALUE!</v>
      </c>
      <c r="BX76" s="78" t="e">
        <f t="shared" si="29"/>
        <v>#VALUE!</v>
      </c>
      <c r="BZ76" s="151"/>
      <c r="CA76" s="15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  <c r="DC76" s="281"/>
      <c r="DD76" s="281"/>
      <c r="DE76" s="281"/>
      <c r="DF76" s="281"/>
      <c r="DG76" s="281"/>
      <c r="DH76" s="281"/>
      <c r="DI76" s="281"/>
      <c r="DJ76" s="281"/>
      <c r="DK76" s="281"/>
    </row>
    <row r="77" spans="1:115" ht="15" customHeight="1" x14ac:dyDescent="0.25">
      <c r="A77" s="89" t="str">
        <f>IF('Alternative 1'!F78&gt;0,'Alternative 1'!F78,"x")</f>
        <v>x</v>
      </c>
      <c r="B77" s="89" t="e">
        <f t="shared" si="35"/>
        <v>#VALUE!</v>
      </c>
      <c r="C77" s="89">
        <f t="shared" si="30"/>
        <v>0</v>
      </c>
      <c r="D77" s="89" t="str">
        <f t="shared" si="31"/>
        <v>x</v>
      </c>
      <c r="E77" s="74">
        <f>IF($A77&lt;='Alternative 1'!$B$27, IF($A77='Alternative 1'!$B$27,0,E78+1),0)</f>
        <v>0</v>
      </c>
      <c r="F77" s="74">
        <f>IF($A77&lt;=('Alternative 1'!$B$28), IF($A77=ROUNDDOWN('Alternative 1'!$B$28,0),0,F78+1),0)</f>
        <v>0</v>
      </c>
      <c r="G77" s="74">
        <f>IF($A77&lt;=('Alternative 1'!$B$29), IF($A77=ROUNDDOWN('Alternative 1'!$B$29,0),0,G78+1),0)</f>
        <v>0</v>
      </c>
      <c r="H77" s="89" t="e">
        <f t="shared" si="32"/>
        <v>#VALUE!</v>
      </c>
      <c r="J77" s="77">
        <f t="shared" si="33"/>
        <v>74</v>
      </c>
      <c r="K77" s="77">
        <f t="shared" si="34"/>
        <v>1.2915436464758039</v>
      </c>
      <c r="L77" s="78">
        <f>'Alternative 1'!$B$27*SIN(K77)+'Alternative 1'!$B$28*SIN(K77)+'Alternative 1'!$B$29*SIN(K77)</f>
        <v>65.365795323805685</v>
      </c>
      <c r="M77" s="77">
        <f>(('Alternative 1'!$B$27)*(((('Alternative 1'!$B$28-'Alternative 1'!$B$27)/2)+'Alternative 1'!$B$27)*'Alternative 1'!$B$39)*COS('Alternative 1-Tilt Up'!K77))+(('Alternative 1'!$B$28)*((('Alternative 1'!$B$28-'Alternative 1'!$B$27)/2)+(('Alternative 1'!$B$29-'Alternative 1'!$B$28)/2))*('Alternative 1'!$B$39)*COS('Alternative 1-Tilt Up'!K77))+(('Alternative 1'!$B$29)*((('Alternative 1'!$B$12-'Alternative 1'!$B$29+(('Alternative 1'!$B$29-'Alternative 1'!$B$28)/2)*('Alternative 1'!$B$39)*COS('Alternative 1-Tilt Up'!K77)))))</f>
        <v>1308347.5866290119</v>
      </c>
      <c r="N77" s="77">
        <f t="shared" si="18"/>
        <v>60047.349541811018</v>
      </c>
      <c r="O77" s="77">
        <f>(((('Alternative 1'!$B$28-'Alternative 1'!$B$27)/2)+'Alternative 1'!$B$27)*('Alternative 1'!$B$39)*COS('Alternative 1-Tilt Up'!K77))+(((('Alternative 1'!$B$28-'Alternative 1'!$B$27)/2)+(('Alternative 1'!$B$29-'Alternative 1'!$B$28)/2))*('Alternative 1'!$B$39)*COS('Alternative 1-Tilt Up'!K77))+(((('Alternative 1'!$B$12-'Alternative 1'!$B$29)+(('Alternative 1'!$B$29-'Alternative 1'!$B$28)/2))*('Alternative 1'!$B$39)*COS('Alternative 1-Tilt Up'!K77)))</f>
        <v>84378.081625064864</v>
      </c>
      <c r="P77" s="77">
        <f t="shared" si="19"/>
        <v>16551.292651523887</v>
      </c>
      <c r="R77" s="78" t="e">
        <f>'Alternative 1'!$B$39*$B77*$C77*COS($K$5)-($N$5/3)*$E77*SIN($K$5)-($N$5/3)*$F77*SIN($K$5)-($N$5/3)*$G77*SIN($K$5)</f>
        <v>#VALUE!</v>
      </c>
      <c r="S77" s="79" t="e">
        <f>IF(($A77&lt;'Alternative 1'!$B$27),(($H77*'Alternative 1'!$B$39)+(3*($N$5/3)*COS($K$5))),IF(($A77&lt;'Alternative 1'!$B$28),(($H77*'Alternative 1'!$B$39)+(2*(($N$5/3)*COS($K$5)))),IF(($A77&lt;'Alternative 1'!$B$29),(($H$3*'Alternative 1'!$B$39+(($N$5/3)*COS($K$5)))),($H77*'Alternative 1'!$B$39))))</f>
        <v>#VALUE!</v>
      </c>
      <c r="T77" s="78" t="e">
        <f>R77*'Alternative 1'!$K78/'Alternative 1'!$L78</f>
        <v>#VALUE!</v>
      </c>
      <c r="U77" s="78" t="e">
        <f>S77/'Alternative 1'!$M78</f>
        <v>#VALUE!</v>
      </c>
      <c r="V77" s="78" t="e">
        <f t="shared" si="20"/>
        <v>#VALUE!</v>
      </c>
      <c r="X77" s="78" t="e">
        <f>'Alternative 1'!$B$39*$B77*$C77*COS($K$13)-($N$12/3)*$E77*SIN($K$13)-($N$12/3)*$F77*SIN($K$13)-($N$12/3)*$G77*SIN($K$13)</f>
        <v>#VALUE!</v>
      </c>
      <c r="Y77" s="79" t="e">
        <f>IF(($A77&lt;'Alternative 1'!$B$27),(($H77*'Alternative 1'!$B$39)+(3*($N$12/3)*COS($K$13))),IF(($A77&lt;'Alternative 1'!$B$28),(($H77*'Alternative 1'!$B$39)+(2*(($N$12/3)*COS($K$13)))),IF(($A77&lt;'Alternative 1'!$B$29),(($H$3*'Alternative 1'!$B$39+(($N$12/3)*COS($K$13)))),($H77*'Alternative 1'!$B$39))))</f>
        <v>#VALUE!</v>
      </c>
      <c r="Z77" s="78" t="e">
        <f>X77*'Alternative 1'!$K78/'Alternative 1'!$L78</f>
        <v>#VALUE!</v>
      </c>
      <c r="AA77" s="78" t="e">
        <f>Y77/'Alternative 1'!$M78</f>
        <v>#VALUE!</v>
      </c>
      <c r="AB77" s="78" t="e">
        <f t="shared" si="21"/>
        <v>#VALUE!</v>
      </c>
      <c r="AD77" s="78" t="e">
        <f>'Alternative 1'!$B$39*$B77*$C77*COS($K$23)-($N$22/3)*$E77*SIN($K$23)-($N$22/3)*$F77*SIN($K$23)-($N$22/3)*$G77*SIN($K$23)</f>
        <v>#VALUE!</v>
      </c>
      <c r="AE77" s="79" t="e">
        <f>IF(($A77&lt;'Alternative 1'!$B$27),(($H77*'Alternative 1'!$B$39)+(3*($N$22/3)*COS($K$23))),IF(($A77&lt;'Alternative 1'!$B$28),(($H77*'Alternative 1'!$B$39)+(2*(($N$22/3)*COS($K$23)))),IF(($A77&lt;'Alternative 1'!$B$29),(($H$3*'Alternative 1'!$B$39+(($N$22/3)*COS($K$23)))),($H77*'Alternative 1'!$B$39))))</f>
        <v>#VALUE!</v>
      </c>
      <c r="AF77" s="78" t="e">
        <f>AD77*'Alternative 1'!$K78/'Alternative 1'!$L78</f>
        <v>#VALUE!</v>
      </c>
      <c r="AG77" s="78" t="e">
        <f>AE77/'Alternative 1'!$M78</f>
        <v>#VALUE!</v>
      </c>
      <c r="AH77" s="78" t="e">
        <f t="shared" si="22"/>
        <v>#VALUE!</v>
      </c>
      <c r="AJ77" s="78" t="e">
        <f>'Alternative 1'!$B$39*$B77*$C77*COS($K$33)-($N$32/3)*$E77*SIN($K$33)-($N$32/3)*$F77*SIN($K$33)-($N$32/3)*$G77*SIN($K$33)</f>
        <v>#VALUE!</v>
      </c>
      <c r="AK77" s="79" t="e">
        <f>IF(($A77&lt;'Alternative 1'!$B$27),(($H77*'Alternative 1'!$B$39)+(3*($N$32/3)*COS($K$33))),IF(($A77&lt;'Alternative 1'!$B$28),(($H77*'Alternative 1'!$B$39)+(2*(($N$32/3)*COS($K$33)))),IF(($A77&lt;'Alternative 1'!$B$29),(($H$3*'Alternative 1'!$B$39+(($N$32/3)*COS($K$33)))),($H77*'Alternative 1'!$B$39))))</f>
        <v>#VALUE!</v>
      </c>
      <c r="AL77" s="78" t="e">
        <f>AJ77*'Alternative 1'!$K78/'Alternative 1'!$L78</f>
        <v>#VALUE!</v>
      </c>
      <c r="AM77" s="78" t="e">
        <f>AK77/'Alternative 1'!$M78</f>
        <v>#VALUE!</v>
      </c>
      <c r="AN77" s="78" t="e">
        <f t="shared" si="23"/>
        <v>#VALUE!</v>
      </c>
      <c r="AP77" s="78" t="e">
        <f>'Alternative 1'!$B$39*$B77*$C77*COS($K$43)-($N$42/3)*$E77*SIN($K$43)-($N$42/3)*$F77*SIN($K$43)-($N$42/3)*$G77*SIN($K$43)</f>
        <v>#VALUE!</v>
      </c>
      <c r="AQ77" s="79" t="e">
        <f>IF(($A77&lt;'Alternative 1'!$B$27),(($H77*'Alternative 1'!$B$39)+(3*($N$42/3)*COS($K$43))),IF(($A77&lt;'Alternative 1'!$B$28),(($H77*'Alternative 1'!$B$39)+(2*(($N$42/3)*COS($K$43)))),IF(($A77&lt;'Alternative 1'!$B$29),(($H$3*'Alternative 1'!$B$39+(($N$42/3)*COS($K$43)))),($H77*'Alternative 1'!$B$39))))</f>
        <v>#VALUE!</v>
      </c>
      <c r="AR77" s="78" t="e">
        <f>AP77*'Alternative 1'!$K78/'Alternative 1'!$L78</f>
        <v>#VALUE!</v>
      </c>
      <c r="AS77" s="78" t="e">
        <f>AQ77/'Alternative 1'!$M78</f>
        <v>#VALUE!</v>
      </c>
      <c r="AT77" s="78" t="e">
        <f t="shared" si="24"/>
        <v>#VALUE!</v>
      </c>
      <c r="AV77" s="78" t="e">
        <f>'Alternative 1'!$B$39*$B77*$C77*COS($K$53)-($N$52/3)*$E77*SIN($K$53)-($N$52/3)*$F77*SIN($K$53)-($N$52/3)*$G77*SIN($K$53)</f>
        <v>#VALUE!</v>
      </c>
      <c r="AW77" s="79" t="e">
        <f>IF(($A77&lt;'Alternative 1'!$B$27),(($H77*'Alternative 1'!$B$39)+(3*($N$52/3)*COS($K$53))),IF(($A77&lt;'Alternative 1'!$B$28),(($H77*'Alternative 1'!$B$39)+(2*(($N$52/3)*COS($K$53)))),IF(($A77&lt;'Alternative 1'!$B$29),(($H$3*'Alternative 1'!$B$39+(($N$52/3)*COS($K$53)))),($H77*'Alternative 1'!$B$39))))</f>
        <v>#VALUE!</v>
      </c>
      <c r="AX77" s="78" t="e">
        <f>AV77*'Alternative 1'!$K78/'Alternative 1'!$L78</f>
        <v>#VALUE!</v>
      </c>
      <c r="AY77" s="78" t="e">
        <f>AW77/'Alternative 1'!$M78</f>
        <v>#VALUE!</v>
      </c>
      <c r="AZ77" s="78" t="e">
        <f t="shared" si="25"/>
        <v>#VALUE!</v>
      </c>
      <c r="BB77" s="78" t="e">
        <f>'Alternative 1'!$B$39*$B77*$C77*COS($K$63)-($N$62/3)*$E77*SIN($K$63)-($N$62/3)*$F77*SIN($K$63)-($N$62/3)*$G77*SIN($K$63)</f>
        <v>#VALUE!</v>
      </c>
      <c r="BC77" s="79" t="e">
        <f>IF(($A77&lt;'Alternative 1'!$B$27),(($H77*'Alternative 1'!$B$39)+(3*($N$62/3)*COS($K$63))),IF(($A77&lt;'Alternative 1'!$B$28),(($H77*'Alternative 1'!$B$39)+(2*(($N$62/3)*COS($K$63)))),IF(($A77&lt;'Alternative 1'!$B$29),(($H$3*'Alternative 1'!$B$39+(($N$62/3)*COS($K$63)))),($H77*'Alternative 1'!$B$39))))</f>
        <v>#VALUE!</v>
      </c>
      <c r="BD77" s="78" t="e">
        <f>BB77*'Alternative 1'!$K78/'Alternative 1'!$L78</f>
        <v>#VALUE!</v>
      </c>
      <c r="BE77" s="78" t="e">
        <f>BC77/'Alternative 1'!$M78</f>
        <v>#VALUE!</v>
      </c>
      <c r="BF77" s="78" t="e">
        <f t="shared" si="26"/>
        <v>#VALUE!</v>
      </c>
      <c r="BH77" s="78" t="e">
        <f>'Alternative 1'!$B$39*$B77*$C77*COS($K$73)-($N$72/3)*$E77*SIN($K$73)-($N$72/3)*$F77*SIN($K$73)-($N$72/3)*$G77*SIN($K$73)</f>
        <v>#VALUE!</v>
      </c>
      <c r="BI77" s="79" t="e">
        <f>IF(($A77&lt;'Alternative 1'!$B$27),(($H77*'Alternative 1'!$B$39)+(3*($N$72/3)*COS($K$73))),IF(($A77&lt;'Alternative 1'!$B$28),(($H77*'Alternative 1'!$B$39)+(2*(($N$72/3)*COS($K$73)))),IF(($A77&lt;'Alternative 1'!$B$29),(($H$3*'Alternative 1'!$B$39+(($N$72/3)*COS($K$73)))),($H77*'Alternative 1'!$B$39))))</f>
        <v>#VALUE!</v>
      </c>
      <c r="BJ77" s="78" t="e">
        <f>BH77*'Alternative 1'!$K78/'Alternative 1'!$L78</f>
        <v>#VALUE!</v>
      </c>
      <c r="BK77" s="78" t="e">
        <f>BI77/'Alternative 1'!$M78</f>
        <v>#VALUE!</v>
      </c>
      <c r="BL77" s="78" t="e">
        <f t="shared" si="27"/>
        <v>#VALUE!</v>
      </c>
      <c r="BN77" s="78" t="e">
        <f>'Alternative 1'!$B$39*$B77*$C77*COS($K$83)-($N$82/3)*$E77*SIN($K$83)-($N$82/3)*$F77*SIN($K$83)-($N$82/3)*$G77*SIN($K$83)</f>
        <v>#VALUE!</v>
      </c>
      <c r="BO77" s="79" t="e">
        <f>IF(($A77&lt;'Alternative 1'!$B$27),(($H77*'Alternative 1'!$B$39)+(3*($N$82/3)*COS($K$83))),IF(($A77&lt;'Alternative 1'!$B$28),(($H77*'Alternative 1'!$B$39)+(2*(($N$82/3)*COS($K$83)))),IF(($A77&lt;'Alternative 1'!$B$29),(($H$3*'Alternative 1'!$B$39+(($N$82/3)*COS($K$83)))),($H77*'Alternative 1'!$B$39))))</f>
        <v>#VALUE!</v>
      </c>
      <c r="BP77" s="78" t="e">
        <f>BN77*'Alternative 1'!$K78/'Alternative 1'!$L78</f>
        <v>#VALUE!</v>
      </c>
      <c r="BQ77" s="78" t="e">
        <f>BO77/'Alternative 1'!$M78</f>
        <v>#VALUE!</v>
      </c>
      <c r="BR77" s="78" t="e">
        <f t="shared" si="28"/>
        <v>#VALUE!</v>
      </c>
      <c r="BT77" s="78" t="e">
        <f>'Alternative 1'!$B$39*$B77*$C77*COS($K$93)-($K$92/3)*$E77*SIN($K$93)-($K$92/3)*$F77*SIN($K$93)-($K$92/3)*$G77*SIN($K$93)</f>
        <v>#VALUE!</v>
      </c>
      <c r="BU77" s="79" t="e">
        <f>IF(($A77&lt;'Alternative 1'!$B$27),(($H77*'Alternative 1'!$B$39)+(3*($N$92/3)*COS($K$93))),IF(($A77&lt;'Alternative 1'!$B$28),(($H77*'Alternative 1'!$B$39)+(2*(($N$92/3)*COS($K$93)))),IF(($A77&lt;'Alternative 1'!$B$29),(($H$3*'Alternative 1'!$B$39+(($N$92/3)*COS($K$93)))),($H77*'Alternative 1'!$B$39))))</f>
        <v>#VALUE!</v>
      </c>
      <c r="BV77" s="78" t="e">
        <f>BT77*'Alternative 1'!$K78/'Alternative 1'!$L78</f>
        <v>#VALUE!</v>
      </c>
      <c r="BW77" s="78" t="e">
        <f>BU77/'Alternative 1'!$M78</f>
        <v>#VALUE!</v>
      </c>
      <c r="BX77" s="78" t="e">
        <f t="shared" si="29"/>
        <v>#VALUE!</v>
      </c>
      <c r="BZ77" s="151"/>
      <c r="CA77" s="15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  <c r="DB77" s="281"/>
      <c r="DC77" s="281"/>
      <c r="DD77" s="281"/>
      <c r="DE77" s="281"/>
      <c r="DF77" s="281"/>
      <c r="DG77" s="281"/>
      <c r="DH77" s="281"/>
      <c r="DI77" s="281"/>
      <c r="DJ77" s="281"/>
      <c r="DK77" s="281"/>
    </row>
    <row r="78" spans="1:115" ht="15" customHeight="1" x14ac:dyDescent="0.25">
      <c r="A78" s="89" t="str">
        <f>IF('Alternative 1'!F79&gt;0,'Alternative 1'!F79,"x")</f>
        <v>x</v>
      </c>
      <c r="B78" s="89" t="e">
        <f t="shared" si="35"/>
        <v>#VALUE!</v>
      </c>
      <c r="C78" s="89">
        <f t="shared" si="30"/>
        <v>0</v>
      </c>
      <c r="D78" s="89" t="str">
        <f t="shared" si="31"/>
        <v>x</v>
      </c>
      <c r="E78" s="74">
        <f>IF($A78&lt;='Alternative 1'!$B$27, IF($A78='Alternative 1'!$B$27,0,E79+1),0)</f>
        <v>0</v>
      </c>
      <c r="F78" s="74">
        <f>IF($A78&lt;=('Alternative 1'!$B$28), IF($A78=ROUNDDOWN('Alternative 1'!$B$28,0),0,F79+1),0)</f>
        <v>0</v>
      </c>
      <c r="G78" s="74">
        <f>IF($A78&lt;=('Alternative 1'!$B$29), IF($A78=ROUNDDOWN('Alternative 1'!$B$29,0),0,G79+1),0)</f>
        <v>0</v>
      </c>
      <c r="H78" s="89" t="e">
        <f t="shared" si="32"/>
        <v>#VALUE!</v>
      </c>
      <c r="J78" s="77">
        <f t="shared" si="33"/>
        <v>75</v>
      </c>
      <c r="K78" s="77">
        <f t="shared" si="34"/>
        <v>1.3089969389957472</v>
      </c>
      <c r="L78" s="78">
        <f>'Alternative 1'!$B$27*SIN(K78)+'Alternative 1'!$B$28*SIN(K78)+'Alternative 1'!$B$29*SIN(K78)</f>
        <v>65.682956187656643</v>
      </c>
      <c r="M78" s="77">
        <f>(('Alternative 1'!$B$27)*(((('Alternative 1'!$B$28-'Alternative 1'!$B$27)/2)+'Alternative 1'!$B$27)*'Alternative 1'!$B$39)*COS('Alternative 1-Tilt Up'!K78))+(('Alternative 1'!$B$28)*((('Alternative 1'!$B$28-'Alternative 1'!$B$27)/2)+(('Alternative 1'!$B$29-'Alternative 1'!$B$28)/2))*('Alternative 1'!$B$39)*COS('Alternative 1-Tilt Up'!K78))+(('Alternative 1'!$B$29)*((('Alternative 1'!$B$12-'Alternative 1'!$B$29+(('Alternative 1'!$B$29-'Alternative 1'!$B$28)/2)*('Alternative 1'!$B$39)*COS('Alternative 1-Tilt Up'!K78)))))</f>
        <v>1228529.2833927616</v>
      </c>
      <c r="N78" s="77">
        <f t="shared" si="18"/>
        <v>56111.784001446824</v>
      </c>
      <c r="O78" s="77">
        <f>(((('Alternative 1'!$B$28-'Alternative 1'!$B$27)/2)+'Alternative 1'!$B$27)*('Alternative 1'!$B$39)*COS('Alternative 1-Tilt Up'!K78))+(((('Alternative 1'!$B$28-'Alternative 1'!$B$27)/2)+(('Alternative 1'!$B$29-'Alternative 1'!$B$28)/2))*('Alternative 1'!$B$39)*COS('Alternative 1-Tilt Up'!K78))+(((('Alternative 1'!$B$12-'Alternative 1'!$B$29)+(('Alternative 1'!$B$29-'Alternative 1'!$B$28)/2))*('Alternative 1'!$B$39)*COS('Alternative 1-Tilt Up'!K78)))</f>
        <v>79229.661919558304</v>
      </c>
      <c r="P78" s="77">
        <f t="shared" si="19"/>
        <v>14522.798354253368</v>
      </c>
      <c r="R78" s="78" t="e">
        <f>'Alternative 1'!$B$39*$B78*$C78*COS($K$5)-($N$5/3)*$E78*SIN($K$5)-($N$5/3)*$F78*SIN($K$5)-($N$5/3)*$G78*SIN($K$5)</f>
        <v>#VALUE!</v>
      </c>
      <c r="S78" s="79" t="e">
        <f>IF(($A78&lt;'Alternative 1'!$B$27),(($H78*'Alternative 1'!$B$39)+(3*($N$5/3)*COS($K$5))),IF(($A78&lt;'Alternative 1'!$B$28),(($H78*'Alternative 1'!$B$39)+(2*(($N$5/3)*COS($K$5)))),IF(($A78&lt;'Alternative 1'!$B$29),(($H$3*'Alternative 1'!$B$39+(($N$5/3)*COS($K$5)))),($H78*'Alternative 1'!$B$39))))</f>
        <v>#VALUE!</v>
      </c>
      <c r="T78" s="78" t="e">
        <f>R78*'Alternative 1'!$K79/'Alternative 1'!$L79</f>
        <v>#VALUE!</v>
      </c>
      <c r="U78" s="78" t="e">
        <f>S78/'Alternative 1'!$M79</f>
        <v>#VALUE!</v>
      </c>
      <c r="V78" s="78" t="e">
        <f t="shared" si="20"/>
        <v>#VALUE!</v>
      </c>
      <c r="X78" s="78" t="e">
        <f>'Alternative 1'!$B$39*$B78*$C78*COS($K$13)-($N$12/3)*$E78*SIN($K$13)-($N$12/3)*$F78*SIN($K$13)-($N$12/3)*$G78*SIN($K$13)</f>
        <v>#VALUE!</v>
      </c>
      <c r="Y78" s="79" t="e">
        <f>IF(($A78&lt;'Alternative 1'!$B$27),(($H78*'Alternative 1'!$B$39)+(3*($N$12/3)*COS($K$13))),IF(($A78&lt;'Alternative 1'!$B$28),(($H78*'Alternative 1'!$B$39)+(2*(($N$12/3)*COS($K$13)))),IF(($A78&lt;'Alternative 1'!$B$29),(($H$3*'Alternative 1'!$B$39+(($N$12/3)*COS($K$13)))),($H78*'Alternative 1'!$B$39))))</f>
        <v>#VALUE!</v>
      </c>
      <c r="Z78" s="78" t="e">
        <f>X78*'Alternative 1'!$K79/'Alternative 1'!$L79</f>
        <v>#VALUE!</v>
      </c>
      <c r="AA78" s="78" t="e">
        <f>Y78/'Alternative 1'!$M79</f>
        <v>#VALUE!</v>
      </c>
      <c r="AB78" s="78" t="e">
        <f t="shared" si="21"/>
        <v>#VALUE!</v>
      </c>
      <c r="AD78" s="78" t="e">
        <f>'Alternative 1'!$B$39*$B78*$C78*COS($K$23)-($N$22/3)*$E78*SIN($K$23)-($N$22/3)*$F78*SIN($K$23)-($N$22/3)*$G78*SIN($K$23)</f>
        <v>#VALUE!</v>
      </c>
      <c r="AE78" s="79" t="e">
        <f>IF(($A78&lt;'Alternative 1'!$B$27),(($H78*'Alternative 1'!$B$39)+(3*($N$22/3)*COS($K$23))),IF(($A78&lt;'Alternative 1'!$B$28),(($H78*'Alternative 1'!$B$39)+(2*(($N$22/3)*COS($K$23)))),IF(($A78&lt;'Alternative 1'!$B$29),(($H$3*'Alternative 1'!$B$39+(($N$22/3)*COS($K$23)))),($H78*'Alternative 1'!$B$39))))</f>
        <v>#VALUE!</v>
      </c>
      <c r="AF78" s="78" t="e">
        <f>AD78*'Alternative 1'!$K79/'Alternative 1'!$L79</f>
        <v>#VALUE!</v>
      </c>
      <c r="AG78" s="78" t="e">
        <f>AE78/'Alternative 1'!$M79</f>
        <v>#VALUE!</v>
      </c>
      <c r="AH78" s="78" t="e">
        <f t="shared" si="22"/>
        <v>#VALUE!</v>
      </c>
      <c r="AJ78" s="78" t="e">
        <f>'Alternative 1'!$B$39*$B78*$C78*COS($K$33)-($N$32/3)*$E78*SIN($K$33)-($N$32/3)*$F78*SIN($K$33)-($N$32/3)*$G78*SIN($K$33)</f>
        <v>#VALUE!</v>
      </c>
      <c r="AK78" s="79" t="e">
        <f>IF(($A78&lt;'Alternative 1'!$B$27),(($H78*'Alternative 1'!$B$39)+(3*($N$32/3)*COS($K$33))),IF(($A78&lt;'Alternative 1'!$B$28),(($H78*'Alternative 1'!$B$39)+(2*(($N$32/3)*COS($K$33)))),IF(($A78&lt;'Alternative 1'!$B$29),(($H$3*'Alternative 1'!$B$39+(($N$32/3)*COS($K$33)))),($H78*'Alternative 1'!$B$39))))</f>
        <v>#VALUE!</v>
      </c>
      <c r="AL78" s="78" t="e">
        <f>AJ78*'Alternative 1'!$K79/'Alternative 1'!$L79</f>
        <v>#VALUE!</v>
      </c>
      <c r="AM78" s="78" t="e">
        <f>AK78/'Alternative 1'!$M79</f>
        <v>#VALUE!</v>
      </c>
      <c r="AN78" s="78" t="e">
        <f t="shared" si="23"/>
        <v>#VALUE!</v>
      </c>
      <c r="AP78" s="78" t="e">
        <f>'Alternative 1'!$B$39*$B78*$C78*COS($K$43)-($N$42/3)*$E78*SIN($K$43)-($N$42/3)*$F78*SIN($K$43)-($N$42/3)*$G78*SIN($K$43)</f>
        <v>#VALUE!</v>
      </c>
      <c r="AQ78" s="79" t="e">
        <f>IF(($A78&lt;'Alternative 1'!$B$27),(($H78*'Alternative 1'!$B$39)+(3*($N$42/3)*COS($K$43))),IF(($A78&lt;'Alternative 1'!$B$28),(($H78*'Alternative 1'!$B$39)+(2*(($N$42/3)*COS($K$43)))),IF(($A78&lt;'Alternative 1'!$B$29),(($H$3*'Alternative 1'!$B$39+(($N$42/3)*COS($K$43)))),($H78*'Alternative 1'!$B$39))))</f>
        <v>#VALUE!</v>
      </c>
      <c r="AR78" s="78" t="e">
        <f>AP78*'Alternative 1'!$K79/'Alternative 1'!$L79</f>
        <v>#VALUE!</v>
      </c>
      <c r="AS78" s="78" t="e">
        <f>AQ78/'Alternative 1'!$M79</f>
        <v>#VALUE!</v>
      </c>
      <c r="AT78" s="78" t="e">
        <f t="shared" si="24"/>
        <v>#VALUE!</v>
      </c>
      <c r="AV78" s="78" t="e">
        <f>'Alternative 1'!$B$39*$B78*$C78*COS($K$53)-($N$52/3)*$E78*SIN($K$53)-($N$52/3)*$F78*SIN($K$53)-($N$52/3)*$G78*SIN($K$53)</f>
        <v>#VALUE!</v>
      </c>
      <c r="AW78" s="79" t="e">
        <f>IF(($A78&lt;'Alternative 1'!$B$27),(($H78*'Alternative 1'!$B$39)+(3*($N$52/3)*COS($K$53))),IF(($A78&lt;'Alternative 1'!$B$28),(($H78*'Alternative 1'!$B$39)+(2*(($N$52/3)*COS($K$53)))),IF(($A78&lt;'Alternative 1'!$B$29),(($H$3*'Alternative 1'!$B$39+(($N$52/3)*COS($K$53)))),($H78*'Alternative 1'!$B$39))))</f>
        <v>#VALUE!</v>
      </c>
      <c r="AX78" s="78" t="e">
        <f>AV78*'Alternative 1'!$K79/'Alternative 1'!$L79</f>
        <v>#VALUE!</v>
      </c>
      <c r="AY78" s="78" t="e">
        <f>AW78/'Alternative 1'!$M79</f>
        <v>#VALUE!</v>
      </c>
      <c r="AZ78" s="78" t="e">
        <f t="shared" si="25"/>
        <v>#VALUE!</v>
      </c>
      <c r="BB78" s="78" t="e">
        <f>'Alternative 1'!$B$39*$B78*$C78*COS($K$63)-($N$62/3)*$E78*SIN($K$63)-($N$62/3)*$F78*SIN($K$63)-($N$62/3)*$G78*SIN($K$63)</f>
        <v>#VALUE!</v>
      </c>
      <c r="BC78" s="79" t="e">
        <f>IF(($A78&lt;'Alternative 1'!$B$27),(($H78*'Alternative 1'!$B$39)+(3*($N$62/3)*COS($K$63))),IF(($A78&lt;'Alternative 1'!$B$28),(($H78*'Alternative 1'!$B$39)+(2*(($N$62/3)*COS($K$63)))),IF(($A78&lt;'Alternative 1'!$B$29),(($H$3*'Alternative 1'!$B$39+(($N$62/3)*COS($K$63)))),($H78*'Alternative 1'!$B$39))))</f>
        <v>#VALUE!</v>
      </c>
      <c r="BD78" s="78" t="e">
        <f>BB78*'Alternative 1'!$K79/'Alternative 1'!$L79</f>
        <v>#VALUE!</v>
      </c>
      <c r="BE78" s="78" t="e">
        <f>BC78/'Alternative 1'!$M79</f>
        <v>#VALUE!</v>
      </c>
      <c r="BF78" s="78" t="e">
        <f t="shared" si="26"/>
        <v>#VALUE!</v>
      </c>
      <c r="BH78" s="78" t="e">
        <f>'Alternative 1'!$B$39*$B78*$C78*COS($K$73)-($N$72/3)*$E78*SIN($K$73)-($N$72/3)*$F78*SIN($K$73)-($N$72/3)*$G78*SIN($K$73)</f>
        <v>#VALUE!</v>
      </c>
      <c r="BI78" s="79" t="e">
        <f>IF(($A78&lt;'Alternative 1'!$B$27),(($H78*'Alternative 1'!$B$39)+(3*($N$72/3)*COS($K$73))),IF(($A78&lt;'Alternative 1'!$B$28),(($H78*'Alternative 1'!$B$39)+(2*(($N$72/3)*COS($K$73)))),IF(($A78&lt;'Alternative 1'!$B$29),(($H$3*'Alternative 1'!$B$39+(($N$72/3)*COS($K$73)))),($H78*'Alternative 1'!$B$39))))</f>
        <v>#VALUE!</v>
      </c>
      <c r="BJ78" s="78" t="e">
        <f>BH78*'Alternative 1'!$K79/'Alternative 1'!$L79</f>
        <v>#VALUE!</v>
      </c>
      <c r="BK78" s="78" t="e">
        <f>BI78/'Alternative 1'!$M79</f>
        <v>#VALUE!</v>
      </c>
      <c r="BL78" s="78" t="e">
        <f t="shared" si="27"/>
        <v>#VALUE!</v>
      </c>
      <c r="BN78" s="78" t="e">
        <f>'Alternative 1'!$B$39*$B78*$C78*COS($K$83)-($N$82/3)*$E78*SIN($K$83)-($N$82/3)*$F78*SIN($K$83)-($N$82/3)*$G78*SIN($K$83)</f>
        <v>#VALUE!</v>
      </c>
      <c r="BO78" s="79" t="e">
        <f>IF(($A78&lt;'Alternative 1'!$B$27),(($H78*'Alternative 1'!$B$39)+(3*($N$82/3)*COS($K$83))),IF(($A78&lt;'Alternative 1'!$B$28),(($H78*'Alternative 1'!$B$39)+(2*(($N$82/3)*COS($K$83)))),IF(($A78&lt;'Alternative 1'!$B$29),(($H$3*'Alternative 1'!$B$39+(($N$82/3)*COS($K$83)))),($H78*'Alternative 1'!$B$39))))</f>
        <v>#VALUE!</v>
      </c>
      <c r="BP78" s="78" t="e">
        <f>BN78*'Alternative 1'!$K79/'Alternative 1'!$L79</f>
        <v>#VALUE!</v>
      </c>
      <c r="BQ78" s="78" t="e">
        <f>BO78/'Alternative 1'!$M79</f>
        <v>#VALUE!</v>
      </c>
      <c r="BR78" s="78" t="e">
        <f t="shared" si="28"/>
        <v>#VALUE!</v>
      </c>
      <c r="BT78" s="78" t="e">
        <f>'Alternative 1'!$B$39*$B78*$C78*COS($K$93)-($K$92/3)*$E78*SIN($K$93)-($K$92/3)*$F78*SIN($K$93)-($K$92/3)*$G78*SIN($K$93)</f>
        <v>#VALUE!</v>
      </c>
      <c r="BU78" s="79" t="e">
        <f>IF(($A78&lt;'Alternative 1'!$B$27),(($H78*'Alternative 1'!$B$39)+(3*($N$92/3)*COS($K$93))),IF(($A78&lt;'Alternative 1'!$B$28),(($H78*'Alternative 1'!$B$39)+(2*(($N$92/3)*COS($K$93)))),IF(($A78&lt;'Alternative 1'!$B$29),(($H$3*'Alternative 1'!$B$39+(($N$92/3)*COS($K$93)))),($H78*'Alternative 1'!$B$39))))</f>
        <v>#VALUE!</v>
      </c>
      <c r="BV78" s="78" t="e">
        <f>BT78*'Alternative 1'!$K79/'Alternative 1'!$L79</f>
        <v>#VALUE!</v>
      </c>
      <c r="BW78" s="78" t="e">
        <f>BU78/'Alternative 1'!$M79</f>
        <v>#VALUE!</v>
      </c>
      <c r="BX78" s="78" t="e">
        <f t="shared" si="29"/>
        <v>#VALUE!</v>
      </c>
      <c r="BZ78" s="151"/>
      <c r="CA78" s="15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  <c r="DC78" s="281"/>
      <c r="DD78" s="281"/>
      <c r="DE78" s="281"/>
      <c r="DF78" s="281"/>
      <c r="DG78" s="281"/>
      <c r="DH78" s="281"/>
      <c r="DI78" s="281"/>
      <c r="DJ78" s="281"/>
      <c r="DK78" s="281"/>
    </row>
    <row r="79" spans="1:115" ht="15" customHeight="1" x14ac:dyDescent="0.25">
      <c r="A79" s="89" t="str">
        <f>IF('Alternative 1'!F80&gt;0,'Alternative 1'!F80,"x")</f>
        <v>x</v>
      </c>
      <c r="B79" s="89" t="e">
        <f t="shared" si="35"/>
        <v>#VALUE!</v>
      </c>
      <c r="C79" s="89">
        <f t="shared" si="30"/>
        <v>0</v>
      </c>
      <c r="D79" s="89" t="str">
        <f t="shared" si="31"/>
        <v>x</v>
      </c>
      <c r="E79" s="74">
        <f>IF($A79&lt;='Alternative 1'!$B$27, IF($A79='Alternative 1'!$B$27,0,E80+1),0)</f>
        <v>0</v>
      </c>
      <c r="F79" s="74">
        <f>IF($A79&lt;=('Alternative 1'!$B$28), IF($A79=ROUNDDOWN('Alternative 1'!$B$28,0),0,F80+1),0)</f>
        <v>0</v>
      </c>
      <c r="G79" s="74">
        <f>IF($A79&lt;=('Alternative 1'!$B$29), IF($A79=ROUNDDOWN('Alternative 1'!$B$29,0),0,G80+1),0)</f>
        <v>0</v>
      </c>
      <c r="H79" s="89" t="e">
        <f t="shared" si="32"/>
        <v>#VALUE!</v>
      </c>
      <c r="J79" s="77">
        <f t="shared" si="33"/>
        <v>76</v>
      </c>
      <c r="K79" s="77">
        <f t="shared" si="34"/>
        <v>1.3264502315156903</v>
      </c>
      <c r="L79" s="78">
        <f>'Alternative 1'!$B$27*SIN(K79)+'Alternative 1'!$B$28*SIN(K79)+'Alternative 1'!$B$29*SIN(K79)</f>
        <v>65.980109386767765</v>
      </c>
      <c r="M79" s="77">
        <f>(('Alternative 1'!$B$27)*(((('Alternative 1'!$B$28-'Alternative 1'!$B$27)/2)+'Alternative 1'!$B$27)*'Alternative 1'!$B$39)*COS('Alternative 1-Tilt Up'!K79))+(('Alternative 1'!$B$28)*((('Alternative 1'!$B$28-'Alternative 1'!$B$27)/2)+(('Alternative 1'!$B$29-'Alternative 1'!$B$28)/2))*('Alternative 1'!$B$39)*COS('Alternative 1-Tilt Up'!K79))+(('Alternative 1'!$B$29)*((('Alternative 1'!$B$12-'Alternative 1'!$B$29+(('Alternative 1'!$B$29-'Alternative 1'!$B$28)/2)*('Alternative 1'!$B$39)*COS('Alternative 1-Tilt Up'!K79)))))</f>
        <v>1148336.8178268885</v>
      </c>
      <c r="N79" s="77">
        <f t="shared" si="18"/>
        <v>52212.863626618331</v>
      </c>
      <c r="O79" s="77">
        <f>(((('Alternative 1'!$B$28-'Alternative 1'!$B$27)/2)+'Alternative 1'!$B$27)*('Alternative 1'!$B$39)*COS('Alternative 1-Tilt Up'!K79))+(((('Alternative 1'!$B$28-'Alternative 1'!$B$27)/2)+(('Alternative 1'!$B$29-'Alternative 1'!$B$28)/2))*('Alternative 1'!$B$39)*COS('Alternative 1-Tilt Up'!K79))+(((('Alternative 1'!$B$12-'Alternative 1'!$B$29)+(('Alternative 1'!$B$29-'Alternative 1'!$B$28)/2))*('Alternative 1'!$B$39)*COS('Alternative 1-Tilt Up'!K79)))</f>
        <v>74057.108091516129</v>
      </c>
      <c r="P79" s="77">
        <f t="shared" si="19"/>
        <v>12631.434943238457</v>
      </c>
      <c r="R79" s="78" t="e">
        <f>'Alternative 1'!$B$39*$B79*$C79*COS($K$5)-($N$5/3)*$E79*SIN($K$5)-($N$5/3)*$F79*SIN($K$5)-($N$5/3)*$G79*SIN($K$5)</f>
        <v>#VALUE!</v>
      </c>
      <c r="S79" s="79" t="e">
        <f>IF(($A79&lt;'Alternative 1'!$B$27),(($H79*'Alternative 1'!$B$39)+(3*($N$5/3)*COS($K$5))),IF(($A79&lt;'Alternative 1'!$B$28),(($H79*'Alternative 1'!$B$39)+(2*(($N$5/3)*COS($K$5)))),IF(($A79&lt;'Alternative 1'!$B$29),(($H$3*'Alternative 1'!$B$39+(($N$5/3)*COS($K$5)))),($H79*'Alternative 1'!$B$39))))</f>
        <v>#VALUE!</v>
      </c>
      <c r="T79" s="78" t="e">
        <f>R79*'Alternative 1'!$K80/'Alternative 1'!$L80</f>
        <v>#VALUE!</v>
      </c>
      <c r="U79" s="78" t="e">
        <f>S79/'Alternative 1'!$M80</f>
        <v>#VALUE!</v>
      </c>
      <c r="V79" s="78" t="e">
        <f t="shared" si="20"/>
        <v>#VALUE!</v>
      </c>
      <c r="X79" s="78" t="e">
        <f>'Alternative 1'!$B$39*$B79*$C79*COS($K$13)-($N$12/3)*$E79*SIN($K$13)-($N$12/3)*$F79*SIN($K$13)-($N$12/3)*$G79*SIN($K$13)</f>
        <v>#VALUE!</v>
      </c>
      <c r="Y79" s="79" t="e">
        <f>IF(($A79&lt;'Alternative 1'!$B$27),(($H79*'Alternative 1'!$B$39)+(3*($N$12/3)*COS($K$13))),IF(($A79&lt;'Alternative 1'!$B$28),(($H79*'Alternative 1'!$B$39)+(2*(($N$12/3)*COS($K$13)))),IF(($A79&lt;'Alternative 1'!$B$29),(($H$3*'Alternative 1'!$B$39+(($N$12/3)*COS($K$13)))),($H79*'Alternative 1'!$B$39))))</f>
        <v>#VALUE!</v>
      </c>
      <c r="Z79" s="78" t="e">
        <f>X79*'Alternative 1'!$K80/'Alternative 1'!$L80</f>
        <v>#VALUE!</v>
      </c>
      <c r="AA79" s="78" t="e">
        <f>Y79/'Alternative 1'!$M80</f>
        <v>#VALUE!</v>
      </c>
      <c r="AB79" s="78" t="e">
        <f t="shared" si="21"/>
        <v>#VALUE!</v>
      </c>
      <c r="AD79" s="78" t="e">
        <f>'Alternative 1'!$B$39*$B79*$C79*COS($K$23)-($N$22/3)*$E79*SIN($K$23)-($N$22/3)*$F79*SIN($K$23)-($N$22/3)*$G79*SIN($K$23)</f>
        <v>#VALUE!</v>
      </c>
      <c r="AE79" s="79" t="e">
        <f>IF(($A79&lt;'Alternative 1'!$B$27),(($H79*'Alternative 1'!$B$39)+(3*($N$22/3)*COS($K$23))),IF(($A79&lt;'Alternative 1'!$B$28),(($H79*'Alternative 1'!$B$39)+(2*(($N$22/3)*COS($K$23)))),IF(($A79&lt;'Alternative 1'!$B$29),(($H$3*'Alternative 1'!$B$39+(($N$22/3)*COS($K$23)))),($H79*'Alternative 1'!$B$39))))</f>
        <v>#VALUE!</v>
      </c>
      <c r="AF79" s="78" t="e">
        <f>AD79*'Alternative 1'!$K80/'Alternative 1'!$L80</f>
        <v>#VALUE!</v>
      </c>
      <c r="AG79" s="78" t="e">
        <f>AE79/'Alternative 1'!$M80</f>
        <v>#VALUE!</v>
      </c>
      <c r="AH79" s="78" t="e">
        <f t="shared" si="22"/>
        <v>#VALUE!</v>
      </c>
      <c r="AJ79" s="78" t="e">
        <f>'Alternative 1'!$B$39*$B79*$C79*COS($K$33)-($N$32/3)*$E79*SIN($K$33)-($N$32/3)*$F79*SIN($K$33)-($N$32/3)*$G79*SIN($K$33)</f>
        <v>#VALUE!</v>
      </c>
      <c r="AK79" s="79" t="e">
        <f>IF(($A79&lt;'Alternative 1'!$B$27),(($H79*'Alternative 1'!$B$39)+(3*($N$32/3)*COS($K$33))),IF(($A79&lt;'Alternative 1'!$B$28),(($H79*'Alternative 1'!$B$39)+(2*(($N$32/3)*COS($K$33)))),IF(($A79&lt;'Alternative 1'!$B$29),(($H$3*'Alternative 1'!$B$39+(($N$32/3)*COS($K$33)))),($H79*'Alternative 1'!$B$39))))</f>
        <v>#VALUE!</v>
      </c>
      <c r="AL79" s="78" t="e">
        <f>AJ79*'Alternative 1'!$K80/'Alternative 1'!$L80</f>
        <v>#VALUE!</v>
      </c>
      <c r="AM79" s="78" t="e">
        <f>AK79/'Alternative 1'!$M80</f>
        <v>#VALUE!</v>
      </c>
      <c r="AN79" s="78" t="e">
        <f t="shared" si="23"/>
        <v>#VALUE!</v>
      </c>
      <c r="AP79" s="78" t="e">
        <f>'Alternative 1'!$B$39*$B79*$C79*COS($K$43)-($N$42/3)*$E79*SIN($K$43)-($N$42/3)*$F79*SIN($K$43)-($N$42/3)*$G79*SIN($K$43)</f>
        <v>#VALUE!</v>
      </c>
      <c r="AQ79" s="79" t="e">
        <f>IF(($A79&lt;'Alternative 1'!$B$27),(($H79*'Alternative 1'!$B$39)+(3*($N$42/3)*COS($K$43))),IF(($A79&lt;'Alternative 1'!$B$28),(($H79*'Alternative 1'!$B$39)+(2*(($N$42/3)*COS($K$43)))),IF(($A79&lt;'Alternative 1'!$B$29),(($H$3*'Alternative 1'!$B$39+(($N$42/3)*COS($K$43)))),($H79*'Alternative 1'!$B$39))))</f>
        <v>#VALUE!</v>
      </c>
      <c r="AR79" s="78" t="e">
        <f>AP79*'Alternative 1'!$K80/'Alternative 1'!$L80</f>
        <v>#VALUE!</v>
      </c>
      <c r="AS79" s="78" t="e">
        <f>AQ79/'Alternative 1'!$M80</f>
        <v>#VALUE!</v>
      </c>
      <c r="AT79" s="78" t="e">
        <f t="shared" si="24"/>
        <v>#VALUE!</v>
      </c>
      <c r="AV79" s="78" t="e">
        <f>'Alternative 1'!$B$39*$B79*$C79*COS($K$53)-($N$52/3)*$E79*SIN($K$53)-($N$52/3)*$F79*SIN($K$53)-($N$52/3)*$G79*SIN($K$53)</f>
        <v>#VALUE!</v>
      </c>
      <c r="AW79" s="79" t="e">
        <f>IF(($A79&lt;'Alternative 1'!$B$27),(($H79*'Alternative 1'!$B$39)+(3*($N$52/3)*COS($K$53))),IF(($A79&lt;'Alternative 1'!$B$28),(($H79*'Alternative 1'!$B$39)+(2*(($N$52/3)*COS($K$53)))),IF(($A79&lt;'Alternative 1'!$B$29),(($H$3*'Alternative 1'!$B$39+(($N$52/3)*COS($K$53)))),($H79*'Alternative 1'!$B$39))))</f>
        <v>#VALUE!</v>
      </c>
      <c r="AX79" s="78" t="e">
        <f>AV79*'Alternative 1'!$K80/'Alternative 1'!$L80</f>
        <v>#VALUE!</v>
      </c>
      <c r="AY79" s="78" t="e">
        <f>AW79/'Alternative 1'!$M80</f>
        <v>#VALUE!</v>
      </c>
      <c r="AZ79" s="78" t="e">
        <f t="shared" si="25"/>
        <v>#VALUE!</v>
      </c>
      <c r="BB79" s="78" t="e">
        <f>'Alternative 1'!$B$39*$B79*$C79*COS($K$63)-($N$62/3)*$E79*SIN($K$63)-($N$62/3)*$F79*SIN($K$63)-($N$62/3)*$G79*SIN($K$63)</f>
        <v>#VALUE!</v>
      </c>
      <c r="BC79" s="79" t="e">
        <f>IF(($A79&lt;'Alternative 1'!$B$27),(($H79*'Alternative 1'!$B$39)+(3*($N$62/3)*COS($K$63))),IF(($A79&lt;'Alternative 1'!$B$28),(($H79*'Alternative 1'!$B$39)+(2*(($N$62/3)*COS($K$63)))),IF(($A79&lt;'Alternative 1'!$B$29),(($H$3*'Alternative 1'!$B$39+(($N$62/3)*COS($K$63)))),($H79*'Alternative 1'!$B$39))))</f>
        <v>#VALUE!</v>
      </c>
      <c r="BD79" s="78" t="e">
        <f>BB79*'Alternative 1'!$K80/'Alternative 1'!$L80</f>
        <v>#VALUE!</v>
      </c>
      <c r="BE79" s="78" t="e">
        <f>BC79/'Alternative 1'!$M80</f>
        <v>#VALUE!</v>
      </c>
      <c r="BF79" s="78" t="e">
        <f t="shared" si="26"/>
        <v>#VALUE!</v>
      </c>
      <c r="BH79" s="78" t="e">
        <f>'Alternative 1'!$B$39*$B79*$C79*COS($K$73)-($N$72/3)*$E79*SIN($K$73)-($N$72/3)*$F79*SIN($K$73)-($N$72/3)*$G79*SIN($K$73)</f>
        <v>#VALUE!</v>
      </c>
      <c r="BI79" s="79" t="e">
        <f>IF(($A79&lt;'Alternative 1'!$B$27),(($H79*'Alternative 1'!$B$39)+(3*($N$72/3)*COS($K$73))),IF(($A79&lt;'Alternative 1'!$B$28),(($H79*'Alternative 1'!$B$39)+(2*(($N$72/3)*COS($K$73)))),IF(($A79&lt;'Alternative 1'!$B$29),(($H$3*'Alternative 1'!$B$39+(($N$72/3)*COS($K$73)))),($H79*'Alternative 1'!$B$39))))</f>
        <v>#VALUE!</v>
      </c>
      <c r="BJ79" s="78" t="e">
        <f>BH79*'Alternative 1'!$K80/'Alternative 1'!$L80</f>
        <v>#VALUE!</v>
      </c>
      <c r="BK79" s="78" t="e">
        <f>BI79/'Alternative 1'!$M80</f>
        <v>#VALUE!</v>
      </c>
      <c r="BL79" s="78" t="e">
        <f t="shared" si="27"/>
        <v>#VALUE!</v>
      </c>
      <c r="BN79" s="78" t="e">
        <f>'Alternative 1'!$B$39*$B79*$C79*COS($K$83)-($N$82/3)*$E79*SIN($K$83)-($N$82/3)*$F79*SIN($K$83)-($N$82/3)*$G79*SIN($K$83)</f>
        <v>#VALUE!</v>
      </c>
      <c r="BO79" s="79" t="e">
        <f>IF(($A79&lt;'Alternative 1'!$B$27),(($H79*'Alternative 1'!$B$39)+(3*($N$82/3)*COS($K$83))),IF(($A79&lt;'Alternative 1'!$B$28),(($H79*'Alternative 1'!$B$39)+(2*(($N$82/3)*COS($K$83)))),IF(($A79&lt;'Alternative 1'!$B$29),(($H$3*'Alternative 1'!$B$39+(($N$82/3)*COS($K$83)))),($H79*'Alternative 1'!$B$39))))</f>
        <v>#VALUE!</v>
      </c>
      <c r="BP79" s="78" t="e">
        <f>BN79*'Alternative 1'!$K80/'Alternative 1'!$L80</f>
        <v>#VALUE!</v>
      </c>
      <c r="BQ79" s="78" t="e">
        <f>BO79/'Alternative 1'!$M80</f>
        <v>#VALUE!</v>
      </c>
      <c r="BR79" s="78" t="e">
        <f t="shared" si="28"/>
        <v>#VALUE!</v>
      </c>
      <c r="BT79" s="78" t="e">
        <f>'Alternative 1'!$B$39*$B79*$C79*COS($K$93)-($K$92/3)*$E79*SIN($K$93)-($K$92/3)*$F79*SIN($K$93)-($K$92/3)*$G79*SIN($K$93)</f>
        <v>#VALUE!</v>
      </c>
      <c r="BU79" s="79" t="e">
        <f>IF(($A79&lt;'Alternative 1'!$B$27),(($H79*'Alternative 1'!$B$39)+(3*($N$92/3)*COS($K$93))),IF(($A79&lt;'Alternative 1'!$B$28),(($H79*'Alternative 1'!$B$39)+(2*(($N$92/3)*COS($K$93)))),IF(($A79&lt;'Alternative 1'!$B$29),(($H$3*'Alternative 1'!$B$39+(($N$92/3)*COS($K$93)))),($H79*'Alternative 1'!$B$39))))</f>
        <v>#VALUE!</v>
      </c>
      <c r="BV79" s="78" t="e">
        <f>BT79*'Alternative 1'!$K80/'Alternative 1'!$L80</f>
        <v>#VALUE!</v>
      </c>
      <c r="BW79" s="78" t="e">
        <f>BU79/'Alternative 1'!$M80</f>
        <v>#VALUE!</v>
      </c>
      <c r="BX79" s="78" t="e">
        <f t="shared" si="29"/>
        <v>#VALUE!</v>
      </c>
      <c r="BZ79" s="151"/>
      <c r="CA79" s="15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  <c r="DC79" s="281"/>
      <c r="DD79" s="281"/>
      <c r="DE79" s="281"/>
      <c r="DF79" s="281"/>
      <c r="DG79" s="281"/>
      <c r="DH79" s="281"/>
      <c r="DI79" s="281"/>
      <c r="DJ79" s="281"/>
      <c r="DK79" s="281"/>
    </row>
    <row r="80" spans="1:115" ht="15" customHeight="1" x14ac:dyDescent="0.25">
      <c r="A80" s="89" t="str">
        <f>IF('Alternative 1'!F81&gt;0,'Alternative 1'!F81,"x")</f>
        <v>x</v>
      </c>
      <c r="B80" s="89" t="e">
        <f t="shared" si="35"/>
        <v>#VALUE!</v>
      </c>
      <c r="C80" s="89">
        <f t="shared" si="30"/>
        <v>0</v>
      </c>
      <c r="D80" s="89" t="str">
        <f t="shared" si="31"/>
        <v>x</v>
      </c>
      <c r="E80" s="74">
        <f>IF($A80&lt;='Alternative 1'!$B$27, IF($A80='Alternative 1'!$B$27,0,E81+1),0)</f>
        <v>0</v>
      </c>
      <c r="F80" s="74">
        <f>IF($A80&lt;=('Alternative 1'!$B$28), IF($A80=ROUNDDOWN('Alternative 1'!$B$28,0),0,F81+1),0)</f>
        <v>0</v>
      </c>
      <c r="G80" s="74">
        <f>IF($A80&lt;=('Alternative 1'!$B$29), IF($A80=ROUNDDOWN('Alternative 1'!$B$29,0),0,G81+1),0)</f>
        <v>0</v>
      </c>
      <c r="H80" s="89" t="e">
        <f t="shared" si="32"/>
        <v>#VALUE!</v>
      </c>
      <c r="J80" s="77">
        <f t="shared" si="33"/>
        <v>77</v>
      </c>
      <c r="K80" s="77">
        <f t="shared" si="34"/>
        <v>1.3439035240356338</v>
      </c>
      <c r="L80" s="78">
        <f>'Alternative 1'!$B$27*SIN(K80)+'Alternative 1'!$B$28*SIN(K80)+'Alternative 1'!$B$29*SIN(K80)</f>
        <v>66.257164405395997</v>
      </c>
      <c r="M80" s="77">
        <f>(('Alternative 1'!$B$27)*(((('Alternative 1'!$B$28-'Alternative 1'!$B$27)/2)+'Alternative 1'!$B$27)*'Alternative 1'!$B$39)*COS('Alternative 1-Tilt Up'!K80))+(('Alternative 1'!$B$28)*((('Alternative 1'!$B$28-'Alternative 1'!$B$27)/2)+(('Alternative 1'!$B$29-'Alternative 1'!$B$28)/2))*('Alternative 1'!$B$39)*COS('Alternative 1-Tilt Up'!K80))+(('Alternative 1'!$B$29)*((('Alternative 1'!$B$12-'Alternative 1'!$B$29+(('Alternative 1'!$B$29-'Alternative 1'!$B$28)/2)*('Alternative 1'!$B$39)*COS('Alternative 1-Tilt Up'!K80)))))</f>
        <v>1067794.6173332427</v>
      </c>
      <c r="N80" s="77">
        <f t="shared" si="18"/>
        <v>48347.73538450498</v>
      </c>
      <c r="O80" s="77">
        <f>(((('Alternative 1'!$B$28-'Alternative 1'!$B$27)/2)+'Alternative 1'!$B$27)*('Alternative 1'!$B$39)*COS('Alternative 1-Tilt Up'!K80))+(((('Alternative 1'!$B$28-'Alternative 1'!$B$27)/2)+(('Alternative 1'!$B$29-'Alternative 1'!$B$28)/2))*('Alternative 1'!$B$39)*COS('Alternative 1-Tilt Up'!K80))+(((('Alternative 1'!$B$12-'Alternative 1'!$B$29)+(('Alternative 1'!$B$29-'Alternative 1'!$B$28)/2))*('Alternative 1'!$B$39)*COS('Alternative 1-Tilt Up'!K80)))</f>
        <v>68861.995750941831</v>
      </c>
      <c r="P80" s="77">
        <f t="shared" si="19"/>
        <v>10875.874049882581</v>
      </c>
      <c r="R80" s="78" t="e">
        <f>'Alternative 1'!$B$39*$B80*$C80*COS($K$5)-($N$5/3)*$E80*SIN($K$5)-($N$5/3)*$F80*SIN($K$5)-($N$5/3)*$G80*SIN($K$5)</f>
        <v>#VALUE!</v>
      </c>
      <c r="S80" s="79" t="e">
        <f>IF(($A80&lt;'Alternative 1'!$B$27),(($H80*'Alternative 1'!$B$39)+(3*($N$5/3)*COS($K$5))),IF(($A80&lt;'Alternative 1'!$B$28),(($H80*'Alternative 1'!$B$39)+(2*(($N$5/3)*COS($K$5)))),IF(($A80&lt;'Alternative 1'!$B$29),(($H$3*'Alternative 1'!$B$39+(($N$5/3)*COS($K$5)))),($H80*'Alternative 1'!$B$39))))</f>
        <v>#VALUE!</v>
      </c>
      <c r="T80" s="78" t="e">
        <f>R80*'Alternative 1'!$K81/'Alternative 1'!$L81</f>
        <v>#VALUE!</v>
      </c>
      <c r="U80" s="78" t="e">
        <f>S80/'Alternative 1'!$M81</f>
        <v>#VALUE!</v>
      </c>
      <c r="V80" s="78" t="e">
        <f t="shared" si="20"/>
        <v>#VALUE!</v>
      </c>
      <c r="X80" s="78" t="e">
        <f>'Alternative 1'!$B$39*$B80*$C80*COS($K$13)-($N$12/3)*$E80*SIN($K$13)-($N$12/3)*$F80*SIN($K$13)-($N$12/3)*$G80*SIN($K$13)</f>
        <v>#VALUE!</v>
      </c>
      <c r="Y80" s="79" t="e">
        <f>IF(($A80&lt;'Alternative 1'!$B$27),(($H80*'Alternative 1'!$B$39)+(3*($N$12/3)*COS($K$13))),IF(($A80&lt;'Alternative 1'!$B$28),(($H80*'Alternative 1'!$B$39)+(2*(($N$12/3)*COS($K$13)))),IF(($A80&lt;'Alternative 1'!$B$29),(($H$3*'Alternative 1'!$B$39+(($N$12/3)*COS($K$13)))),($H80*'Alternative 1'!$B$39))))</f>
        <v>#VALUE!</v>
      </c>
      <c r="Z80" s="78" t="e">
        <f>X80*'Alternative 1'!$K81/'Alternative 1'!$L81</f>
        <v>#VALUE!</v>
      </c>
      <c r="AA80" s="78" t="e">
        <f>Y80/'Alternative 1'!$M81</f>
        <v>#VALUE!</v>
      </c>
      <c r="AB80" s="78" t="e">
        <f t="shared" si="21"/>
        <v>#VALUE!</v>
      </c>
      <c r="AD80" s="78" t="e">
        <f>'Alternative 1'!$B$39*$B80*$C80*COS($K$23)-($N$22/3)*$E80*SIN($K$23)-($N$22/3)*$F80*SIN($K$23)-($N$22/3)*$G80*SIN($K$23)</f>
        <v>#VALUE!</v>
      </c>
      <c r="AE80" s="79" t="e">
        <f>IF(($A80&lt;'Alternative 1'!$B$27),(($H80*'Alternative 1'!$B$39)+(3*($N$22/3)*COS($K$23))),IF(($A80&lt;'Alternative 1'!$B$28),(($H80*'Alternative 1'!$B$39)+(2*(($N$22/3)*COS($K$23)))),IF(($A80&lt;'Alternative 1'!$B$29),(($H$3*'Alternative 1'!$B$39+(($N$22/3)*COS($K$23)))),($H80*'Alternative 1'!$B$39))))</f>
        <v>#VALUE!</v>
      </c>
      <c r="AF80" s="78" t="e">
        <f>AD80*'Alternative 1'!$K81/'Alternative 1'!$L81</f>
        <v>#VALUE!</v>
      </c>
      <c r="AG80" s="78" t="e">
        <f>AE80/'Alternative 1'!$M81</f>
        <v>#VALUE!</v>
      </c>
      <c r="AH80" s="78" t="e">
        <f t="shared" si="22"/>
        <v>#VALUE!</v>
      </c>
      <c r="AJ80" s="78" t="e">
        <f>'Alternative 1'!$B$39*$B80*$C80*COS($K$33)-($N$32/3)*$E80*SIN($K$33)-($N$32/3)*$F80*SIN($K$33)-($N$32/3)*$G80*SIN($K$33)</f>
        <v>#VALUE!</v>
      </c>
      <c r="AK80" s="79" t="e">
        <f>IF(($A80&lt;'Alternative 1'!$B$27),(($H80*'Alternative 1'!$B$39)+(3*($N$32/3)*COS($K$33))),IF(($A80&lt;'Alternative 1'!$B$28),(($H80*'Alternative 1'!$B$39)+(2*(($N$32/3)*COS($K$33)))),IF(($A80&lt;'Alternative 1'!$B$29),(($H$3*'Alternative 1'!$B$39+(($N$32/3)*COS($K$33)))),($H80*'Alternative 1'!$B$39))))</f>
        <v>#VALUE!</v>
      </c>
      <c r="AL80" s="78" t="e">
        <f>AJ80*'Alternative 1'!$K81/'Alternative 1'!$L81</f>
        <v>#VALUE!</v>
      </c>
      <c r="AM80" s="78" t="e">
        <f>AK80/'Alternative 1'!$M81</f>
        <v>#VALUE!</v>
      </c>
      <c r="AN80" s="78" t="e">
        <f t="shared" si="23"/>
        <v>#VALUE!</v>
      </c>
      <c r="AP80" s="78" t="e">
        <f>'Alternative 1'!$B$39*$B80*$C80*COS($K$43)-($N$42/3)*$E80*SIN($K$43)-($N$42/3)*$F80*SIN($K$43)-($N$42/3)*$G80*SIN($K$43)</f>
        <v>#VALUE!</v>
      </c>
      <c r="AQ80" s="79" t="e">
        <f>IF(($A80&lt;'Alternative 1'!$B$27),(($H80*'Alternative 1'!$B$39)+(3*($N$42/3)*COS($K$43))),IF(($A80&lt;'Alternative 1'!$B$28),(($H80*'Alternative 1'!$B$39)+(2*(($N$42/3)*COS($K$43)))),IF(($A80&lt;'Alternative 1'!$B$29),(($H$3*'Alternative 1'!$B$39+(($N$42/3)*COS($K$43)))),($H80*'Alternative 1'!$B$39))))</f>
        <v>#VALUE!</v>
      </c>
      <c r="AR80" s="78" t="e">
        <f>AP80*'Alternative 1'!$K81/'Alternative 1'!$L81</f>
        <v>#VALUE!</v>
      </c>
      <c r="AS80" s="78" t="e">
        <f>AQ80/'Alternative 1'!$M81</f>
        <v>#VALUE!</v>
      </c>
      <c r="AT80" s="78" t="e">
        <f t="shared" si="24"/>
        <v>#VALUE!</v>
      </c>
      <c r="AV80" s="78" t="e">
        <f>'Alternative 1'!$B$39*$B80*$C80*COS($K$53)-($N$52/3)*$E80*SIN($K$53)-($N$52/3)*$F80*SIN($K$53)-($N$52/3)*$G80*SIN($K$53)</f>
        <v>#VALUE!</v>
      </c>
      <c r="AW80" s="79" t="e">
        <f>IF(($A80&lt;'Alternative 1'!$B$27),(($H80*'Alternative 1'!$B$39)+(3*($N$52/3)*COS($K$53))),IF(($A80&lt;'Alternative 1'!$B$28),(($H80*'Alternative 1'!$B$39)+(2*(($N$52/3)*COS($K$53)))),IF(($A80&lt;'Alternative 1'!$B$29),(($H$3*'Alternative 1'!$B$39+(($N$52/3)*COS($K$53)))),($H80*'Alternative 1'!$B$39))))</f>
        <v>#VALUE!</v>
      </c>
      <c r="AX80" s="78" t="e">
        <f>AV80*'Alternative 1'!$K81/'Alternative 1'!$L81</f>
        <v>#VALUE!</v>
      </c>
      <c r="AY80" s="78" t="e">
        <f>AW80/'Alternative 1'!$M81</f>
        <v>#VALUE!</v>
      </c>
      <c r="AZ80" s="78" t="e">
        <f t="shared" si="25"/>
        <v>#VALUE!</v>
      </c>
      <c r="BB80" s="78" t="e">
        <f>'Alternative 1'!$B$39*$B80*$C80*COS($K$63)-($N$62/3)*$E80*SIN($K$63)-($N$62/3)*$F80*SIN($K$63)-($N$62/3)*$G80*SIN($K$63)</f>
        <v>#VALUE!</v>
      </c>
      <c r="BC80" s="79" t="e">
        <f>IF(($A80&lt;'Alternative 1'!$B$27),(($H80*'Alternative 1'!$B$39)+(3*($N$62/3)*COS($K$63))),IF(($A80&lt;'Alternative 1'!$B$28),(($H80*'Alternative 1'!$B$39)+(2*(($N$62/3)*COS($K$63)))),IF(($A80&lt;'Alternative 1'!$B$29),(($H$3*'Alternative 1'!$B$39+(($N$62/3)*COS($K$63)))),($H80*'Alternative 1'!$B$39))))</f>
        <v>#VALUE!</v>
      </c>
      <c r="BD80" s="78" t="e">
        <f>BB80*'Alternative 1'!$K81/'Alternative 1'!$L81</f>
        <v>#VALUE!</v>
      </c>
      <c r="BE80" s="78" t="e">
        <f>BC80/'Alternative 1'!$M81</f>
        <v>#VALUE!</v>
      </c>
      <c r="BF80" s="78" t="e">
        <f t="shared" si="26"/>
        <v>#VALUE!</v>
      </c>
      <c r="BH80" s="78" t="e">
        <f>'Alternative 1'!$B$39*$B80*$C80*COS($K$73)-($N$72/3)*$E80*SIN($K$73)-($N$72/3)*$F80*SIN($K$73)-($N$72/3)*$G80*SIN($K$73)</f>
        <v>#VALUE!</v>
      </c>
      <c r="BI80" s="79" t="e">
        <f>IF(($A80&lt;'Alternative 1'!$B$27),(($H80*'Alternative 1'!$B$39)+(3*($N$72/3)*COS($K$73))),IF(($A80&lt;'Alternative 1'!$B$28),(($H80*'Alternative 1'!$B$39)+(2*(($N$72/3)*COS($K$73)))),IF(($A80&lt;'Alternative 1'!$B$29),(($H$3*'Alternative 1'!$B$39+(($N$72/3)*COS($K$73)))),($H80*'Alternative 1'!$B$39))))</f>
        <v>#VALUE!</v>
      </c>
      <c r="BJ80" s="78" t="e">
        <f>BH80*'Alternative 1'!$K81/'Alternative 1'!$L81</f>
        <v>#VALUE!</v>
      </c>
      <c r="BK80" s="78" t="e">
        <f>BI80/'Alternative 1'!$M81</f>
        <v>#VALUE!</v>
      </c>
      <c r="BL80" s="78" t="e">
        <f t="shared" si="27"/>
        <v>#VALUE!</v>
      </c>
      <c r="BN80" s="78" t="e">
        <f>'Alternative 1'!$B$39*$B80*$C80*COS($K$83)-($N$82/3)*$E80*SIN($K$83)-($N$82/3)*$F80*SIN($K$83)-($N$82/3)*$G80*SIN($K$83)</f>
        <v>#VALUE!</v>
      </c>
      <c r="BO80" s="79" t="e">
        <f>IF(($A80&lt;'Alternative 1'!$B$27),(($H80*'Alternative 1'!$B$39)+(3*($N$82/3)*COS($K$83))),IF(($A80&lt;'Alternative 1'!$B$28),(($H80*'Alternative 1'!$B$39)+(2*(($N$82/3)*COS($K$83)))),IF(($A80&lt;'Alternative 1'!$B$29),(($H$3*'Alternative 1'!$B$39+(($N$82/3)*COS($K$83)))),($H80*'Alternative 1'!$B$39))))</f>
        <v>#VALUE!</v>
      </c>
      <c r="BP80" s="78" t="e">
        <f>BN80*'Alternative 1'!$K81/'Alternative 1'!$L81</f>
        <v>#VALUE!</v>
      </c>
      <c r="BQ80" s="78" t="e">
        <f>BO80/'Alternative 1'!$M81</f>
        <v>#VALUE!</v>
      </c>
      <c r="BR80" s="78" t="e">
        <f t="shared" si="28"/>
        <v>#VALUE!</v>
      </c>
      <c r="BT80" s="78" t="e">
        <f>'Alternative 1'!$B$39*$B80*$C80*COS($K$93)-($K$92/3)*$E80*SIN($K$93)-($K$92/3)*$F80*SIN($K$93)-($K$92/3)*$G80*SIN($K$93)</f>
        <v>#VALUE!</v>
      </c>
      <c r="BU80" s="79" t="e">
        <f>IF(($A80&lt;'Alternative 1'!$B$27),(($H80*'Alternative 1'!$B$39)+(3*($N$92/3)*COS($K$93))),IF(($A80&lt;'Alternative 1'!$B$28),(($H80*'Alternative 1'!$B$39)+(2*(($N$92/3)*COS($K$93)))),IF(($A80&lt;'Alternative 1'!$B$29),(($H$3*'Alternative 1'!$B$39+(($N$92/3)*COS($K$93)))),($H80*'Alternative 1'!$B$39))))</f>
        <v>#VALUE!</v>
      </c>
      <c r="BV80" s="78" t="e">
        <f>BT80*'Alternative 1'!$K81/'Alternative 1'!$L81</f>
        <v>#VALUE!</v>
      </c>
      <c r="BW80" s="78" t="e">
        <f>BU80/'Alternative 1'!$M81</f>
        <v>#VALUE!</v>
      </c>
      <c r="BX80" s="78" t="e">
        <f t="shared" si="29"/>
        <v>#VALUE!</v>
      </c>
      <c r="BZ80" s="151"/>
      <c r="CA80" s="15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  <c r="CP80" s="281"/>
      <c r="CQ80" s="281"/>
      <c r="CR80" s="281"/>
      <c r="CS80" s="281"/>
      <c r="CT80" s="281"/>
      <c r="CU80" s="281"/>
      <c r="CV80" s="281"/>
      <c r="CW80" s="281"/>
      <c r="CX80" s="281"/>
      <c r="CY80" s="281"/>
      <c r="CZ80" s="281"/>
      <c r="DA80" s="281"/>
      <c r="DB80" s="281"/>
      <c r="DC80" s="281"/>
      <c r="DD80" s="281"/>
      <c r="DE80" s="281"/>
      <c r="DF80" s="281"/>
      <c r="DG80" s="281"/>
      <c r="DH80" s="281"/>
      <c r="DI80" s="281"/>
      <c r="DJ80" s="281"/>
      <c r="DK80" s="281"/>
    </row>
    <row r="81" spans="1:115" ht="15" customHeight="1" x14ac:dyDescent="0.25">
      <c r="A81" s="89" t="str">
        <f>IF('Alternative 1'!F82&gt;0,'Alternative 1'!F82,"x")</f>
        <v>x</v>
      </c>
      <c r="B81" s="89" t="e">
        <f t="shared" si="35"/>
        <v>#VALUE!</v>
      </c>
      <c r="C81" s="89">
        <f t="shared" si="30"/>
        <v>0</v>
      </c>
      <c r="D81" s="89" t="str">
        <f t="shared" si="31"/>
        <v>x</v>
      </c>
      <c r="E81" s="74">
        <f>IF($A81&lt;='Alternative 1'!$B$27, IF($A81='Alternative 1'!$B$27,0,E82+1),0)</f>
        <v>0</v>
      </c>
      <c r="F81" s="74">
        <f>IF($A81&lt;=('Alternative 1'!$B$28), IF($A81=ROUNDDOWN('Alternative 1'!$B$28,0),0,F82+1),0)</f>
        <v>0</v>
      </c>
      <c r="G81" s="74">
        <f>IF($A81&lt;=('Alternative 1'!$B$29), IF($A81=ROUNDDOWN('Alternative 1'!$B$29,0),0,G82+1),0)</f>
        <v>0</v>
      </c>
      <c r="H81" s="89" t="e">
        <f t="shared" si="32"/>
        <v>#VALUE!</v>
      </c>
      <c r="J81" s="77">
        <f t="shared" si="33"/>
        <v>78</v>
      </c>
      <c r="K81" s="77">
        <f t="shared" si="34"/>
        <v>1.3613568165555769</v>
      </c>
      <c r="L81" s="78">
        <f>'Alternative 1'!$B$27*SIN(K81)+'Alternative 1'!$B$28*SIN(K81)+'Alternative 1'!$B$29*SIN(K81)</f>
        <v>66.514036849898787</v>
      </c>
      <c r="M81" s="77">
        <f>(('Alternative 1'!$B$27)*(((('Alternative 1'!$B$28-'Alternative 1'!$B$27)/2)+'Alternative 1'!$B$27)*'Alternative 1'!$B$39)*COS('Alternative 1-Tilt Up'!K81))+(('Alternative 1'!$B$28)*((('Alternative 1'!$B$28-'Alternative 1'!$B$27)/2)+(('Alternative 1'!$B$29-'Alternative 1'!$B$28)/2))*('Alternative 1'!$B$39)*COS('Alternative 1-Tilt Up'!K81))+(('Alternative 1'!$B$29)*((('Alternative 1'!$B$12-'Alternative 1'!$B$29+(('Alternative 1'!$B$29-'Alternative 1'!$B$28)/2)*('Alternative 1'!$B$39)*COS('Alternative 1-Tilt Up'!K81)))))</f>
        <v>986927.21584632911</v>
      </c>
      <c r="N81" s="77">
        <f t="shared" si="18"/>
        <v>44513.636335448085</v>
      </c>
      <c r="O81" s="77">
        <f>(((('Alternative 1'!$B$28-'Alternative 1'!$B$27)/2)+'Alternative 1'!$B$27)*('Alternative 1'!$B$39)*COS('Alternative 1-Tilt Up'!K81))+(((('Alternative 1'!$B$28-'Alternative 1'!$B$27)/2)+(('Alternative 1'!$B$29-'Alternative 1'!$B$28)/2))*('Alternative 1'!$B$39)*COS('Alternative 1-Tilt Up'!K81))+(((('Alternative 1'!$B$12-'Alternative 1'!$B$29)+(('Alternative 1'!$B$29-'Alternative 1'!$B$28)/2))*('Alternative 1'!$B$39)*COS('Alternative 1-Tilt Up'!K81)))</f>
        <v>63645.907379380806</v>
      </c>
      <c r="P81" s="77">
        <f t="shared" si="19"/>
        <v>9254.9053949498648</v>
      </c>
      <c r="R81" s="78" t="e">
        <f>'Alternative 1'!$B$39*$B81*$C81*COS($K$5)-($N$5/3)*$E81*SIN($K$5)-($N$5/3)*$F81*SIN($K$5)-($N$5/3)*$G81*SIN($K$5)</f>
        <v>#VALUE!</v>
      </c>
      <c r="S81" s="79" t="e">
        <f>IF(($A81&lt;'Alternative 1'!$B$27),(($H81*'Alternative 1'!$B$39)+(3*($N$5/3)*COS($K$5))),IF(($A81&lt;'Alternative 1'!$B$28),(($H81*'Alternative 1'!$B$39)+(2*(($N$5/3)*COS($K$5)))),IF(($A81&lt;'Alternative 1'!$B$29),(($H$3*'Alternative 1'!$B$39+(($N$5/3)*COS($K$5)))),($H81*'Alternative 1'!$B$39))))</f>
        <v>#VALUE!</v>
      </c>
      <c r="T81" s="78" t="e">
        <f>R81*'Alternative 1'!$K82/'Alternative 1'!$L82</f>
        <v>#VALUE!</v>
      </c>
      <c r="U81" s="78" t="e">
        <f>S81/'Alternative 1'!$M82</f>
        <v>#VALUE!</v>
      </c>
      <c r="V81" s="78" t="e">
        <f t="shared" si="20"/>
        <v>#VALUE!</v>
      </c>
      <c r="X81" s="78" t="e">
        <f>'Alternative 1'!$B$39*$B81*$C81*COS($K$13)-($N$12/3)*$E81*SIN($K$13)-($N$12/3)*$F81*SIN($K$13)-($N$12/3)*$G81*SIN($K$13)</f>
        <v>#VALUE!</v>
      </c>
      <c r="Y81" s="79" t="e">
        <f>IF(($A81&lt;'Alternative 1'!$B$27),(($H81*'Alternative 1'!$B$39)+(3*($N$12/3)*COS($K$13))),IF(($A81&lt;'Alternative 1'!$B$28),(($H81*'Alternative 1'!$B$39)+(2*(($N$12/3)*COS($K$13)))),IF(($A81&lt;'Alternative 1'!$B$29),(($H$3*'Alternative 1'!$B$39+(($N$12/3)*COS($K$13)))),($H81*'Alternative 1'!$B$39))))</f>
        <v>#VALUE!</v>
      </c>
      <c r="Z81" s="78" t="e">
        <f>X81*'Alternative 1'!$K82/'Alternative 1'!$L82</f>
        <v>#VALUE!</v>
      </c>
      <c r="AA81" s="78" t="e">
        <f>Y81/'Alternative 1'!$M82</f>
        <v>#VALUE!</v>
      </c>
      <c r="AB81" s="78" t="e">
        <f t="shared" si="21"/>
        <v>#VALUE!</v>
      </c>
      <c r="AD81" s="78" t="e">
        <f>'Alternative 1'!$B$39*$B81*$C81*COS($K$23)-($N$22/3)*$E81*SIN($K$23)-($N$22/3)*$F81*SIN($K$23)-($N$22/3)*$G81*SIN($K$23)</f>
        <v>#VALUE!</v>
      </c>
      <c r="AE81" s="79" t="e">
        <f>IF(($A81&lt;'Alternative 1'!$B$27),(($H81*'Alternative 1'!$B$39)+(3*($N$22/3)*COS($K$23))),IF(($A81&lt;'Alternative 1'!$B$28),(($H81*'Alternative 1'!$B$39)+(2*(($N$22/3)*COS($K$23)))),IF(($A81&lt;'Alternative 1'!$B$29),(($H$3*'Alternative 1'!$B$39+(($N$22/3)*COS($K$23)))),($H81*'Alternative 1'!$B$39))))</f>
        <v>#VALUE!</v>
      </c>
      <c r="AF81" s="78" t="e">
        <f>AD81*'Alternative 1'!$K82/'Alternative 1'!$L82</f>
        <v>#VALUE!</v>
      </c>
      <c r="AG81" s="78" t="e">
        <f>AE81/'Alternative 1'!$M82</f>
        <v>#VALUE!</v>
      </c>
      <c r="AH81" s="78" t="e">
        <f t="shared" si="22"/>
        <v>#VALUE!</v>
      </c>
      <c r="AJ81" s="78" t="e">
        <f>'Alternative 1'!$B$39*$B81*$C81*COS($K$33)-($N$32/3)*$E81*SIN($K$33)-($N$32/3)*$F81*SIN($K$33)-($N$32/3)*$G81*SIN($K$33)</f>
        <v>#VALUE!</v>
      </c>
      <c r="AK81" s="79" t="e">
        <f>IF(($A81&lt;'Alternative 1'!$B$27),(($H81*'Alternative 1'!$B$39)+(3*($N$32/3)*COS($K$33))),IF(($A81&lt;'Alternative 1'!$B$28),(($H81*'Alternative 1'!$B$39)+(2*(($N$32/3)*COS($K$33)))),IF(($A81&lt;'Alternative 1'!$B$29),(($H$3*'Alternative 1'!$B$39+(($N$32/3)*COS($K$33)))),($H81*'Alternative 1'!$B$39))))</f>
        <v>#VALUE!</v>
      </c>
      <c r="AL81" s="78" t="e">
        <f>AJ81*'Alternative 1'!$K82/'Alternative 1'!$L82</f>
        <v>#VALUE!</v>
      </c>
      <c r="AM81" s="78" t="e">
        <f>AK81/'Alternative 1'!$M82</f>
        <v>#VALUE!</v>
      </c>
      <c r="AN81" s="78" t="e">
        <f t="shared" si="23"/>
        <v>#VALUE!</v>
      </c>
      <c r="AP81" s="78" t="e">
        <f>'Alternative 1'!$B$39*$B81*$C81*COS($K$43)-($N$42/3)*$E81*SIN($K$43)-($N$42/3)*$F81*SIN($K$43)-($N$42/3)*$G81*SIN($K$43)</f>
        <v>#VALUE!</v>
      </c>
      <c r="AQ81" s="79" t="e">
        <f>IF(($A81&lt;'Alternative 1'!$B$27),(($H81*'Alternative 1'!$B$39)+(3*($N$42/3)*COS($K$43))),IF(($A81&lt;'Alternative 1'!$B$28),(($H81*'Alternative 1'!$B$39)+(2*(($N$42/3)*COS($K$43)))),IF(($A81&lt;'Alternative 1'!$B$29),(($H$3*'Alternative 1'!$B$39+(($N$42/3)*COS($K$43)))),($H81*'Alternative 1'!$B$39))))</f>
        <v>#VALUE!</v>
      </c>
      <c r="AR81" s="78" t="e">
        <f>AP81*'Alternative 1'!$K82/'Alternative 1'!$L82</f>
        <v>#VALUE!</v>
      </c>
      <c r="AS81" s="78" t="e">
        <f>AQ81/'Alternative 1'!$M82</f>
        <v>#VALUE!</v>
      </c>
      <c r="AT81" s="78" t="e">
        <f t="shared" si="24"/>
        <v>#VALUE!</v>
      </c>
      <c r="AV81" s="78" t="e">
        <f>'Alternative 1'!$B$39*$B81*$C81*COS($K$53)-($N$52/3)*$E81*SIN($K$53)-($N$52/3)*$F81*SIN($K$53)-($N$52/3)*$G81*SIN($K$53)</f>
        <v>#VALUE!</v>
      </c>
      <c r="AW81" s="79" t="e">
        <f>IF(($A81&lt;'Alternative 1'!$B$27),(($H81*'Alternative 1'!$B$39)+(3*($N$52/3)*COS($K$53))),IF(($A81&lt;'Alternative 1'!$B$28),(($H81*'Alternative 1'!$B$39)+(2*(($N$52/3)*COS($K$53)))),IF(($A81&lt;'Alternative 1'!$B$29),(($H$3*'Alternative 1'!$B$39+(($N$52/3)*COS($K$53)))),($H81*'Alternative 1'!$B$39))))</f>
        <v>#VALUE!</v>
      </c>
      <c r="AX81" s="78" t="e">
        <f>AV81*'Alternative 1'!$K82/'Alternative 1'!$L82</f>
        <v>#VALUE!</v>
      </c>
      <c r="AY81" s="78" t="e">
        <f>AW81/'Alternative 1'!$M82</f>
        <v>#VALUE!</v>
      </c>
      <c r="AZ81" s="78" t="e">
        <f t="shared" si="25"/>
        <v>#VALUE!</v>
      </c>
      <c r="BB81" s="78" t="e">
        <f>'Alternative 1'!$B$39*$B81*$C81*COS($K$63)-($N$62/3)*$E81*SIN($K$63)-($N$62/3)*$F81*SIN($K$63)-($N$62/3)*$G81*SIN($K$63)</f>
        <v>#VALUE!</v>
      </c>
      <c r="BC81" s="79" t="e">
        <f>IF(($A81&lt;'Alternative 1'!$B$27),(($H81*'Alternative 1'!$B$39)+(3*($N$62/3)*COS($K$63))),IF(($A81&lt;'Alternative 1'!$B$28),(($H81*'Alternative 1'!$B$39)+(2*(($N$62/3)*COS($K$63)))),IF(($A81&lt;'Alternative 1'!$B$29),(($H$3*'Alternative 1'!$B$39+(($N$62/3)*COS($K$63)))),($H81*'Alternative 1'!$B$39))))</f>
        <v>#VALUE!</v>
      </c>
      <c r="BD81" s="78" t="e">
        <f>BB81*'Alternative 1'!$K82/'Alternative 1'!$L82</f>
        <v>#VALUE!</v>
      </c>
      <c r="BE81" s="78" t="e">
        <f>BC81/'Alternative 1'!$M82</f>
        <v>#VALUE!</v>
      </c>
      <c r="BF81" s="78" t="e">
        <f t="shared" si="26"/>
        <v>#VALUE!</v>
      </c>
      <c r="BH81" s="78" t="e">
        <f>'Alternative 1'!$B$39*$B81*$C81*COS($K$73)-($N$72/3)*$E81*SIN($K$73)-($N$72/3)*$F81*SIN($K$73)-($N$72/3)*$G81*SIN($K$73)</f>
        <v>#VALUE!</v>
      </c>
      <c r="BI81" s="79" t="e">
        <f>IF(($A81&lt;'Alternative 1'!$B$27),(($H81*'Alternative 1'!$B$39)+(3*($N$72/3)*COS($K$73))),IF(($A81&lt;'Alternative 1'!$B$28),(($H81*'Alternative 1'!$B$39)+(2*(($N$72/3)*COS($K$73)))),IF(($A81&lt;'Alternative 1'!$B$29),(($H$3*'Alternative 1'!$B$39+(($N$72/3)*COS($K$73)))),($H81*'Alternative 1'!$B$39))))</f>
        <v>#VALUE!</v>
      </c>
      <c r="BJ81" s="78" t="e">
        <f>BH81*'Alternative 1'!$K82/'Alternative 1'!$L82</f>
        <v>#VALUE!</v>
      </c>
      <c r="BK81" s="78" t="e">
        <f>BI81/'Alternative 1'!$M82</f>
        <v>#VALUE!</v>
      </c>
      <c r="BL81" s="78" t="e">
        <f t="shared" si="27"/>
        <v>#VALUE!</v>
      </c>
      <c r="BN81" s="78" t="e">
        <f>'Alternative 1'!$B$39*$B81*$C81*COS($K$83)-($N$82/3)*$E81*SIN($K$83)-($N$82/3)*$F81*SIN($K$83)-($N$82/3)*$G81*SIN($K$83)</f>
        <v>#VALUE!</v>
      </c>
      <c r="BO81" s="79" t="e">
        <f>IF(($A81&lt;'Alternative 1'!$B$27),(($H81*'Alternative 1'!$B$39)+(3*($N$82/3)*COS($K$83))),IF(($A81&lt;'Alternative 1'!$B$28),(($H81*'Alternative 1'!$B$39)+(2*(($N$82/3)*COS($K$83)))),IF(($A81&lt;'Alternative 1'!$B$29),(($H$3*'Alternative 1'!$B$39+(($N$82/3)*COS($K$83)))),($H81*'Alternative 1'!$B$39))))</f>
        <v>#VALUE!</v>
      </c>
      <c r="BP81" s="78" t="e">
        <f>BN81*'Alternative 1'!$K82/'Alternative 1'!$L82</f>
        <v>#VALUE!</v>
      </c>
      <c r="BQ81" s="78" t="e">
        <f>BO81/'Alternative 1'!$M82</f>
        <v>#VALUE!</v>
      </c>
      <c r="BR81" s="78" t="e">
        <f t="shared" si="28"/>
        <v>#VALUE!</v>
      </c>
      <c r="BT81" s="78" t="e">
        <f>'Alternative 1'!$B$39*$B81*$C81*COS($K$93)-($K$92/3)*$E81*SIN($K$93)-($K$92/3)*$F81*SIN($K$93)-($K$92/3)*$G81*SIN($K$93)</f>
        <v>#VALUE!</v>
      </c>
      <c r="BU81" s="79" t="e">
        <f>IF(($A81&lt;'Alternative 1'!$B$27),(($H81*'Alternative 1'!$B$39)+(3*($N$92/3)*COS($K$93))),IF(($A81&lt;'Alternative 1'!$B$28),(($H81*'Alternative 1'!$B$39)+(2*(($N$92/3)*COS($K$93)))),IF(($A81&lt;'Alternative 1'!$B$29),(($H$3*'Alternative 1'!$B$39+(($N$92/3)*COS($K$93)))),($H81*'Alternative 1'!$B$39))))</f>
        <v>#VALUE!</v>
      </c>
      <c r="BV81" s="78" t="e">
        <f>BT81*'Alternative 1'!$K82/'Alternative 1'!$L82</f>
        <v>#VALUE!</v>
      </c>
      <c r="BW81" s="78" t="e">
        <f>BU81/'Alternative 1'!$M82</f>
        <v>#VALUE!</v>
      </c>
      <c r="BX81" s="78" t="e">
        <f t="shared" si="29"/>
        <v>#VALUE!</v>
      </c>
      <c r="BZ81" s="151"/>
      <c r="CA81" s="15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  <c r="DB81" s="281"/>
      <c r="DC81" s="281"/>
      <c r="DD81" s="281"/>
      <c r="DE81" s="281"/>
      <c r="DF81" s="281"/>
      <c r="DG81" s="281"/>
      <c r="DH81" s="281"/>
      <c r="DI81" s="281"/>
      <c r="DJ81" s="281"/>
      <c r="DK81" s="281"/>
    </row>
    <row r="82" spans="1:115" ht="15" customHeight="1" x14ac:dyDescent="0.25">
      <c r="A82" s="89" t="str">
        <f>IF('Alternative 1'!F83&gt;0,'Alternative 1'!F83,"x")</f>
        <v>x</v>
      </c>
      <c r="B82" s="89" t="e">
        <f t="shared" si="35"/>
        <v>#VALUE!</v>
      </c>
      <c r="C82" s="89">
        <f t="shared" si="30"/>
        <v>0</v>
      </c>
      <c r="D82" s="89" t="str">
        <f t="shared" si="31"/>
        <v>x</v>
      </c>
      <c r="E82" s="74">
        <f>IF($A82&lt;='Alternative 1'!$B$27, IF($A82='Alternative 1'!$B$27,0,E83+1),0)</f>
        <v>0</v>
      </c>
      <c r="F82" s="74">
        <f>IF($A82&lt;=('Alternative 1'!$B$28), IF($A82=ROUNDDOWN('Alternative 1'!$B$28,0),0,F83+1),0)</f>
        <v>0</v>
      </c>
      <c r="G82" s="74">
        <f>IF($A82&lt;=('Alternative 1'!$B$29), IF($A82=ROUNDDOWN('Alternative 1'!$B$29,0),0,G83+1),0)</f>
        <v>0</v>
      </c>
      <c r="H82" s="89" t="e">
        <f t="shared" si="32"/>
        <v>#VALUE!</v>
      </c>
      <c r="J82" s="77">
        <f t="shared" si="33"/>
        <v>79</v>
      </c>
      <c r="K82" s="77">
        <f t="shared" si="34"/>
        <v>1.3788101090755203</v>
      </c>
      <c r="L82" s="78">
        <f>'Alternative 1'!$B$27*SIN(K82)+'Alternative 1'!$B$28*SIN(K82)+'Alternative 1'!$B$29*SIN(K82)</f>
        <v>66.750648474441149</v>
      </c>
      <c r="M82" s="77">
        <f>(('Alternative 1'!$B$27)*(((('Alternative 1'!$B$28-'Alternative 1'!$B$27)/2)+'Alternative 1'!$B$27)*'Alternative 1'!$B$39)*COS('Alternative 1-Tilt Up'!K82))+(('Alternative 1'!$B$28)*((('Alternative 1'!$B$28-'Alternative 1'!$B$27)/2)+(('Alternative 1'!$B$29-'Alternative 1'!$B$28)/2))*('Alternative 1'!$B$39)*COS('Alternative 1-Tilt Up'!K82))+(('Alternative 1'!$B$29)*((('Alternative 1'!$B$12-'Alternative 1'!$B$29+(('Alternative 1'!$B$29-'Alternative 1'!$B$28)/2)*('Alternative 1'!$B$39)*COS('Alternative 1-Tilt Up'!K82)))))</f>
        <v>905759.24636001699</v>
      </c>
      <c r="N82" s="82">
        <f t="shared" si="18"/>
        <v>40707.885259279508</v>
      </c>
      <c r="O82" s="77">
        <f>(((('Alternative 1'!$B$28-'Alternative 1'!$B$27)/2)+'Alternative 1'!$B$27)*('Alternative 1'!$B$39)*COS('Alternative 1-Tilt Up'!K82))+(((('Alternative 1'!$B$28-'Alternative 1'!$B$27)/2)+(('Alternative 1'!$B$29-'Alternative 1'!$B$28)/2))*('Alternative 1'!$B$39)*COS('Alternative 1-Tilt Up'!K82))+(((('Alternative 1'!$B$12-'Alternative 1'!$B$29)+(('Alternative 1'!$B$29-'Alternative 1'!$B$28)/2))*('Alternative 1'!$B$39)*COS('Alternative 1-Tilt Up'!K82)))</f>
        <v>58410.431847880187</v>
      </c>
      <c r="P82" s="80">
        <f t="shared" si="19"/>
        <v>7767.4306902267845</v>
      </c>
      <c r="R82" s="78" t="e">
        <f>'Alternative 1'!$B$39*$B82*$C82*COS($K$5)-($N$5/3)*$E82*SIN($K$5)-($N$5/3)*$F82*SIN($K$5)-($N$5/3)*$G82*SIN($K$5)</f>
        <v>#VALUE!</v>
      </c>
      <c r="S82" s="79" t="e">
        <f>IF(($A82&lt;'Alternative 1'!$B$27),(($H82*'Alternative 1'!$B$39)+(3*($N$5/3)*COS($K$5))),IF(($A82&lt;'Alternative 1'!$B$28),(($H82*'Alternative 1'!$B$39)+(2*(($N$5/3)*COS($K$5)))),IF(($A82&lt;'Alternative 1'!$B$29),(($H$3*'Alternative 1'!$B$39+(($N$5/3)*COS($K$5)))),($H82*'Alternative 1'!$B$39))))</f>
        <v>#VALUE!</v>
      </c>
      <c r="T82" s="78" t="e">
        <f>R82*'Alternative 1'!$K83/'Alternative 1'!$L83</f>
        <v>#VALUE!</v>
      </c>
      <c r="U82" s="78" t="e">
        <f>S82/'Alternative 1'!$M83</f>
        <v>#VALUE!</v>
      </c>
      <c r="V82" s="78" t="e">
        <f t="shared" si="20"/>
        <v>#VALUE!</v>
      </c>
      <c r="X82" s="78" t="e">
        <f>'Alternative 1'!$B$39*$B82*$C82*COS($K$13)-($N$12/3)*$E82*SIN($K$13)-($N$12/3)*$F82*SIN($K$13)-($N$12/3)*$G82*SIN($K$13)</f>
        <v>#VALUE!</v>
      </c>
      <c r="Y82" s="79" t="e">
        <f>IF(($A82&lt;'Alternative 1'!$B$27),(($H82*'Alternative 1'!$B$39)+(3*($N$12/3)*COS($K$13))),IF(($A82&lt;'Alternative 1'!$B$28),(($H82*'Alternative 1'!$B$39)+(2*(($N$12/3)*COS($K$13)))),IF(($A82&lt;'Alternative 1'!$B$29),(($H$3*'Alternative 1'!$B$39+(($N$12/3)*COS($K$13)))),($H82*'Alternative 1'!$B$39))))</f>
        <v>#VALUE!</v>
      </c>
      <c r="Z82" s="78" t="e">
        <f>X82*'Alternative 1'!$K83/'Alternative 1'!$L83</f>
        <v>#VALUE!</v>
      </c>
      <c r="AA82" s="78" t="e">
        <f>Y82/'Alternative 1'!$M83</f>
        <v>#VALUE!</v>
      </c>
      <c r="AB82" s="78" t="e">
        <f t="shared" si="21"/>
        <v>#VALUE!</v>
      </c>
      <c r="AD82" s="78" t="e">
        <f>'Alternative 1'!$B$39*$B82*$C82*COS($K$23)-($N$22/3)*$E82*SIN($K$23)-($N$22/3)*$F82*SIN($K$23)-($N$22/3)*$G82*SIN($K$23)</f>
        <v>#VALUE!</v>
      </c>
      <c r="AE82" s="79" t="e">
        <f>IF(($A82&lt;'Alternative 1'!$B$27),(($H82*'Alternative 1'!$B$39)+(3*($N$22/3)*COS($K$23))),IF(($A82&lt;'Alternative 1'!$B$28),(($H82*'Alternative 1'!$B$39)+(2*(($N$22/3)*COS($K$23)))),IF(($A82&lt;'Alternative 1'!$B$29),(($H$3*'Alternative 1'!$B$39+(($N$22/3)*COS($K$23)))),($H82*'Alternative 1'!$B$39))))</f>
        <v>#VALUE!</v>
      </c>
      <c r="AF82" s="78" t="e">
        <f>AD82*'Alternative 1'!$K83/'Alternative 1'!$L83</f>
        <v>#VALUE!</v>
      </c>
      <c r="AG82" s="78" t="e">
        <f>AE82/'Alternative 1'!$M83</f>
        <v>#VALUE!</v>
      </c>
      <c r="AH82" s="78" t="e">
        <f t="shared" si="22"/>
        <v>#VALUE!</v>
      </c>
      <c r="AJ82" s="78" t="e">
        <f>'Alternative 1'!$B$39*$B82*$C82*COS($K$33)-($N$32/3)*$E82*SIN($K$33)-($N$32/3)*$F82*SIN($K$33)-($N$32/3)*$G82*SIN($K$33)</f>
        <v>#VALUE!</v>
      </c>
      <c r="AK82" s="79" t="e">
        <f>IF(($A82&lt;'Alternative 1'!$B$27),(($H82*'Alternative 1'!$B$39)+(3*($N$32/3)*COS($K$33))),IF(($A82&lt;'Alternative 1'!$B$28),(($H82*'Alternative 1'!$B$39)+(2*(($N$32/3)*COS($K$33)))),IF(($A82&lt;'Alternative 1'!$B$29),(($H$3*'Alternative 1'!$B$39+(($N$32/3)*COS($K$33)))),($H82*'Alternative 1'!$B$39))))</f>
        <v>#VALUE!</v>
      </c>
      <c r="AL82" s="78" t="e">
        <f>AJ82*'Alternative 1'!$K83/'Alternative 1'!$L83</f>
        <v>#VALUE!</v>
      </c>
      <c r="AM82" s="78" t="e">
        <f>AK82/'Alternative 1'!$M83</f>
        <v>#VALUE!</v>
      </c>
      <c r="AN82" s="78" t="e">
        <f t="shared" si="23"/>
        <v>#VALUE!</v>
      </c>
      <c r="AP82" s="78" t="e">
        <f>'Alternative 1'!$B$39*$B82*$C82*COS($K$43)-($N$42/3)*$E82*SIN($K$43)-($N$42/3)*$F82*SIN($K$43)-($N$42/3)*$G82*SIN($K$43)</f>
        <v>#VALUE!</v>
      </c>
      <c r="AQ82" s="79" t="e">
        <f>IF(($A82&lt;'Alternative 1'!$B$27),(($H82*'Alternative 1'!$B$39)+(3*($N$42/3)*COS($K$43))),IF(($A82&lt;'Alternative 1'!$B$28),(($H82*'Alternative 1'!$B$39)+(2*(($N$42/3)*COS($K$43)))),IF(($A82&lt;'Alternative 1'!$B$29),(($H$3*'Alternative 1'!$B$39+(($N$42/3)*COS($K$43)))),($H82*'Alternative 1'!$B$39))))</f>
        <v>#VALUE!</v>
      </c>
      <c r="AR82" s="78" t="e">
        <f>AP82*'Alternative 1'!$K83/'Alternative 1'!$L83</f>
        <v>#VALUE!</v>
      </c>
      <c r="AS82" s="78" t="e">
        <f>AQ82/'Alternative 1'!$M83</f>
        <v>#VALUE!</v>
      </c>
      <c r="AT82" s="78" t="e">
        <f t="shared" si="24"/>
        <v>#VALUE!</v>
      </c>
      <c r="AV82" s="78" t="e">
        <f>'Alternative 1'!$B$39*$B82*$C82*COS($K$53)-($N$52/3)*$E82*SIN($K$53)-($N$52/3)*$F82*SIN($K$53)-($N$52/3)*$G82*SIN($K$53)</f>
        <v>#VALUE!</v>
      </c>
      <c r="AW82" s="79" t="e">
        <f>IF(($A82&lt;'Alternative 1'!$B$27),(($H82*'Alternative 1'!$B$39)+(3*($N$52/3)*COS($K$53))),IF(($A82&lt;'Alternative 1'!$B$28),(($H82*'Alternative 1'!$B$39)+(2*(($N$52/3)*COS($K$53)))),IF(($A82&lt;'Alternative 1'!$B$29),(($H$3*'Alternative 1'!$B$39+(($N$52/3)*COS($K$53)))),($H82*'Alternative 1'!$B$39))))</f>
        <v>#VALUE!</v>
      </c>
      <c r="AX82" s="78" t="e">
        <f>AV82*'Alternative 1'!$K83/'Alternative 1'!$L83</f>
        <v>#VALUE!</v>
      </c>
      <c r="AY82" s="78" t="e">
        <f>AW82/'Alternative 1'!$M83</f>
        <v>#VALUE!</v>
      </c>
      <c r="AZ82" s="78" t="e">
        <f t="shared" si="25"/>
        <v>#VALUE!</v>
      </c>
      <c r="BB82" s="78" t="e">
        <f>'Alternative 1'!$B$39*$B82*$C82*COS($K$63)-($N$62/3)*$E82*SIN($K$63)-($N$62/3)*$F82*SIN($K$63)-($N$62/3)*$G82*SIN($K$63)</f>
        <v>#VALUE!</v>
      </c>
      <c r="BC82" s="79" t="e">
        <f>IF(($A82&lt;'Alternative 1'!$B$27),(($H82*'Alternative 1'!$B$39)+(3*($N$62/3)*COS($K$63))),IF(($A82&lt;'Alternative 1'!$B$28),(($H82*'Alternative 1'!$B$39)+(2*(($N$62/3)*COS($K$63)))),IF(($A82&lt;'Alternative 1'!$B$29),(($H$3*'Alternative 1'!$B$39+(($N$62/3)*COS($K$63)))),($H82*'Alternative 1'!$B$39))))</f>
        <v>#VALUE!</v>
      </c>
      <c r="BD82" s="78" t="e">
        <f>BB82*'Alternative 1'!$K83/'Alternative 1'!$L83</f>
        <v>#VALUE!</v>
      </c>
      <c r="BE82" s="78" t="e">
        <f>BC82/'Alternative 1'!$M83</f>
        <v>#VALUE!</v>
      </c>
      <c r="BF82" s="78" t="e">
        <f t="shared" si="26"/>
        <v>#VALUE!</v>
      </c>
      <c r="BH82" s="78" t="e">
        <f>'Alternative 1'!$B$39*$B82*$C82*COS($K$73)-($N$72/3)*$E82*SIN($K$73)-($N$72/3)*$F82*SIN($K$73)-($N$72/3)*$G82*SIN($K$73)</f>
        <v>#VALUE!</v>
      </c>
      <c r="BI82" s="79" t="e">
        <f>IF(($A82&lt;'Alternative 1'!$B$27),(($H82*'Alternative 1'!$B$39)+(3*($N$72/3)*COS($K$73))),IF(($A82&lt;'Alternative 1'!$B$28),(($H82*'Alternative 1'!$B$39)+(2*(($N$72/3)*COS($K$73)))),IF(($A82&lt;'Alternative 1'!$B$29),(($H$3*'Alternative 1'!$B$39+(($N$72/3)*COS($K$73)))),($H82*'Alternative 1'!$B$39))))</f>
        <v>#VALUE!</v>
      </c>
      <c r="BJ82" s="78" t="e">
        <f>BH82*'Alternative 1'!$K83/'Alternative 1'!$L83</f>
        <v>#VALUE!</v>
      </c>
      <c r="BK82" s="78" t="e">
        <f>BI82/'Alternative 1'!$M83</f>
        <v>#VALUE!</v>
      </c>
      <c r="BL82" s="78" t="e">
        <f t="shared" si="27"/>
        <v>#VALUE!</v>
      </c>
      <c r="BN82" s="78" t="e">
        <f>'Alternative 1'!$B$39*$B82*$C82*COS($K$83)-($N$82/3)*$E82*SIN($K$83)-($N$82/3)*$F82*SIN($K$83)-($N$82/3)*$G82*SIN($K$83)</f>
        <v>#VALUE!</v>
      </c>
      <c r="BO82" s="79" t="e">
        <f>IF(($A82&lt;'Alternative 1'!$B$27),(($H82*'Alternative 1'!$B$39)+(3*($N$82/3)*COS($K$83))),IF(($A82&lt;'Alternative 1'!$B$28),(($H82*'Alternative 1'!$B$39)+(2*(($N$82/3)*COS($K$83)))),IF(($A82&lt;'Alternative 1'!$B$29),(($H$3*'Alternative 1'!$B$39+(($N$82/3)*COS($K$83)))),($H82*'Alternative 1'!$B$39))))</f>
        <v>#VALUE!</v>
      </c>
      <c r="BP82" s="78" t="e">
        <f>BN82*'Alternative 1'!$K83/'Alternative 1'!$L83</f>
        <v>#VALUE!</v>
      </c>
      <c r="BQ82" s="78" t="e">
        <f>BO82/'Alternative 1'!$M83</f>
        <v>#VALUE!</v>
      </c>
      <c r="BR82" s="78" t="e">
        <f t="shared" si="28"/>
        <v>#VALUE!</v>
      </c>
      <c r="BT82" s="78" t="e">
        <f>'Alternative 1'!$B$39*$B82*$C82*COS($K$93)-($K$92/3)*$E82*SIN($K$93)-($K$92/3)*$F82*SIN($K$93)-($K$92/3)*$G82*SIN($K$93)</f>
        <v>#VALUE!</v>
      </c>
      <c r="BU82" s="79" t="e">
        <f>IF(($A82&lt;'Alternative 1'!$B$27),(($H82*'Alternative 1'!$B$39)+(3*($N$92/3)*COS($K$93))),IF(($A82&lt;'Alternative 1'!$B$28),(($H82*'Alternative 1'!$B$39)+(2*(($N$92/3)*COS($K$93)))),IF(($A82&lt;'Alternative 1'!$B$29),(($H$3*'Alternative 1'!$B$39+(($N$92/3)*COS($K$93)))),($H82*'Alternative 1'!$B$39))))</f>
        <v>#VALUE!</v>
      </c>
      <c r="BV82" s="78" t="e">
        <f>BT82*'Alternative 1'!$K83/'Alternative 1'!$L83</f>
        <v>#VALUE!</v>
      </c>
      <c r="BW82" s="78" t="e">
        <f>BU82/'Alternative 1'!$M83</f>
        <v>#VALUE!</v>
      </c>
      <c r="BX82" s="78" t="e">
        <f t="shared" si="29"/>
        <v>#VALUE!</v>
      </c>
      <c r="BZ82" s="151"/>
      <c r="CA82" s="15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1"/>
      <c r="DG82" s="281"/>
      <c r="DH82" s="281"/>
      <c r="DI82" s="281"/>
      <c r="DJ82" s="281"/>
      <c r="DK82" s="281"/>
    </row>
    <row r="83" spans="1:115" ht="15" customHeight="1" x14ac:dyDescent="0.25">
      <c r="A83" s="89" t="str">
        <f>IF('Alternative 1'!F84&gt;0,'Alternative 1'!F84,"x")</f>
        <v>x</v>
      </c>
      <c r="B83" s="89" t="e">
        <f t="shared" si="35"/>
        <v>#VALUE!</v>
      </c>
      <c r="C83" s="89">
        <f t="shared" si="30"/>
        <v>0</v>
      </c>
      <c r="D83" s="89" t="str">
        <f t="shared" si="31"/>
        <v>x</v>
      </c>
      <c r="E83" s="74">
        <f>IF($A83&lt;='Alternative 1'!$B$27, IF($A83='Alternative 1'!$B$27,0,E84+1),0)</f>
        <v>0</v>
      </c>
      <c r="F83" s="74">
        <f>IF($A83&lt;=('Alternative 1'!$B$28), IF($A83=ROUNDDOWN('Alternative 1'!$B$28,0),0,F84+1),0)</f>
        <v>0</v>
      </c>
      <c r="G83" s="74">
        <f>IF($A83&lt;=('Alternative 1'!$B$29), IF($A83=ROUNDDOWN('Alternative 1'!$B$29,0),0,G84+1),0)</f>
        <v>0</v>
      </c>
      <c r="H83" s="89" t="e">
        <f t="shared" si="32"/>
        <v>#VALUE!</v>
      </c>
      <c r="J83" s="77">
        <f t="shared" si="33"/>
        <v>80</v>
      </c>
      <c r="K83" s="82">
        <f t="shared" si="34"/>
        <v>1.3962634015954636</v>
      </c>
      <c r="L83" s="78">
        <f>'Alternative 1'!$B$27*SIN(K83)+'Alternative 1'!$B$28*SIN(K83)+'Alternative 1'!$B$29*SIN(K83)</f>
        <v>66.966927204830142</v>
      </c>
      <c r="M83" s="77">
        <f>(('Alternative 1'!$B$27)*(((('Alternative 1'!$B$28-'Alternative 1'!$B$27)/2)+'Alternative 1'!$B$27)*'Alternative 1'!$B$39)*COS('Alternative 1-Tilt Up'!K83))+(('Alternative 1'!$B$28)*((('Alternative 1'!$B$28-'Alternative 1'!$B$27)/2)+(('Alternative 1'!$B$29-'Alternative 1'!$B$28)/2))*('Alternative 1'!$B$39)*COS('Alternative 1-Tilt Up'!K83))+(('Alternative 1'!$B$29)*((('Alternative 1'!$B$12-'Alternative 1'!$B$29+(('Alternative 1'!$B$29-'Alternative 1'!$B$28)/2)*('Alternative 1'!$B$39)*COS('Alternative 1-Tilt Up'!K83)))))</f>
        <v>824315.43342410494</v>
      </c>
      <c r="N83" s="77">
        <f t="shared" si="18"/>
        <v>36927.874750895659</v>
      </c>
      <c r="O83" s="77">
        <f>(((('Alternative 1'!$B$28-'Alternative 1'!$B$27)/2)+'Alternative 1'!$B$27)*('Alternative 1'!$B$39)*COS('Alternative 1-Tilt Up'!K83))+(((('Alternative 1'!$B$28-'Alternative 1'!$B$27)/2)+(('Alternative 1'!$B$29-'Alternative 1'!$B$28)/2))*('Alternative 1'!$B$39)*COS('Alternative 1-Tilt Up'!K83))+(((('Alternative 1'!$B$12-'Alternative 1'!$B$29)+(('Alternative 1'!$B$29-'Alternative 1'!$B$28)/2))*('Alternative 1'!$B$39)*COS('Alternative 1-Tilt Up'!K83)))</f>
        <v>53157.163933004151</v>
      </c>
      <c r="P83" s="82">
        <f t="shared" si="19"/>
        <v>6412.4581556056828</v>
      </c>
      <c r="R83" s="78" t="e">
        <f>'Alternative 1'!$B$39*$B83*$C83*COS($K$5)-($N$5/3)*$E83*SIN($K$5)-($N$5/3)*$F83*SIN($K$5)-($N$5/3)*$G83*SIN($K$5)</f>
        <v>#VALUE!</v>
      </c>
      <c r="S83" s="79" t="e">
        <f>IF(($A83&lt;'Alternative 1'!$B$27),(($H83*'Alternative 1'!$B$39)+(3*($N$5/3)*COS($K$5))),IF(($A83&lt;'Alternative 1'!$B$28),(($H83*'Alternative 1'!$B$39)+(2*(($N$5/3)*COS($K$5)))),IF(($A83&lt;'Alternative 1'!$B$29),(($H$3*'Alternative 1'!$B$39+(($N$5/3)*COS($K$5)))),($H83*'Alternative 1'!$B$39))))</f>
        <v>#VALUE!</v>
      </c>
      <c r="T83" s="78" t="e">
        <f>R83*'Alternative 1'!$K84/'Alternative 1'!$L84</f>
        <v>#VALUE!</v>
      </c>
      <c r="U83" s="78" t="e">
        <f>S83/'Alternative 1'!$M84</f>
        <v>#VALUE!</v>
      </c>
      <c r="V83" s="78" t="e">
        <f t="shared" si="20"/>
        <v>#VALUE!</v>
      </c>
      <c r="X83" s="78" t="e">
        <f>'Alternative 1'!$B$39*$B83*$C83*COS($K$13)-($N$12/3)*$E83*SIN($K$13)-($N$12/3)*$F83*SIN($K$13)-($N$12/3)*$G83*SIN($K$13)</f>
        <v>#VALUE!</v>
      </c>
      <c r="Y83" s="79" t="e">
        <f>IF(($A83&lt;'Alternative 1'!$B$27),(($H83*'Alternative 1'!$B$39)+(3*($N$12/3)*COS($K$13))),IF(($A83&lt;'Alternative 1'!$B$28),(($H83*'Alternative 1'!$B$39)+(2*(($N$12/3)*COS($K$13)))),IF(($A83&lt;'Alternative 1'!$B$29),(($H$3*'Alternative 1'!$B$39+(($N$12/3)*COS($K$13)))),($H83*'Alternative 1'!$B$39))))</f>
        <v>#VALUE!</v>
      </c>
      <c r="Z83" s="78" t="e">
        <f>X83*'Alternative 1'!$K84/'Alternative 1'!$L84</f>
        <v>#VALUE!</v>
      </c>
      <c r="AA83" s="78" t="e">
        <f>Y83/'Alternative 1'!$M84</f>
        <v>#VALUE!</v>
      </c>
      <c r="AB83" s="78" t="e">
        <f t="shared" si="21"/>
        <v>#VALUE!</v>
      </c>
      <c r="AD83" s="78" t="e">
        <f>'Alternative 1'!$B$39*$B83*$C83*COS($K$23)-($N$22/3)*$E83*SIN($K$23)-($N$22/3)*$F83*SIN($K$23)-($N$22/3)*$G83*SIN($K$23)</f>
        <v>#VALUE!</v>
      </c>
      <c r="AE83" s="79" t="e">
        <f>IF(($A83&lt;'Alternative 1'!$B$27),(($H83*'Alternative 1'!$B$39)+(3*($N$22/3)*COS($K$23))),IF(($A83&lt;'Alternative 1'!$B$28),(($H83*'Alternative 1'!$B$39)+(2*(($N$22/3)*COS($K$23)))),IF(($A83&lt;'Alternative 1'!$B$29),(($H$3*'Alternative 1'!$B$39+(($N$22/3)*COS($K$23)))),($H83*'Alternative 1'!$B$39))))</f>
        <v>#VALUE!</v>
      </c>
      <c r="AF83" s="78" t="e">
        <f>AD83*'Alternative 1'!$K84/'Alternative 1'!$L84</f>
        <v>#VALUE!</v>
      </c>
      <c r="AG83" s="78" t="e">
        <f>AE83/'Alternative 1'!$M84</f>
        <v>#VALUE!</v>
      </c>
      <c r="AH83" s="78" t="e">
        <f t="shared" si="22"/>
        <v>#VALUE!</v>
      </c>
      <c r="AJ83" s="78" t="e">
        <f>'Alternative 1'!$B$39*$B83*$C83*COS($K$33)-($N$32/3)*$E83*SIN($K$33)-($N$32/3)*$F83*SIN($K$33)-($N$32/3)*$G83*SIN($K$33)</f>
        <v>#VALUE!</v>
      </c>
      <c r="AK83" s="79" t="e">
        <f>IF(($A83&lt;'Alternative 1'!$B$27),(($H83*'Alternative 1'!$B$39)+(3*($N$32/3)*COS($K$33))),IF(($A83&lt;'Alternative 1'!$B$28),(($H83*'Alternative 1'!$B$39)+(2*(($N$32/3)*COS($K$33)))),IF(($A83&lt;'Alternative 1'!$B$29),(($H$3*'Alternative 1'!$B$39+(($N$32/3)*COS($K$33)))),($H83*'Alternative 1'!$B$39))))</f>
        <v>#VALUE!</v>
      </c>
      <c r="AL83" s="78" t="e">
        <f>AJ83*'Alternative 1'!$K84/'Alternative 1'!$L84</f>
        <v>#VALUE!</v>
      </c>
      <c r="AM83" s="78" t="e">
        <f>AK83/'Alternative 1'!$M84</f>
        <v>#VALUE!</v>
      </c>
      <c r="AN83" s="78" t="e">
        <f t="shared" si="23"/>
        <v>#VALUE!</v>
      </c>
      <c r="AP83" s="78" t="e">
        <f>'Alternative 1'!$B$39*$B83*$C83*COS($K$43)-($N$42/3)*$E83*SIN($K$43)-($N$42/3)*$F83*SIN($K$43)-($N$42/3)*$G83*SIN($K$43)</f>
        <v>#VALUE!</v>
      </c>
      <c r="AQ83" s="79" t="e">
        <f>IF(($A83&lt;'Alternative 1'!$B$27),(($H83*'Alternative 1'!$B$39)+(3*($N$42/3)*COS($K$43))),IF(($A83&lt;'Alternative 1'!$B$28),(($H83*'Alternative 1'!$B$39)+(2*(($N$42/3)*COS($K$43)))),IF(($A83&lt;'Alternative 1'!$B$29),(($H$3*'Alternative 1'!$B$39+(($N$42/3)*COS($K$43)))),($H83*'Alternative 1'!$B$39))))</f>
        <v>#VALUE!</v>
      </c>
      <c r="AR83" s="78" t="e">
        <f>AP83*'Alternative 1'!$K84/'Alternative 1'!$L84</f>
        <v>#VALUE!</v>
      </c>
      <c r="AS83" s="78" t="e">
        <f>AQ83/'Alternative 1'!$M84</f>
        <v>#VALUE!</v>
      </c>
      <c r="AT83" s="78" t="e">
        <f t="shared" si="24"/>
        <v>#VALUE!</v>
      </c>
      <c r="AV83" s="78" t="e">
        <f>'Alternative 1'!$B$39*$B83*$C83*COS($K$53)-($N$52/3)*$E83*SIN($K$53)-($N$52/3)*$F83*SIN($K$53)-($N$52/3)*$G83*SIN($K$53)</f>
        <v>#VALUE!</v>
      </c>
      <c r="AW83" s="79" t="e">
        <f>IF(($A83&lt;'Alternative 1'!$B$27),(($H83*'Alternative 1'!$B$39)+(3*($N$52/3)*COS($K$53))),IF(($A83&lt;'Alternative 1'!$B$28),(($H83*'Alternative 1'!$B$39)+(2*(($N$52/3)*COS($K$53)))),IF(($A83&lt;'Alternative 1'!$B$29),(($H$3*'Alternative 1'!$B$39+(($N$52/3)*COS($K$53)))),($H83*'Alternative 1'!$B$39))))</f>
        <v>#VALUE!</v>
      </c>
      <c r="AX83" s="78" t="e">
        <f>AV83*'Alternative 1'!$K84/'Alternative 1'!$L84</f>
        <v>#VALUE!</v>
      </c>
      <c r="AY83" s="78" t="e">
        <f>AW83/'Alternative 1'!$M84</f>
        <v>#VALUE!</v>
      </c>
      <c r="AZ83" s="78" t="e">
        <f t="shared" si="25"/>
        <v>#VALUE!</v>
      </c>
      <c r="BB83" s="78" t="e">
        <f>'Alternative 1'!$B$39*$B83*$C83*COS($K$63)-($N$62/3)*$E83*SIN($K$63)-($N$62/3)*$F83*SIN($K$63)-($N$62/3)*$G83*SIN($K$63)</f>
        <v>#VALUE!</v>
      </c>
      <c r="BC83" s="79" t="e">
        <f>IF(($A83&lt;'Alternative 1'!$B$27),(($H83*'Alternative 1'!$B$39)+(3*($N$62/3)*COS($K$63))),IF(($A83&lt;'Alternative 1'!$B$28),(($H83*'Alternative 1'!$B$39)+(2*(($N$62/3)*COS($K$63)))),IF(($A83&lt;'Alternative 1'!$B$29),(($H$3*'Alternative 1'!$B$39+(($N$62/3)*COS($K$63)))),($H83*'Alternative 1'!$B$39))))</f>
        <v>#VALUE!</v>
      </c>
      <c r="BD83" s="78" t="e">
        <f>BB83*'Alternative 1'!$K84/'Alternative 1'!$L84</f>
        <v>#VALUE!</v>
      </c>
      <c r="BE83" s="78" t="e">
        <f>BC83/'Alternative 1'!$M84</f>
        <v>#VALUE!</v>
      </c>
      <c r="BF83" s="78" t="e">
        <f t="shared" si="26"/>
        <v>#VALUE!</v>
      </c>
      <c r="BH83" s="78" t="e">
        <f>'Alternative 1'!$B$39*$B83*$C83*COS($K$73)-($N$72/3)*$E83*SIN($K$73)-($N$72/3)*$F83*SIN($K$73)-($N$72/3)*$G83*SIN($K$73)</f>
        <v>#VALUE!</v>
      </c>
      <c r="BI83" s="79" t="e">
        <f>IF(($A83&lt;'Alternative 1'!$B$27),(($H83*'Alternative 1'!$B$39)+(3*($N$72/3)*COS($K$73))),IF(($A83&lt;'Alternative 1'!$B$28),(($H83*'Alternative 1'!$B$39)+(2*(($N$72/3)*COS($K$73)))),IF(($A83&lt;'Alternative 1'!$B$29),(($H$3*'Alternative 1'!$B$39+(($N$72/3)*COS($K$73)))),($H83*'Alternative 1'!$B$39))))</f>
        <v>#VALUE!</v>
      </c>
      <c r="BJ83" s="78" t="e">
        <f>BH83*'Alternative 1'!$K84/'Alternative 1'!$L84</f>
        <v>#VALUE!</v>
      </c>
      <c r="BK83" s="78" t="e">
        <f>BI83/'Alternative 1'!$M84</f>
        <v>#VALUE!</v>
      </c>
      <c r="BL83" s="78" t="e">
        <f t="shared" si="27"/>
        <v>#VALUE!</v>
      </c>
      <c r="BN83" s="78" t="e">
        <f>'Alternative 1'!$B$39*$B83*$C83*COS($K$83)-($N$82/3)*$E83*SIN($K$83)-($N$82/3)*$F83*SIN($K$83)-($N$82/3)*$G83*SIN($K$83)</f>
        <v>#VALUE!</v>
      </c>
      <c r="BO83" s="79" t="e">
        <f>IF(($A83&lt;'Alternative 1'!$B$27),(($H83*'Alternative 1'!$B$39)+(3*($N$82/3)*COS($K$83))),IF(($A83&lt;'Alternative 1'!$B$28),(($H83*'Alternative 1'!$B$39)+(2*(($N$82/3)*COS($K$83)))),IF(($A83&lt;'Alternative 1'!$B$29),(($H$3*'Alternative 1'!$B$39+(($N$82/3)*COS($K$83)))),($H83*'Alternative 1'!$B$39))))</f>
        <v>#VALUE!</v>
      </c>
      <c r="BP83" s="78" t="e">
        <f>BN83*'Alternative 1'!$K84/'Alternative 1'!$L84</f>
        <v>#VALUE!</v>
      </c>
      <c r="BQ83" s="78" t="e">
        <f>BO83/'Alternative 1'!$M84</f>
        <v>#VALUE!</v>
      </c>
      <c r="BR83" s="78" t="e">
        <f t="shared" si="28"/>
        <v>#VALUE!</v>
      </c>
      <c r="BT83" s="78" t="e">
        <f>'Alternative 1'!$B$39*$B83*$C83*COS($K$93)-($K$92/3)*$E83*SIN($K$93)-($K$92/3)*$F83*SIN($K$93)-($K$92/3)*$G83*SIN($K$93)</f>
        <v>#VALUE!</v>
      </c>
      <c r="BU83" s="79" t="e">
        <f>IF(($A83&lt;'Alternative 1'!$B$27),(($H83*'Alternative 1'!$B$39)+(3*($N$92/3)*COS($K$93))),IF(($A83&lt;'Alternative 1'!$B$28),(($H83*'Alternative 1'!$B$39)+(2*(($N$92/3)*COS($K$93)))),IF(($A83&lt;'Alternative 1'!$B$29),(($H$3*'Alternative 1'!$B$39+(($N$92/3)*COS($K$93)))),($H83*'Alternative 1'!$B$39))))</f>
        <v>#VALUE!</v>
      </c>
      <c r="BV83" s="78" t="e">
        <f>BT83*'Alternative 1'!$K84/'Alternative 1'!$L84</f>
        <v>#VALUE!</v>
      </c>
      <c r="BW83" s="78" t="e">
        <f>BU83/'Alternative 1'!$M84</f>
        <v>#VALUE!</v>
      </c>
      <c r="BX83" s="78" t="e">
        <f t="shared" si="29"/>
        <v>#VALUE!</v>
      </c>
      <c r="BZ83" s="151"/>
      <c r="CA83" s="15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1"/>
      <c r="DG83" s="281"/>
      <c r="DH83" s="281"/>
      <c r="DI83" s="281"/>
      <c r="DJ83" s="281"/>
      <c r="DK83" s="281"/>
    </row>
    <row r="84" spans="1:115" ht="15" customHeight="1" x14ac:dyDescent="0.25">
      <c r="A84" s="89" t="str">
        <f>IF('Alternative 1'!F85&gt;0,'Alternative 1'!F85,"x")</f>
        <v>x</v>
      </c>
      <c r="B84" s="89" t="e">
        <f t="shared" si="35"/>
        <v>#VALUE!</v>
      </c>
      <c r="C84" s="89">
        <f t="shared" si="30"/>
        <v>0</v>
      </c>
      <c r="D84" s="89" t="str">
        <f t="shared" si="31"/>
        <v>x</v>
      </c>
      <c r="E84" s="74">
        <f>IF($A84&lt;='Alternative 1'!$B$27, IF($A84='Alternative 1'!$B$27,0,E85+1),0)</f>
        <v>0</v>
      </c>
      <c r="F84" s="74">
        <f>IF($A84&lt;=('Alternative 1'!$B$28), IF($A84=ROUNDDOWN('Alternative 1'!$B$28,0),0,F85+1),0)</f>
        <v>0</v>
      </c>
      <c r="G84" s="74">
        <f>IF($A84&lt;=('Alternative 1'!$B$29), IF($A84=ROUNDDOWN('Alternative 1'!$B$29,0),0,G85+1),0)</f>
        <v>0</v>
      </c>
      <c r="H84" s="89" t="e">
        <f t="shared" si="32"/>
        <v>#VALUE!</v>
      </c>
      <c r="J84" s="77">
        <f t="shared" si="33"/>
        <v>81</v>
      </c>
      <c r="K84" s="77">
        <f t="shared" si="34"/>
        <v>1.4137166941154069</v>
      </c>
      <c r="L84" s="78">
        <f>'Alternative 1'!$B$27*SIN(K84)+'Alternative 1'!$B$28*SIN(K84)+'Alternative 1'!$B$29*SIN(K84)</f>
        <v>67.16280716046937</v>
      </c>
      <c r="M84" s="77">
        <f>(('Alternative 1'!$B$27)*(((('Alternative 1'!$B$28-'Alternative 1'!$B$27)/2)+'Alternative 1'!$B$27)*'Alternative 1'!$B$39)*COS('Alternative 1-Tilt Up'!K84))+(('Alternative 1'!$B$28)*((('Alternative 1'!$B$28-'Alternative 1'!$B$27)/2)+(('Alternative 1'!$B$29-'Alternative 1'!$B$28)/2))*('Alternative 1'!$B$39)*COS('Alternative 1-Tilt Up'!K84))+(('Alternative 1'!$B$29)*((('Alternative 1'!$B$12-'Alternative 1'!$B$29+(('Alternative 1'!$B$29-'Alternative 1'!$B$28)/2)*('Alternative 1'!$B$39)*COS('Alternative 1-Tilt Up'!K84)))))</f>
        <v>742620.58561297739</v>
      </c>
      <c r="N84" s="77">
        <f t="shared" si="18"/>
        <v>33171.063733473682</v>
      </c>
      <c r="O84" s="77">
        <f>(((('Alternative 1'!$B$28-'Alternative 1'!$B$27)/2)+'Alternative 1'!$B$27)*('Alternative 1'!$B$39)*COS('Alternative 1-Tilt Up'!K84))+(((('Alternative 1'!$B$28-'Alternative 1'!$B$27)/2)+(('Alternative 1'!$B$29-'Alternative 1'!$B$28)/2))*('Alternative 1'!$B$39)*COS('Alternative 1-Tilt Up'!K84))+(((('Alternative 1'!$B$12-'Alternative 1'!$B$29)+(('Alternative 1'!$B$29-'Alternative 1'!$B$28)/2))*('Alternative 1'!$B$39)*COS('Alternative 1-Tilt Up'!K84)))</f>
        <v>47887.703831049119</v>
      </c>
      <c r="P84" s="77">
        <f t="shared" si="19"/>
        <v>5189.0976099613608</v>
      </c>
      <c r="R84" s="78" t="e">
        <f>'Alternative 1'!$B$39*$B84*$C84*COS($K$5)-($N$5/3)*$E84*SIN($K$5)-($N$5/3)*$F84*SIN($K$5)-($N$5/3)*$G84*SIN($K$5)</f>
        <v>#VALUE!</v>
      </c>
      <c r="S84" s="79" t="e">
        <f>IF(($A84&lt;'Alternative 1'!$B$27),(($H84*'Alternative 1'!$B$39)+(3*($N$5/3)*COS($K$5))),IF(($A84&lt;'Alternative 1'!$B$28),(($H84*'Alternative 1'!$B$39)+(2*(($N$5/3)*COS($K$5)))),IF(($A84&lt;'Alternative 1'!$B$29),(($H$3*'Alternative 1'!$B$39+(($N$5/3)*COS($K$5)))),($H84*'Alternative 1'!$B$39))))</f>
        <v>#VALUE!</v>
      </c>
      <c r="T84" s="78" t="e">
        <f>R84*'Alternative 1'!$K85/'Alternative 1'!$L85</f>
        <v>#VALUE!</v>
      </c>
      <c r="U84" s="78" t="e">
        <f>S84/'Alternative 1'!$M85</f>
        <v>#VALUE!</v>
      </c>
      <c r="V84" s="78" t="e">
        <f t="shared" si="20"/>
        <v>#VALUE!</v>
      </c>
      <c r="X84" s="78" t="e">
        <f>'Alternative 1'!$B$39*$B84*$C84*COS($K$13)-($N$12/3)*$E84*SIN($K$13)-($N$12/3)*$F84*SIN($K$13)-($N$12/3)*$G84*SIN($K$13)</f>
        <v>#VALUE!</v>
      </c>
      <c r="Y84" s="79" t="e">
        <f>IF(($A84&lt;'Alternative 1'!$B$27),(($H84*'Alternative 1'!$B$39)+(3*($N$12/3)*COS($K$13))),IF(($A84&lt;'Alternative 1'!$B$28),(($H84*'Alternative 1'!$B$39)+(2*(($N$12/3)*COS($K$13)))),IF(($A84&lt;'Alternative 1'!$B$29),(($H$3*'Alternative 1'!$B$39+(($N$12/3)*COS($K$13)))),($H84*'Alternative 1'!$B$39))))</f>
        <v>#VALUE!</v>
      </c>
      <c r="Z84" s="78" t="e">
        <f>X84*'Alternative 1'!$K85/'Alternative 1'!$L85</f>
        <v>#VALUE!</v>
      </c>
      <c r="AA84" s="78" t="e">
        <f>Y84/'Alternative 1'!$M85</f>
        <v>#VALUE!</v>
      </c>
      <c r="AB84" s="78" t="e">
        <f t="shared" si="21"/>
        <v>#VALUE!</v>
      </c>
      <c r="AD84" s="78" t="e">
        <f>'Alternative 1'!$B$39*$B84*$C84*COS($K$23)-($N$22/3)*$E84*SIN($K$23)-($N$22/3)*$F84*SIN($K$23)-($N$22/3)*$G84*SIN($K$23)</f>
        <v>#VALUE!</v>
      </c>
      <c r="AE84" s="79" t="e">
        <f>IF(($A84&lt;'Alternative 1'!$B$27),(($H84*'Alternative 1'!$B$39)+(3*($N$22/3)*COS($K$23))),IF(($A84&lt;'Alternative 1'!$B$28),(($H84*'Alternative 1'!$B$39)+(2*(($N$22/3)*COS($K$23)))),IF(($A84&lt;'Alternative 1'!$B$29),(($H$3*'Alternative 1'!$B$39+(($N$22/3)*COS($K$23)))),($H84*'Alternative 1'!$B$39))))</f>
        <v>#VALUE!</v>
      </c>
      <c r="AF84" s="78" t="e">
        <f>AD84*'Alternative 1'!$K85/'Alternative 1'!$L85</f>
        <v>#VALUE!</v>
      </c>
      <c r="AG84" s="78" t="e">
        <f>AE84/'Alternative 1'!$M85</f>
        <v>#VALUE!</v>
      </c>
      <c r="AH84" s="78" t="e">
        <f t="shared" si="22"/>
        <v>#VALUE!</v>
      </c>
      <c r="AJ84" s="78" t="e">
        <f>'Alternative 1'!$B$39*$B84*$C84*COS($K$33)-($N$32/3)*$E84*SIN($K$33)-($N$32/3)*$F84*SIN($K$33)-($N$32/3)*$G84*SIN($K$33)</f>
        <v>#VALUE!</v>
      </c>
      <c r="AK84" s="79" t="e">
        <f>IF(($A84&lt;'Alternative 1'!$B$27),(($H84*'Alternative 1'!$B$39)+(3*($N$32/3)*COS($K$33))),IF(($A84&lt;'Alternative 1'!$B$28),(($H84*'Alternative 1'!$B$39)+(2*(($N$32/3)*COS($K$33)))),IF(($A84&lt;'Alternative 1'!$B$29),(($H$3*'Alternative 1'!$B$39+(($N$32/3)*COS($K$33)))),($H84*'Alternative 1'!$B$39))))</f>
        <v>#VALUE!</v>
      </c>
      <c r="AL84" s="78" t="e">
        <f>AJ84*'Alternative 1'!$K85/'Alternative 1'!$L85</f>
        <v>#VALUE!</v>
      </c>
      <c r="AM84" s="78" t="e">
        <f>AK84/'Alternative 1'!$M85</f>
        <v>#VALUE!</v>
      </c>
      <c r="AN84" s="78" t="e">
        <f t="shared" si="23"/>
        <v>#VALUE!</v>
      </c>
      <c r="AP84" s="78" t="e">
        <f>'Alternative 1'!$B$39*$B84*$C84*COS($K$43)-($N$42/3)*$E84*SIN($K$43)-($N$42/3)*$F84*SIN($K$43)-($N$42/3)*$G84*SIN($K$43)</f>
        <v>#VALUE!</v>
      </c>
      <c r="AQ84" s="79" t="e">
        <f>IF(($A84&lt;'Alternative 1'!$B$27),(($H84*'Alternative 1'!$B$39)+(3*($N$42/3)*COS($K$43))),IF(($A84&lt;'Alternative 1'!$B$28),(($H84*'Alternative 1'!$B$39)+(2*(($N$42/3)*COS($K$43)))),IF(($A84&lt;'Alternative 1'!$B$29),(($H$3*'Alternative 1'!$B$39+(($N$42/3)*COS($K$43)))),($H84*'Alternative 1'!$B$39))))</f>
        <v>#VALUE!</v>
      </c>
      <c r="AR84" s="78" t="e">
        <f>AP84*'Alternative 1'!$K85/'Alternative 1'!$L85</f>
        <v>#VALUE!</v>
      </c>
      <c r="AS84" s="78" t="e">
        <f>AQ84/'Alternative 1'!$M85</f>
        <v>#VALUE!</v>
      </c>
      <c r="AT84" s="78" t="e">
        <f t="shared" si="24"/>
        <v>#VALUE!</v>
      </c>
      <c r="AV84" s="78" t="e">
        <f>'Alternative 1'!$B$39*$B84*$C84*COS($K$53)-($N$52/3)*$E84*SIN($K$53)-($N$52/3)*$F84*SIN($K$53)-($N$52/3)*$G84*SIN($K$53)</f>
        <v>#VALUE!</v>
      </c>
      <c r="AW84" s="79" t="e">
        <f>IF(($A84&lt;'Alternative 1'!$B$27),(($H84*'Alternative 1'!$B$39)+(3*($N$52/3)*COS($K$53))),IF(($A84&lt;'Alternative 1'!$B$28),(($H84*'Alternative 1'!$B$39)+(2*(($N$52/3)*COS($K$53)))),IF(($A84&lt;'Alternative 1'!$B$29),(($H$3*'Alternative 1'!$B$39+(($N$52/3)*COS($K$53)))),($H84*'Alternative 1'!$B$39))))</f>
        <v>#VALUE!</v>
      </c>
      <c r="AX84" s="78" t="e">
        <f>AV84*'Alternative 1'!$K85/'Alternative 1'!$L85</f>
        <v>#VALUE!</v>
      </c>
      <c r="AY84" s="78" t="e">
        <f>AW84/'Alternative 1'!$M85</f>
        <v>#VALUE!</v>
      </c>
      <c r="AZ84" s="78" t="e">
        <f t="shared" si="25"/>
        <v>#VALUE!</v>
      </c>
      <c r="BB84" s="78" t="e">
        <f>'Alternative 1'!$B$39*$B84*$C84*COS($K$63)-($N$62/3)*$E84*SIN($K$63)-($N$62/3)*$F84*SIN($K$63)-($N$62/3)*$G84*SIN($K$63)</f>
        <v>#VALUE!</v>
      </c>
      <c r="BC84" s="79" t="e">
        <f>IF(($A84&lt;'Alternative 1'!$B$27),(($H84*'Alternative 1'!$B$39)+(3*($N$62/3)*COS($K$63))),IF(($A84&lt;'Alternative 1'!$B$28),(($H84*'Alternative 1'!$B$39)+(2*(($N$62/3)*COS($K$63)))),IF(($A84&lt;'Alternative 1'!$B$29),(($H$3*'Alternative 1'!$B$39+(($N$62/3)*COS($K$63)))),($H84*'Alternative 1'!$B$39))))</f>
        <v>#VALUE!</v>
      </c>
      <c r="BD84" s="78" t="e">
        <f>BB84*'Alternative 1'!$K85/'Alternative 1'!$L85</f>
        <v>#VALUE!</v>
      </c>
      <c r="BE84" s="78" t="e">
        <f>BC84/'Alternative 1'!$M85</f>
        <v>#VALUE!</v>
      </c>
      <c r="BF84" s="78" t="e">
        <f t="shared" si="26"/>
        <v>#VALUE!</v>
      </c>
      <c r="BH84" s="78" t="e">
        <f>'Alternative 1'!$B$39*$B84*$C84*COS($K$73)-($N$72/3)*$E84*SIN($K$73)-($N$72/3)*$F84*SIN($K$73)-($N$72/3)*$G84*SIN($K$73)</f>
        <v>#VALUE!</v>
      </c>
      <c r="BI84" s="79" t="e">
        <f>IF(($A84&lt;'Alternative 1'!$B$27),(($H84*'Alternative 1'!$B$39)+(3*($N$72/3)*COS($K$73))),IF(($A84&lt;'Alternative 1'!$B$28),(($H84*'Alternative 1'!$B$39)+(2*(($N$72/3)*COS($K$73)))),IF(($A84&lt;'Alternative 1'!$B$29),(($H$3*'Alternative 1'!$B$39+(($N$72/3)*COS($K$73)))),($H84*'Alternative 1'!$B$39))))</f>
        <v>#VALUE!</v>
      </c>
      <c r="BJ84" s="78" t="e">
        <f>BH84*'Alternative 1'!$K85/'Alternative 1'!$L85</f>
        <v>#VALUE!</v>
      </c>
      <c r="BK84" s="78" t="e">
        <f>BI84/'Alternative 1'!$M85</f>
        <v>#VALUE!</v>
      </c>
      <c r="BL84" s="78" t="e">
        <f t="shared" si="27"/>
        <v>#VALUE!</v>
      </c>
      <c r="BN84" s="78" t="e">
        <f>'Alternative 1'!$B$39*$B84*$C84*COS($K$83)-($N$82/3)*$E84*SIN($K$83)-($N$82/3)*$F84*SIN($K$83)-($N$82/3)*$G84*SIN($K$83)</f>
        <v>#VALUE!</v>
      </c>
      <c r="BO84" s="79" t="e">
        <f>IF(($A84&lt;'Alternative 1'!$B$27),(($H84*'Alternative 1'!$B$39)+(3*($N$82/3)*COS($K$83))),IF(($A84&lt;'Alternative 1'!$B$28),(($H84*'Alternative 1'!$B$39)+(2*(($N$82/3)*COS($K$83)))),IF(($A84&lt;'Alternative 1'!$B$29),(($H$3*'Alternative 1'!$B$39+(($N$82/3)*COS($K$83)))),($H84*'Alternative 1'!$B$39))))</f>
        <v>#VALUE!</v>
      </c>
      <c r="BP84" s="78" t="e">
        <f>BN84*'Alternative 1'!$K85/'Alternative 1'!$L85</f>
        <v>#VALUE!</v>
      </c>
      <c r="BQ84" s="78" t="e">
        <f>BO84/'Alternative 1'!$M85</f>
        <v>#VALUE!</v>
      </c>
      <c r="BR84" s="78" t="e">
        <f t="shared" si="28"/>
        <v>#VALUE!</v>
      </c>
      <c r="BT84" s="78" t="e">
        <f>'Alternative 1'!$B$39*$B84*$C84*COS($K$93)-($K$92/3)*$E84*SIN($K$93)-($K$92/3)*$F84*SIN($K$93)-($K$92/3)*$G84*SIN($K$93)</f>
        <v>#VALUE!</v>
      </c>
      <c r="BU84" s="79" t="e">
        <f>IF(($A84&lt;'Alternative 1'!$B$27),(($H84*'Alternative 1'!$B$39)+(3*($N$92/3)*COS($K$93))),IF(($A84&lt;'Alternative 1'!$B$28),(($H84*'Alternative 1'!$B$39)+(2*(($N$92/3)*COS($K$93)))),IF(($A84&lt;'Alternative 1'!$B$29),(($H$3*'Alternative 1'!$B$39+(($N$92/3)*COS($K$93)))),($H84*'Alternative 1'!$B$39))))</f>
        <v>#VALUE!</v>
      </c>
      <c r="BV84" s="78" t="e">
        <f>BT84*'Alternative 1'!$K85/'Alternative 1'!$L85</f>
        <v>#VALUE!</v>
      </c>
      <c r="BW84" s="78" t="e">
        <f>BU84/'Alternative 1'!$M85</f>
        <v>#VALUE!</v>
      </c>
      <c r="BX84" s="78" t="e">
        <f t="shared" si="29"/>
        <v>#VALUE!</v>
      </c>
      <c r="BZ84" s="151"/>
      <c r="CA84" s="15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1"/>
      <c r="DG84" s="281"/>
      <c r="DH84" s="281"/>
      <c r="DI84" s="281"/>
      <c r="DJ84" s="281"/>
      <c r="DK84" s="281"/>
    </row>
    <row r="85" spans="1:115" ht="15" customHeight="1" x14ac:dyDescent="0.25">
      <c r="A85" s="89" t="str">
        <f>IF('Alternative 1'!F86&gt;0,'Alternative 1'!F86,"x")</f>
        <v>x</v>
      </c>
      <c r="B85" s="89" t="e">
        <f t="shared" si="35"/>
        <v>#VALUE!</v>
      </c>
      <c r="C85" s="89">
        <f t="shared" si="30"/>
        <v>0</v>
      </c>
      <c r="D85" s="89" t="str">
        <f t="shared" si="31"/>
        <v>x</v>
      </c>
      <c r="E85" s="74">
        <f>IF($A85&lt;='Alternative 1'!$B$27, IF($A85='Alternative 1'!$B$27,0,E86+1),0)</f>
        <v>0</v>
      </c>
      <c r="F85" s="74">
        <f>IF($A85&lt;=('Alternative 1'!$B$28), IF($A85=ROUNDDOWN('Alternative 1'!$B$28,0),0,F86+1),0)</f>
        <v>0</v>
      </c>
      <c r="G85" s="74">
        <f>IF($A85&lt;=('Alternative 1'!$B$29), IF($A85=ROUNDDOWN('Alternative 1'!$B$29,0),0,G86+1),0)</f>
        <v>0</v>
      </c>
      <c r="H85" s="89" t="e">
        <f t="shared" si="32"/>
        <v>#VALUE!</v>
      </c>
      <c r="J85" s="77">
        <f t="shared" si="33"/>
        <v>82</v>
      </c>
      <c r="K85" s="77">
        <f t="shared" si="34"/>
        <v>1.43116998663535</v>
      </c>
      <c r="L85" s="78">
        <f>'Alternative 1'!$B$27*SIN(K85)+'Alternative 1'!$B$28*SIN(K85)+'Alternative 1'!$B$29*SIN(K85)</f>
        <v>67.338228674426773</v>
      </c>
      <c r="M85" s="77">
        <f>(('Alternative 1'!$B$27)*(((('Alternative 1'!$B$28-'Alternative 1'!$B$27)/2)+'Alternative 1'!$B$27)*'Alternative 1'!$B$39)*COS('Alternative 1-Tilt Up'!K85))+(('Alternative 1'!$B$28)*((('Alternative 1'!$B$28-'Alternative 1'!$B$27)/2)+(('Alternative 1'!$B$29-'Alternative 1'!$B$28)/2))*('Alternative 1'!$B$39)*COS('Alternative 1-Tilt Up'!K85))+(('Alternative 1'!$B$29)*((('Alternative 1'!$B$12-'Alternative 1'!$B$29+(('Alternative 1'!$B$29-'Alternative 1'!$B$28)/2)*('Alternative 1'!$B$39)*COS('Alternative 1-Tilt Up'!K85)))))</f>
        <v>660699.58796867402</v>
      </c>
      <c r="N85" s="77">
        <f t="shared" si="18"/>
        <v>29434.970341873119</v>
      </c>
      <c r="O85" s="77">
        <f>(((('Alternative 1'!$B$28-'Alternative 1'!$B$27)/2)+'Alternative 1'!$B$27)*('Alternative 1'!$B$39)*COS('Alternative 1-Tilt Up'!K85))+(((('Alternative 1'!$B$28-'Alternative 1'!$B$27)/2)+(('Alternative 1'!$B$29-'Alternative 1'!$B$28)/2))*('Alternative 1'!$B$39)*COS('Alternative 1-Tilt Up'!K85))+(((('Alternative 1'!$B$12-'Alternative 1'!$B$29)+(('Alternative 1'!$B$29-'Alternative 1'!$B$28)/2))*('Alternative 1'!$B$39)*COS('Alternative 1-Tilt Up'!K85)))</f>
        <v>42603.656670608616</v>
      </c>
      <c r="P85" s="77">
        <f t="shared" si="19"/>
        <v>4096.556099146047</v>
      </c>
      <c r="R85" s="78" t="e">
        <f>'Alternative 1'!$B$39*$B85*$C85*COS($K$5)-($N$5/3)*$E85*SIN($K$5)-($N$5/3)*$F85*SIN($K$5)-($N$5/3)*$G85*SIN($K$5)</f>
        <v>#VALUE!</v>
      </c>
      <c r="S85" s="79" t="e">
        <f>IF(($A85&lt;'Alternative 1'!$B$27),(($H85*'Alternative 1'!$B$39)+(3*($N$5/3)*COS($K$5))),IF(($A85&lt;'Alternative 1'!$B$28),(($H85*'Alternative 1'!$B$39)+(2*(($N$5/3)*COS($K$5)))),IF(($A85&lt;'Alternative 1'!$B$29),(($H$3*'Alternative 1'!$B$39+(($N$5/3)*COS($K$5)))),($H85*'Alternative 1'!$B$39))))</f>
        <v>#VALUE!</v>
      </c>
      <c r="T85" s="78" t="e">
        <f>R85*'Alternative 1'!$K86/'Alternative 1'!$L86</f>
        <v>#VALUE!</v>
      </c>
      <c r="U85" s="78" t="e">
        <f>S85/'Alternative 1'!$M86</f>
        <v>#VALUE!</v>
      </c>
      <c r="V85" s="78" t="e">
        <f t="shared" si="20"/>
        <v>#VALUE!</v>
      </c>
      <c r="X85" s="78" t="e">
        <f>'Alternative 1'!$B$39*$B85*$C85*COS($K$13)-($N$12/3)*$E85*SIN($K$13)-($N$12/3)*$F85*SIN($K$13)-($N$12/3)*$G85*SIN($K$13)</f>
        <v>#VALUE!</v>
      </c>
      <c r="Y85" s="79" t="e">
        <f>IF(($A85&lt;'Alternative 1'!$B$27),(($H85*'Alternative 1'!$B$39)+(3*($N$12/3)*COS($K$13))),IF(($A85&lt;'Alternative 1'!$B$28),(($H85*'Alternative 1'!$B$39)+(2*(($N$12/3)*COS($K$13)))),IF(($A85&lt;'Alternative 1'!$B$29),(($H$3*'Alternative 1'!$B$39+(($N$12/3)*COS($K$13)))),($H85*'Alternative 1'!$B$39))))</f>
        <v>#VALUE!</v>
      </c>
      <c r="Z85" s="78" t="e">
        <f>X85*'Alternative 1'!$K86/'Alternative 1'!$L86</f>
        <v>#VALUE!</v>
      </c>
      <c r="AA85" s="78" t="e">
        <f>Y85/'Alternative 1'!$M86</f>
        <v>#VALUE!</v>
      </c>
      <c r="AB85" s="78" t="e">
        <f t="shared" si="21"/>
        <v>#VALUE!</v>
      </c>
      <c r="AD85" s="78" t="e">
        <f>'Alternative 1'!$B$39*$B85*$C85*COS($K$23)-($N$22/3)*$E85*SIN($K$23)-($N$22/3)*$F85*SIN($K$23)-($N$22/3)*$G85*SIN($K$23)</f>
        <v>#VALUE!</v>
      </c>
      <c r="AE85" s="79" t="e">
        <f>IF(($A85&lt;'Alternative 1'!$B$27),(($H85*'Alternative 1'!$B$39)+(3*($N$22/3)*COS($K$23))),IF(($A85&lt;'Alternative 1'!$B$28),(($H85*'Alternative 1'!$B$39)+(2*(($N$22/3)*COS($K$23)))),IF(($A85&lt;'Alternative 1'!$B$29),(($H$3*'Alternative 1'!$B$39+(($N$22/3)*COS($K$23)))),($H85*'Alternative 1'!$B$39))))</f>
        <v>#VALUE!</v>
      </c>
      <c r="AF85" s="78" t="e">
        <f>AD85*'Alternative 1'!$K86/'Alternative 1'!$L86</f>
        <v>#VALUE!</v>
      </c>
      <c r="AG85" s="78" t="e">
        <f>AE85/'Alternative 1'!$M86</f>
        <v>#VALUE!</v>
      </c>
      <c r="AH85" s="78" t="e">
        <f t="shared" si="22"/>
        <v>#VALUE!</v>
      </c>
      <c r="AJ85" s="78" t="e">
        <f>'Alternative 1'!$B$39*$B85*$C85*COS($K$33)-($N$32/3)*$E85*SIN($K$33)-($N$32/3)*$F85*SIN($K$33)-($N$32/3)*$G85*SIN($K$33)</f>
        <v>#VALUE!</v>
      </c>
      <c r="AK85" s="79" t="e">
        <f>IF(($A85&lt;'Alternative 1'!$B$27),(($H85*'Alternative 1'!$B$39)+(3*($N$32/3)*COS($K$33))),IF(($A85&lt;'Alternative 1'!$B$28),(($H85*'Alternative 1'!$B$39)+(2*(($N$32/3)*COS($K$33)))),IF(($A85&lt;'Alternative 1'!$B$29),(($H$3*'Alternative 1'!$B$39+(($N$32/3)*COS($K$33)))),($H85*'Alternative 1'!$B$39))))</f>
        <v>#VALUE!</v>
      </c>
      <c r="AL85" s="78" t="e">
        <f>AJ85*'Alternative 1'!$K86/'Alternative 1'!$L86</f>
        <v>#VALUE!</v>
      </c>
      <c r="AM85" s="78" t="e">
        <f>AK85/'Alternative 1'!$M86</f>
        <v>#VALUE!</v>
      </c>
      <c r="AN85" s="78" t="e">
        <f t="shared" si="23"/>
        <v>#VALUE!</v>
      </c>
      <c r="AP85" s="78" t="e">
        <f>'Alternative 1'!$B$39*$B85*$C85*COS($K$43)-($N$42/3)*$E85*SIN($K$43)-($N$42/3)*$F85*SIN($K$43)-($N$42/3)*$G85*SIN($K$43)</f>
        <v>#VALUE!</v>
      </c>
      <c r="AQ85" s="79" t="e">
        <f>IF(($A85&lt;'Alternative 1'!$B$27),(($H85*'Alternative 1'!$B$39)+(3*($N$42/3)*COS($K$43))),IF(($A85&lt;'Alternative 1'!$B$28),(($H85*'Alternative 1'!$B$39)+(2*(($N$42/3)*COS($K$43)))),IF(($A85&lt;'Alternative 1'!$B$29),(($H$3*'Alternative 1'!$B$39+(($N$42/3)*COS($K$43)))),($H85*'Alternative 1'!$B$39))))</f>
        <v>#VALUE!</v>
      </c>
      <c r="AR85" s="78" t="e">
        <f>AP85*'Alternative 1'!$K86/'Alternative 1'!$L86</f>
        <v>#VALUE!</v>
      </c>
      <c r="AS85" s="78" t="e">
        <f>AQ85/'Alternative 1'!$M86</f>
        <v>#VALUE!</v>
      </c>
      <c r="AT85" s="78" t="e">
        <f t="shared" si="24"/>
        <v>#VALUE!</v>
      </c>
      <c r="AV85" s="78" t="e">
        <f>'Alternative 1'!$B$39*$B85*$C85*COS($K$53)-($N$52/3)*$E85*SIN($K$53)-($N$52/3)*$F85*SIN($K$53)-($N$52/3)*$G85*SIN($K$53)</f>
        <v>#VALUE!</v>
      </c>
      <c r="AW85" s="79" t="e">
        <f>IF(($A85&lt;'Alternative 1'!$B$27),(($H85*'Alternative 1'!$B$39)+(3*($N$52/3)*COS($K$53))),IF(($A85&lt;'Alternative 1'!$B$28),(($H85*'Alternative 1'!$B$39)+(2*(($N$52/3)*COS($K$53)))),IF(($A85&lt;'Alternative 1'!$B$29),(($H$3*'Alternative 1'!$B$39+(($N$52/3)*COS($K$53)))),($H85*'Alternative 1'!$B$39))))</f>
        <v>#VALUE!</v>
      </c>
      <c r="AX85" s="78" t="e">
        <f>AV85*'Alternative 1'!$K86/'Alternative 1'!$L86</f>
        <v>#VALUE!</v>
      </c>
      <c r="AY85" s="78" t="e">
        <f>AW85/'Alternative 1'!$M86</f>
        <v>#VALUE!</v>
      </c>
      <c r="AZ85" s="78" t="e">
        <f t="shared" si="25"/>
        <v>#VALUE!</v>
      </c>
      <c r="BB85" s="78" t="e">
        <f>'Alternative 1'!$B$39*$B85*$C85*COS($K$63)-($N$62/3)*$E85*SIN($K$63)-($N$62/3)*$F85*SIN($K$63)-($N$62/3)*$G85*SIN($K$63)</f>
        <v>#VALUE!</v>
      </c>
      <c r="BC85" s="79" t="e">
        <f>IF(($A85&lt;'Alternative 1'!$B$27),(($H85*'Alternative 1'!$B$39)+(3*($N$62/3)*COS($K$63))),IF(($A85&lt;'Alternative 1'!$B$28),(($H85*'Alternative 1'!$B$39)+(2*(($N$62/3)*COS($K$63)))),IF(($A85&lt;'Alternative 1'!$B$29),(($H$3*'Alternative 1'!$B$39+(($N$62/3)*COS($K$63)))),($H85*'Alternative 1'!$B$39))))</f>
        <v>#VALUE!</v>
      </c>
      <c r="BD85" s="78" t="e">
        <f>BB85*'Alternative 1'!$K86/'Alternative 1'!$L86</f>
        <v>#VALUE!</v>
      </c>
      <c r="BE85" s="78" t="e">
        <f>BC85/'Alternative 1'!$M86</f>
        <v>#VALUE!</v>
      </c>
      <c r="BF85" s="78" t="e">
        <f t="shared" si="26"/>
        <v>#VALUE!</v>
      </c>
      <c r="BH85" s="78" t="e">
        <f>'Alternative 1'!$B$39*$B85*$C85*COS($K$73)-($N$72/3)*$E85*SIN($K$73)-($N$72/3)*$F85*SIN($K$73)-($N$72/3)*$G85*SIN($K$73)</f>
        <v>#VALUE!</v>
      </c>
      <c r="BI85" s="79" t="e">
        <f>IF(($A85&lt;'Alternative 1'!$B$27),(($H85*'Alternative 1'!$B$39)+(3*($N$72/3)*COS($K$73))),IF(($A85&lt;'Alternative 1'!$B$28),(($H85*'Alternative 1'!$B$39)+(2*(($N$72/3)*COS($K$73)))),IF(($A85&lt;'Alternative 1'!$B$29),(($H$3*'Alternative 1'!$B$39+(($N$72/3)*COS($K$73)))),($H85*'Alternative 1'!$B$39))))</f>
        <v>#VALUE!</v>
      </c>
      <c r="BJ85" s="78" t="e">
        <f>BH85*'Alternative 1'!$K86/'Alternative 1'!$L86</f>
        <v>#VALUE!</v>
      </c>
      <c r="BK85" s="78" t="e">
        <f>BI85/'Alternative 1'!$M86</f>
        <v>#VALUE!</v>
      </c>
      <c r="BL85" s="78" t="e">
        <f t="shared" si="27"/>
        <v>#VALUE!</v>
      </c>
      <c r="BN85" s="78" t="e">
        <f>'Alternative 1'!$B$39*$B85*$C85*COS($K$83)-($N$82/3)*$E85*SIN($K$83)-($N$82/3)*$F85*SIN($K$83)-($N$82/3)*$G85*SIN($K$83)</f>
        <v>#VALUE!</v>
      </c>
      <c r="BO85" s="79" t="e">
        <f>IF(($A85&lt;'Alternative 1'!$B$27),(($H85*'Alternative 1'!$B$39)+(3*($N$82/3)*COS($K$83))),IF(($A85&lt;'Alternative 1'!$B$28),(($H85*'Alternative 1'!$B$39)+(2*(($N$82/3)*COS($K$83)))),IF(($A85&lt;'Alternative 1'!$B$29),(($H$3*'Alternative 1'!$B$39+(($N$82/3)*COS($K$83)))),($H85*'Alternative 1'!$B$39))))</f>
        <v>#VALUE!</v>
      </c>
      <c r="BP85" s="78" t="e">
        <f>BN85*'Alternative 1'!$K86/'Alternative 1'!$L86</f>
        <v>#VALUE!</v>
      </c>
      <c r="BQ85" s="78" t="e">
        <f>BO85/'Alternative 1'!$M86</f>
        <v>#VALUE!</v>
      </c>
      <c r="BR85" s="78" t="e">
        <f t="shared" si="28"/>
        <v>#VALUE!</v>
      </c>
      <c r="BT85" s="78" t="e">
        <f>'Alternative 1'!$B$39*$B85*$C85*COS($K$93)-($K$92/3)*$E85*SIN($K$93)-($K$92/3)*$F85*SIN($K$93)-($K$92/3)*$G85*SIN($K$93)</f>
        <v>#VALUE!</v>
      </c>
      <c r="BU85" s="79" t="e">
        <f>IF(($A85&lt;'Alternative 1'!$B$27),(($H85*'Alternative 1'!$B$39)+(3*($N$92/3)*COS($K$93))),IF(($A85&lt;'Alternative 1'!$B$28),(($H85*'Alternative 1'!$B$39)+(2*(($N$92/3)*COS($K$93)))),IF(($A85&lt;'Alternative 1'!$B$29),(($H$3*'Alternative 1'!$B$39+(($N$92/3)*COS($K$93)))),($H85*'Alternative 1'!$B$39))))</f>
        <v>#VALUE!</v>
      </c>
      <c r="BV85" s="78" t="e">
        <f>BT85*'Alternative 1'!$K86/'Alternative 1'!$L86</f>
        <v>#VALUE!</v>
      </c>
      <c r="BW85" s="78" t="e">
        <f>BU85/'Alternative 1'!$M86</f>
        <v>#VALUE!</v>
      </c>
      <c r="BX85" s="78" t="e">
        <f t="shared" si="29"/>
        <v>#VALUE!</v>
      </c>
      <c r="BZ85" s="151"/>
      <c r="CA85" s="15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1"/>
      <c r="DG85" s="281"/>
      <c r="DH85" s="281"/>
      <c r="DI85" s="281"/>
      <c r="DJ85" s="281"/>
      <c r="DK85" s="281"/>
    </row>
    <row r="86" spans="1:115" ht="15" customHeight="1" x14ac:dyDescent="0.25">
      <c r="A86" s="89" t="str">
        <f>IF('Alternative 1'!F87&gt;0,'Alternative 1'!F87,"x")</f>
        <v>x</v>
      </c>
      <c r="B86" s="89" t="e">
        <f t="shared" si="35"/>
        <v>#VALUE!</v>
      </c>
      <c r="C86" s="89">
        <f t="shared" si="30"/>
        <v>0</v>
      </c>
      <c r="D86" s="89" t="str">
        <f t="shared" si="31"/>
        <v>x</v>
      </c>
      <c r="E86" s="74">
        <f>IF($A86&lt;='Alternative 1'!$B$27, IF($A86='Alternative 1'!$B$27,0,E87+1),0)</f>
        <v>0</v>
      </c>
      <c r="F86" s="74">
        <f>IF($A86&lt;=('Alternative 1'!$B$28), IF($A86=ROUNDDOWN('Alternative 1'!$B$28,0),0,F87+1),0)</f>
        <v>0</v>
      </c>
      <c r="G86" s="74">
        <f>IF($A86&lt;=('Alternative 1'!$B$29), IF($A86=ROUNDDOWN('Alternative 1'!$B$29,0),0,G87+1),0)</f>
        <v>0</v>
      </c>
      <c r="H86" s="89" t="e">
        <f t="shared" si="32"/>
        <v>#VALUE!</v>
      </c>
      <c r="J86" s="77">
        <f t="shared" si="33"/>
        <v>83</v>
      </c>
      <c r="K86" s="77">
        <f t="shared" si="34"/>
        <v>1.4486232791552935</v>
      </c>
      <c r="L86" s="78">
        <f>'Alternative 1'!$B$27*SIN(K86)+'Alternative 1'!$B$28*SIN(K86)+'Alternative 1'!$B$29*SIN(K86)</f>
        <v>67.493138311609897</v>
      </c>
      <c r="M86" s="77">
        <f>(('Alternative 1'!$B$27)*(((('Alternative 1'!$B$28-'Alternative 1'!$B$27)/2)+'Alternative 1'!$B$27)*'Alternative 1'!$B$39)*COS('Alternative 1-Tilt Up'!K86))+(('Alternative 1'!$B$28)*((('Alternative 1'!$B$28-'Alternative 1'!$B$27)/2)+(('Alternative 1'!$B$29-'Alternative 1'!$B$28)/2))*('Alternative 1'!$B$39)*COS('Alternative 1-Tilt Up'!K86))+(('Alternative 1'!$B$29)*((('Alternative 1'!$B$12-'Alternative 1'!$B$29+(('Alternative 1'!$B$29-'Alternative 1'!$B$28)/2)*('Alternative 1'!$B$39)*COS('Alternative 1-Tilt Up'!K86)))))</f>
        <v>578577.3944206608</v>
      </c>
      <c r="N86" s="77">
        <f t="shared" si="18"/>
        <v>25717.16513237626</v>
      </c>
      <c r="O86" s="77">
        <f>(((('Alternative 1'!$B$28-'Alternative 1'!$B$27)/2)+'Alternative 1'!$B$27)*('Alternative 1'!$B$39)*COS('Alternative 1-Tilt Up'!K86))+(((('Alternative 1'!$B$28-'Alternative 1'!$B$27)/2)+(('Alternative 1'!$B$29-'Alternative 1'!$B$28)/2))*('Alternative 1'!$B$39)*COS('Alternative 1-Tilt Up'!K86))+(((('Alternative 1'!$B$12-'Alternative 1'!$B$29)+(('Alternative 1'!$B$29-'Alternative 1'!$B$28)/2))*('Alternative 1'!$B$39)*COS('Alternative 1-Tilt Up'!K86)))</f>
        <v>37306.632023635219</v>
      </c>
      <c r="P86" s="77">
        <f t="shared" si="19"/>
        <v>3134.1340289244476</v>
      </c>
      <c r="R86" s="78" t="e">
        <f>'Alternative 1'!$B$39*$B86*$C86*COS($K$5)-($N$5/3)*$E86*SIN($K$5)-($N$5/3)*$F86*SIN($K$5)-($N$5/3)*$G86*SIN($K$5)</f>
        <v>#VALUE!</v>
      </c>
      <c r="S86" s="79" t="e">
        <f>IF(($A86&lt;'Alternative 1'!$B$27),(($H86*'Alternative 1'!$B$39)+(3*($N$5/3)*COS($K$5))),IF(($A86&lt;'Alternative 1'!$B$28),(($H86*'Alternative 1'!$B$39)+(2*(($N$5/3)*COS($K$5)))),IF(($A86&lt;'Alternative 1'!$B$29),(($H$3*'Alternative 1'!$B$39+(($N$5/3)*COS($K$5)))),($H86*'Alternative 1'!$B$39))))</f>
        <v>#VALUE!</v>
      </c>
      <c r="T86" s="78" t="e">
        <f>R86*'Alternative 1'!$K87/'Alternative 1'!$L87</f>
        <v>#VALUE!</v>
      </c>
      <c r="U86" s="78" t="e">
        <f>S86/'Alternative 1'!$M87</f>
        <v>#VALUE!</v>
      </c>
      <c r="V86" s="78" t="e">
        <f t="shared" si="20"/>
        <v>#VALUE!</v>
      </c>
      <c r="X86" s="78" t="e">
        <f>'Alternative 1'!$B$39*$B86*$C86*COS($K$13)-($N$12/3)*$E86*SIN($K$13)-($N$12/3)*$F86*SIN($K$13)-($N$12/3)*$G86*SIN($K$13)</f>
        <v>#VALUE!</v>
      </c>
      <c r="Y86" s="79" t="e">
        <f>IF(($A86&lt;'Alternative 1'!$B$27),(($H86*'Alternative 1'!$B$39)+(3*($N$12/3)*COS($K$13))),IF(($A86&lt;'Alternative 1'!$B$28),(($H86*'Alternative 1'!$B$39)+(2*(($N$12/3)*COS($K$13)))),IF(($A86&lt;'Alternative 1'!$B$29),(($H$3*'Alternative 1'!$B$39+(($N$12/3)*COS($K$13)))),($H86*'Alternative 1'!$B$39))))</f>
        <v>#VALUE!</v>
      </c>
      <c r="Z86" s="78" t="e">
        <f>X86*'Alternative 1'!$K87/'Alternative 1'!$L87</f>
        <v>#VALUE!</v>
      </c>
      <c r="AA86" s="78" t="e">
        <f>Y86/'Alternative 1'!$M87</f>
        <v>#VALUE!</v>
      </c>
      <c r="AB86" s="78" t="e">
        <f t="shared" si="21"/>
        <v>#VALUE!</v>
      </c>
      <c r="AD86" s="78" t="e">
        <f>'Alternative 1'!$B$39*$B86*$C86*COS($K$23)-($N$22/3)*$E86*SIN($K$23)-($N$22/3)*$F86*SIN($K$23)-($N$22/3)*$G86*SIN($K$23)</f>
        <v>#VALUE!</v>
      </c>
      <c r="AE86" s="79" t="e">
        <f>IF(($A86&lt;'Alternative 1'!$B$27),(($H86*'Alternative 1'!$B$39)+(3*($N$22/3)*COS($K$23))),IF(($A86&lt;'Alternative 1'!$B$28),(($H86*'Alternative 1'!$B$39)+(2*(($N$22/3)*COS($K$23)))),IF(($A86&lt;'Alternative 1'!$B$29),(($H$3*'Alternative 1'!$B$39+(($N$22/3)*COS($K$23)))),($H86*'Alternative 1'!$B$39))))</f>
        <v>#VALUE!</v>
      </c>
      <c r="AF86" s="78" t="e">
        <f>AD86*'Alternative 1'!$K87/'Alternative 1'!$L87</f>
        <v>#VALUE!</v>
      </c>
      <c r="AG86" s="78" t="e">
        <f>AE86/'Alternative 1'!$M87</f>
        <v>#VALUE!</v>
      </c>
      <c r="AH86" s="78" t="e">
        <f t="shared" si="22"/>
        <v>#VALUE!</v>
      </c>
      <c r="AJ86" s="78" t="e">
        <f>'Alternative 1'!$B$39*$B86*$C86*COS($K$33)-($N$32/3)*$E86*SIN($K$33)-($N$32/3)*$F86*SIN($K$33)-($N$32/3)*$G86*SIN($K$33)</f>
        <v>#VALUE!</v>
      </c>
      <c r="AK86" s="79" t="e">
        <f>IF(($A86&lt;'Alternative 1'!$B$27),(($H86*'Alternative 1'!$B$39)+(3*($N$32/3)*COS($K$33))),IF(($A86&lt;'Alternative 1'!$B$28),(($H86*'Alternative 1'!$B$39)+(2*(($N$32/3)*COS($K$33)))),IF(($A86&lt;'Alternative 1'!$B$29),(($H$3*'Alternative 1'!$B$39+(($N$32/3)*COS($K$33)))),($H86*'Alternative 1'!$B$39))))</f>
        <v>#VALUE!</v>
      </c>
      <c r="AL86" s="78" t="e">
        <f>AJ86*'Alternative 1'!$K87/'Alternative 1'!$L87</f>
        <v>#VALUE!</v>
      </c>
      <c r="AM86" s="78" t="e">
        <f>AK86/'Alternative 1'!$M87</f>
        <v>#VALUE!</v>
      </c>
      <c r="AN86" s="78" t="e">
        <f t="shared" si="23"/>
        <v>#VALUE!</v>
      </c>
      <c r="AP86" s="78" t="e">
        <f>'Alternative 1'!$B$39*$B86*$C86*COS($K$43)-($N$42/3)*$E86*SIN($K$43)-($N$42/3)*$F86*SIN($K$43)-($N$42/3)*$G86*SIN($K$43)</f>
        <v>#VALUE!</v>
      </c>
      <c r="AQ86" s="79" t="e">
        <f>IF(($A86&lt;'Alternative 1'!$B$27),(($H86*'Alternative 1'!$B$39)+(3*($N$42/3)*COS($K$43))),IF(($A86&lt;'Alternative 1'!$B$28),(($H86*'Alternative 1'!$B$39)+(2*(($N$42/3)*COS($K$43)))),IF(($A86&lt;'Alternative 1'!$B$29),(($H$3*'Alternative 1'!$B$39+(($N$42/3)*COS($K$43)))),($H86*'Alternative 1'!$B$39))))</f>
        <v>#VALUE!</v>
      </c>
      <c r="AR86" s="78" t="e">
        <f>AP86*'Alternative 1'!$K87/'Alternative 1'!$L87</f>
        <v>#VALUE!</v>
      </c>
      <c r="AS86" s="78" t="e">
        <f>AQ86/'Alternative 1'!$M87</f>
        <v>#VALUE!</v>
      </c>
      <c r="AT86" s="78" t="e">
        <f t="shared" si="24"/>
        <v>#VALUE!</v>
      </c>
      <c r="AV86" s="78" t="e">
        <f>'Alternative 1'!$B$39*$B86*$C86*COS($K$53)-($N$52/3)*$E86*SIN($K$53)-($N$52/3)*$F86*SIN($K$53)-($N$52/3)*$G86*SIN($K$53)</f>
        <v>#VALUE!</v>
      </c>
      <c r="AW86" s="79" t="e">
        <f>IF(($A86&lt;'Alternative 1'!$B$27),(($H86*'Alternative 1'!$B$39)+(3*($N$52/3)*COS($K$53))),IF(($A86&lt;'Alternative 1'!$B$28),(($H86*'Alternative 1'!$B$39)+(2*(($N$52/3)*COS($K$53)))),IF(($A86&lt;'Alternative 1'!$B$29),(($H$3*'Alternative 1'!$B$39+(($N$52/3)*COS($K$53)))),($H86*'Alternative 1'!$B$39))))</f>
        <v>#VALUE!</v>
      </c>
      <c r="AX86" s="78" t="e">
        <f>AV86*'Alternative 1'!$K87/'Alternative 1'!$L87</f>
        <v>#VALUE!</v>
      </c>
      <c r="AY86" s="78" t="e">
        <f>AW86/'Alternative 1'!$M87</f>
        <v>#VALUE!</v>
      </c>
      <c r="AZ86" s="78" t="e">
        <f t="shared" si="25"/>
        <v>#VALUE!</v>
      </c>
      <c r="BB86" s="78" t="e">
        <f>'Alternative 1'!$B$39*$B86*$C86*COS($K$63)-($N$62/3)*$E86*SIN($K$63)-($N$62/3)*$F86*SIN($K$63)-($N$62/3)*$G86*SIN($K$63)</f>
        <v>#VALUE!</v>
      </c>
      <c r="BC86" s="79" t="e">
        <f>IF(($A86&lt;'Alternative 1'!$B$27),(($H86*'Alternative 1'!$B$39)+(3*($N$62/3)*COS($K$63))),IF(($A86&lt;'Alternative 1'!$B$28),(($H86*'Alternative 1'!$B$39)+(2*(($N$62/3)*COS($K$63)))),IF(($A86&lt;'Alternative 1'!$B$29),(($H$3*'Alternative 1'!$B$39+(($N$62/3)*COS($K$63)))),($H86*'Alternative 1'!$B$39))))</f>
        <v>#VALUE!</v>
      </c>
      <c r="BD86" s="78" t="e">
        <f>BB86*'Alternative 1'!$K87/'Alternative 1'!$L87</f>
        <v>#VALUE!</v>
      </c>
      <c r="BE86" s="78" t="e">
        <f>BC86/'Alternative 1'!$M87</f>
        <v>#VALUE!</v>
      </c>
      <c r="BF86" s="78" t="e">
        <f t="shared" si="26"/>
        <v>#VALUE!</v>
      </c>
      <c r="BH86" s="78" t="e">
        <f>'Alternative 1'!$B$39*$B86*$C86*COS($K$73)-($N$72/3)*$E86*SIN($K$73)-($N$72/3)*$F86*SIN($K$73)-($N$72/3)*$G86*SIN($K$73)</f>
        <v>#VALUE!</v>
      </c>
      <c r="BI86" s="79" t="e">
        <f>IF(($A86&lt;'Alternative 1'!$B$27),(($H86*'Alternative 1'!$B$39)+(3*($N$72/3)*COS($K$73))),IF(($A86&lt;'Alternative 1'!$B$28),(($H86*'Alternative 1'!$B$39)+(2*(($N$72/3)*COS($K$73)))),IF(($A86&lt;'Alternative 1'!$B$29),(($H$3*'Alternative 1'!$B$39+(($N$72/3)*COS($K$73)))),($H86*'Alternative 1'!$B$39))))</f>
        <v>#VALUE!</v>
      </c>
      <c r="BJ86" s="78" t="e">
        <f>BH86*'Alternative 1'!$K87/'Alternative 1'!$L87</f>
        <v>#VALUE!</v>
      </c>
      <c r="BK86" s="78" t="e">
        <f>BI86/'Alternative 1'!$M87</f>
        <v>#VALUE!</v>
      </c>
      <c r="BL86" s="78" t="e">
        <f t="shared" si="27"/>
        <v>#VALUE!</v>
      </c>
      <c r="BN86" s="78" t="e">
        <f>'Alternative 1'!$B$39*$B86*$C86*COS($K$83)-($N$82/3)*$E86*SIN($K$83)-($N$82/3)*$F86*SIN($K$83)-($N$82/3)*$G86*SIN($K$83)</f>
        <v>#VALUE!</v>
      </c>
      <c r="BO86" s="79" t="e">
        <f>IF(($A86&lt;'Alternative 1'!$B$27),(($H86*'Alternative 1'!$B$39)+(3*($N$82/3)*COS($K$83))),IF(($A86&lt;'Alternative 1'!$B$28),(($H86*'Alternative 1'!$B$39)+(2*(($N$82/3)*COS($K$83)))),IF(($A86&lt;'Alternative 1'!$B$29),(($H$3*'Alternative 1'!$B$39+(($N$82/3)*COS($K$83)))),($H86*'Alternative 1'!$B$39))))</f>
        <v>#VALUE!</v>
      </c>
      <c r="BP86" s="78" t="e">
        <f>BN86*'Alternative 1'!$K87/'Alternative 1'!$L87</f>
        <v>#VALUE!</v>
      </c>
      <c r="BQ86" s="78" t="e">
        <f>BO86/'Alternative 1'!$M87</f>
        <v>#VALUE!</v>
      </c>
      <c r="BR86" s="78" t="e">
        <f t="shared" si="28"/>
        <v>#VALUE!</v>
      </c>
      <c r="BT86" s="78" t="e">
        <f>'Alternative 1'!$B$39*$B86*$C86*COS($K$93)-($K$92/3)*$E86*SIN($K$93)-($K$92/3)*$F86*SIN($K$93)-($K$92/3)*$G86*SIN($K$93)</f>
        <v>#VALUE!</v>
      </c>
      <c r="BU86" s="79" t="e">
        <f>IF(($A86&lt;'Alternative 1'!$B$27),(($H86*'Alternative 1'!$B$39)+(3*($N$92/3)*COS($K$93))),IF(($A86&lt;'Alternative 1'!$B$28),(($H86*'Alternative 1'!$B$39)+(2*(($N$92/3)*COS($K$93)))),IF(($A86&lt;'Alternative 1'!$B$29),(($H$3*'Alternative 1'!$B$39+(($N$92/3)*COS($K$93)))),($H86*'Alternative 1'!$B$39))))</f>
        <v>#VALUE!</v>
      </c>
      <c r="BV86" s="78" t="e">
        <f>BT86*'Alternative 1'!$K87/'Alternative 1'!$L87</f>
        <v>#VALUE!</v>
      </c>
      <c r="BW86" s="78" t="e">
        <f>BU86/'Alternative 1'!$M87</f>
        <v>#VALUE!</v>
      </c>
      <c r="BX86" s="78" t="e">
        <f t="shared" si="29"/>
        <v>#VALUE!</v>
      </c>
      <c r="BZ86" s="151"/>
      <c r="CA86" s="15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1"/>
      <c r="DG86" s="281"/>
      <c r="DH86" s="281"/>
      <c r="DI86" s="281"/>
      <c r="DJ86" s="281"/>
      <c r="DK86" s="281"/>
    </row>
    <row r="87" spans="1:115" ht="15" customHeight="1" x14ac:dyDescent="0.25">
      <c r="A87" s="89" t="str">
        <f>IF('Alternative 1'!F88&gt;0,'Alternative 1'!F88,"x")</f>
        <v>x</v>
      </c>
      <c r="B87" s="89" t="e">
        <f t="shared" si="35"/>
        <v>#VALUE!</v>
      </c>
      <c r="C87" s="89">
        <f t="shared" si="30"/>
        <v>0</v>
      </c>
      <c r="D87" s="89" t="str">
        <f t="shared" si="31"/>
        <v>x</v>
      </c>
      <c r="E87" s="74">
        <f>IF($A87&lt;='Alternative 1'!$B$27, IF($A87='Alternative 1'!$B$27,0,E88+1),0)</f>
        <v>0</v>
      </c>
      <c r="F87" s="74">
        <f>IF($A87&lt;=('Alternative 1'!$B$28), IF($A87=ROUNDDOWN('Alternative 1'!$B$28,0),0,F88+1),0)</f>
        <v>0</v>
      </c>
      <c r="G87" s="74">
        <f>IF($A87&lt;=('Alternative 1'!$B$29), IF($A87=ROUNDDOWN('Alternative 1'!$B$29,0),0,G88+1),0)</f>
        <v>0</v>
      </c>
      <c r="H87" s="89" t="e">
        <f t="shared" si="32"/>
        <v>#VALUE!</v>
      </c>
      <c r="J87" s="77">
        <f t="shared" si="33"/>
        <v>84</v>
      </c>
      <c r="K87" s="77">
        <f t="shared" si="34"/>
        <v>1.4660765716752369</v>
      </c>
      <c r="L87" s="78">
        <f>'Alternative 1'!$B$27*SIN(K87)+'Alternative 1'!$B$28*SIN(K87)+'Alternative 1'!$B$29*SIN(K87)</f>
        <v>67.627488885042581</v>
      </c>
      <c r="M87" s="77">
        <f>(('Alternative 1'!$B$27)*(((('Alternative 1'!$B$28-'Alternative 1'!$B$27)/2)+'Alternative 1'!$B$27)*'Alternative 1'!$B$39)*COS('Alternative 1-Tilt Up'!K87))+(('Alternative 1'!$B$28)*((('Alternative 1'!$B$28-'Alternative 1'!$B$27)/2)+(('Alternative 1'!$B$29-'Alternative 1'!$B$28)/2))*('Alternative 1'!$B$39)*COS('Alternative 1-Tilt Up'!K87))+(('Alternative 1'!$B$29)*((('Alternative 1'!$B$12-'Alternative 1'!$B$29+(('Alternative 1'!$B$29-'Alternative 1'!$B$28)/2)*('Alternative 1'!$B$39)*COS('Alternative 1-Tilt Up'!K87)))))</f>
        <v>496279.02018463134</v>
      </c>
      <c r="N87" s="77">
        <f t="shared" si="18"/>
        <v>22015.264578058071</v>
      </c>
      <c r="O87" s="77">
        <f>(((('Alternative 1'!$B$28-'Alternative 1'!$B$27)/2)+'Alternative 1'!$B$27)*('Alternative 1'!$B$39)*COS('Alternative 1-Tilt Up'!K87))+(((('Alternative 1'!$B$28-'Alternative 1'!$B$27)/2)+(('Alternative 1'!$B$29-'Alternative 1'!$B$28)/2))*('Alternative 1'!$B$39)*COS('Alternative 1-Tilt Up'!K87))+(((('Alternative 1'!$B$12-'Alternative 1'!$B$29)+(('Alternative 1'!$B$29-'Alternative 1'!$B$28)/2))*('Alternative 1'!$B$39)*COS('Alternative 1-Tilt Up'!K87)))</f>
        <v>31998.243415150027</v>
      </c>
      <c r="P87" s="77">
        <f t="shared" si="19"/>
        <v>2301.2217747752156</v>
      </c>
      <c r="R87" s="78" t="e">
        <f>'Alternative 1'!$B$39*$B87*$C87*COS($K$5)-($N$5/3)*$E87*SIN($K$5)-($N$5/3)*$F87*SIN($K$5)-($N$5/3)*$G87*SIN($K$5)</f>
        <v>#VALUE!</v>
      </c>
      <c r="S87" s="79" t="e">
        <f>IF(($A87&lt;'Alternative 1'!$B$27),(($H87*'Alternative 1'!$B$39)+(3*($N$5/3)*COS($K$5))),IF(($A87&lt;'Alternative 1'!$B$28),(($H87*'Alternative 1'!$B$39)+(2*(($N$5/3)*COS($K$5)))),IF(($A87&lt;'Alternative 1'!$B$29),(($H$3*'Alternative 1'!$B$39+(($N$5/3)*COS($K$5)))),($H87*'Alternative 1'!$B$39))))</f>
        <v>#VALUE!</v>
      </c>
      <c r="T87" s="78" t="e">
        <f>R87*'Alternative 1'!$K88/'Alternative 1'!$L88</f>
        <v>#VALUE!</v>
      </c>
      <c r="U87" s="78" t="e">
        <f>S87/'Alternative 1'!$M88</f>
        <v>#VALUE!</v>
      </c>
      <c r="V87" s="78" t="e">
        <f t="shared" si="20"/>
        <v>#VALUE!</v>
      </c>
      <c r="X87" s="78" t="e">
        <f>'Alternative 1'!$B$39*$B87*$C87*COS($K$13)-($N$12/3)*$E87*SIN($K$13)-($N$12/3)*$F87*SIN($K$13)-($N$12/3)*$G87*SIN($K$13)</f>
        <v>#VALUE!</v>
      </c>
      <c r="Y87" s="79" t="e">
        <f>IF(($A87&lt;'Alternative 1'!$B$27),(($H87*'Alternative 1'!$B$39)+(3*($N$12/3)*COS($K$13))),IF(($A87&lt;'Alternative 1'!$B$28),(($H87*'Alternative 1'!$B$39)+(2*(($N$12/3)*COS($K$13)))),IF(($A87&lt;'Alternative 1'!$B$29),(($H$3*'Alternative 1'!$B$39+(($N$12/3)*COS($K$13)))),($H87*'Alternative 1'!$B$39))))</f>
        <v>#VALUE!</v>
      </c>
      <c r="Z87" s="78" t="e">
        <f>X87*'Alternative 1'!$K88/'Alternative 1'!$L88</f>
        <v>#VALUE!</v>
      </c>
      <c r="AA87" s="78" t="e">
        <f>Y87/'Alternative 1'!$M88</f>
        <v>#VALUE!</v>
      </c>
      <c r="AB87" s="78" t="e">
        <f t="shared" si="21"/>
        <v>#VALUE!</v>
      </c>
      <c r="AD87" s="78" t="e">
        <f>'Alternative 1'!$B$39*$B87*$C87*COS($K$23)-($N$22/3)*$E87*SIN($K$23)-($N$22/3)*$F87*SIN($K$23)-($N$22/3)*$G87*SIN($K$23)</f>
        <v>#VALUE!</v>
      </c>
      <c r="AE87" s="79" t="e">
        <f>IF(($A87&lt;'Alternative 1'!$B$27),(($H87*'Alternative 1'!$B$39)+(3*($N$22/3)*COS($K$23))),IF(($A87&lt;'Alternative 1'!$B$28),(($H87*'Alternative 1'!$B$39)+(2*(($N$22/3)*COS($K$23)))),IF(($A87&lt;'Alternative 1'!$B$29),(($H$3*'Alternative 1'!$B$39+(($N$22/3)*COS($K$23)))),($H87*'Alternative 1'!$B$39))))</f>
        <v>#VALUE!</v>
      </c>
      <c r="AF87" s="78" t="e">
        <f>AD87*'Alternative 1'!$K88/'Alternative 1'!$L88</f>
        <v>#VALUE!</v>
      </c>
      <c r="AG87" s="78" t="e">
        <f>AE87/'Alternative 1'!$M88</f>
        <v>#VALUE!</v>
      </c>
      <c r="AH87" s="78" t="e">
        <f t="shared" si="22"/>
        <v>#VALUE!</v>
      </c>
      <c r="AJ87" s="78" t="e">
        <f>'Alternative 1'!$B$39*$B87*$C87*COS($K$33)-($N$32/3)*$E87*SIN($K$33)-($N$32/3)*$F87*SIN($K$33)-($N$32/3)*$G87*SIN($K$33)</f>
        <v>#VALUE!</v>
      </c>
      <c r="AK87" s="79" t="e">
        <f>IF(($A87&lt;'Alternative 1'!$B$27),(($H87*'Alternative 1'!$B$39)+(3*($N$32/3)*COS($K$33))),IF(($A87&lt;'Alternative 1'!$B$28),(($H87*'Alternative 1'!$B$39)+(2*(($N$32/3)*COS($K$33)))),IF(($A87&lt;'Alternative 1'!$B$29),(($H$3*'Alternative 1'!$B$39+(($N$32/3)*COS($K$33)))),($H87*'Alternative 1'!$B$39))))</f>
        <v>#VALUE!</v>
      </c>
      <c r="AL87" s="78" t="e">
        <f>AJ87*'Alternative 1'!$K88/'Alternative 1'!$L88</f>
        <v>#VALUE!</v>
      </c>
      <c r="AM87" s="78" t="e">
        <f>AK87/'Alternative 1'!$M88</f>
        <v>#VALUE!</v>
      </c>
      <c r="AN87" s="78" t="e">
        <f t="shared" si="23"/>
        <v>#VALUE!</v>
      </c>
      <c r="AP87" s="78" t="e">
        <f>'Alternative 1'!$B$39*$B87*$C87*COS($K$43)-($N$42/3)*$E87*SIN($K$43)-($N$42/3)*$F87*SIN($K$43)-($N$42/3)*$G87*SIN($K$43)</f>
        <v>#VALUE!</v>
      </c>
      <c r="AQ87" s="79" t="e">
        <f>IF(($A87&lt;'Alternative 1'!$B$27),(($H87*'Alternative 1'!$B$39)+(3*($N$42/3)*COS($K$43))),IF(($A87&lt;'Alternative 1'!$B$28),(($H87*'Alternative 1'!$B$39)+(2*(($N$42/3)*COS($K$43)))),IF(($A87&lt;'Alternative 1'!$B$29),(($H$3*'Alternative 1'!$B$39+(($N$42/3)*COS($K$43)))),($H87*'Alternative 1'!$B$39))))</f>
        <v>#VALUE!</v>
      </c>
      <c r="AR87" s="78" t="e">
        <f>AP87*'Alternative 1'!$K88/'Alternative 1'!$L88</f>
        <v>#VALUE!</v>
      </c>
      <c r="AS87" s="78" t="e">
        <f>AQ87/'Alternative 1'!$M88</f>
        <v>#VALUE!</v>
      </c>
      <c r="AT87" s="78" t="e">
        <f t="shared" si="24"/>
        <v>#VALUE!</v>
      </c>
      <c r="AV87" s="78" t="e">
        <f>'Alternative 1'!$B$39*$B87*$C87*COS($K$53)-($N$52/3)*$E87*SIN($K$53)-($N$52/3)*$F87*SIN($K$53)-($N$52/3)*$G87*SIN($K$53)</f>
        <v>#VALUE!</v>
      </c>
      <c r="AW87" s="79" t="e">
        <f>IF(($A87&lt;'Alternative 1'!$B$27),(($H87*'Alternative 1'!$B$39)+(3*($N$52/3)*COS($K$53))),IF(($A87&lt;'Alternative 1'!$B$28),(($H87*'Alternative 1'!$B$39)+(2*(($N$52/3)*COS($K$53)))),IF(($A87&lt;'Alternative 1'!$B$29),(($H$3*'Alternative 1'!$B$39+(($N$52/3)*COS($K$53)))),($H87*'Alternative 1'!$B$39))))</f>
        <v>#VALUE!</v>
      </c>
      <c r="AX87" s="78" t="e">
        <f>AV87*'Alternative 1'!$K88/'Alternative 1'!$L88</f>
        <v>#VALUE!</v>
      </c>
      <c r="AY87" s="78" t="e">
        <f>AW87/'Alternative 1'!$M88</f>
        <v>#VALUE!</v>
      </c>
      <c r="AZ87" s="78" t="e">
        <f t="shared" si="25"/>
        <v>#VALUE!</v>
      </c>
      <c r="BB87" s="78" t="e">
        <f>'Alternative 1'!$B$39*$B87*$C87*COS($K$63)-($N$62/3)*$E87*SIN($K$63)-($N$62/3)*$F87*SIN($K$63)-($N$62/3)*$G87*SIN($K$63)</f>
        <v>#VALUE!</v>
      </c>
      <c r="BC87" s="79" t="e">
        <f>IF(($A87&lt;'Alternative 1'!$B$27),(($H87*'Alternative 1'!$B$39)+(3*($N$62/3)*COS($K$63))),IF(($A87&lt;'Alternative 1'!$B$28),(($H87*'Alternative 1'!$B$39)+(2*(($N$62/3)*COS($K$63)))),IF(($A87&lt;'Alternative 1'!$B$29),(($H$3*'Alternative 1'!$B$39+(($N$62/3)*COS($K$63)))),($H87*'Alternative 1'!$B$39))))</f>
        <v>#VALUE!</v>
      </c>
      <c r="BD87" s="78" t="e">
        <f>BB87*'Alternative 1'!$K88/'Alternative 1'!$L88</f>
        <v>#VALUE!</v>
      </c>
      <c r="BE87" s="78" t="e">
        <f>BC87/'Alternative 1'!$M88</f>
        <v>#VALUE!</v>
      </c>
      <c r="BF87" s="78" t="e">
        <f t="shared" si="26"/>
        <v>#VALUE!</v>
      </c>
      <c r="BH87" s="78" t="e">
        <f>'Alternative 1'!$B$39*$B87*$C87*COS($K$73)-($N$72/3)*$E87*SIN($K$73)-($N$72/3)*$F87*SIN($K$73)-($N$72/3)*$G87*SIN($K$73)</f>
        <v>#VALUE!</v>
      </c>
      <c r="BI87" s="79" t="e">
        <f>IF(($A87&lt;'Alternative 1'!$B$27),(($H87*'Alternative 1'!$B$39)+(3*($N$72/3)*COS($K$73))),IF(($A87&lt;'Alternative 1'!$B$28),(($H87*'Alternative 1'!$B$39)+(2*(($N$72/3)*COS($K$73)))),IF(($A87&lt;'Alternative 1'!$B$29),(($H$3*'Alternative 1'!$B$39+(($N$72/3)*COS($K$73)))),($H87*'Alternative 1'!$B$39))))</f>
        <v>#VALUE!</v>
      </c>
      <c r="BJ87" s="78" t="e">
        <f>BH87*'Alternative 1'!$K88/'Alternative 1'!$L88</f>
        <v>#VALUE!</v>
      </c>
      <c r="BK87" s="78" t="e">
        <f>BI87/'Alternative 1'!$M88</f>
        <v>#VALUE!</v>
      </c>
      <c r="BL87" s="78" t="e">
        <f t="shared" si="27"/>
        <v>#VALUE!</v>
      </c>
      <c r="BN87" s="78" t="e">
        <f>'Alternative 1'!$B$39*$B87*$C87*COS($K$83)-($N$82/3)*$E87*SIN($K$83)-($N$82/3)*$F87*SIN($K$83)-($N$82/3)*$G87*SIN($K$83)</f>
        <v>#VALUE!</v>
      </c>
      <c r="BO87" s="79" t="e">
        <f>IF(($A87&lt;'Alternative 1'!$B$27),(($H87*'Alternative 1'!$B$39)+(3*($N$82/3)*COS($K$83))),IF(($A87&lt;'Alternative 1'!$B$28),(($H87*'Alternative 1'!$B$39)+(2*(($N$82/3)*COS($K$83)))),IF(($A87&lt;'Alternative 1'!$B$29),(($H$3*'Alternative 1'!$B$39+(($N$82/3)*COS($K$83)))),($H87*'Alternative 1'!$B$39))))</f>
        <v>#VALUE!</v>
      </c>
      <c r="BP87" s="78" t="e">
        <f>BN87*'Alternative 1'!$K88/'Alternative 1'!$L88</f>
        <v>#VALUE!</v>
      </c>
      <c r="BQ87" s="78" t="e">
        <f>BO87/'Alternative 1'!$M88</f>
        <v>#VALUE!</v>
      </c>
      <c r="BR87" s="78" t="e">
        <f t="shared" si="28"/>
        <v>#VALUE!</v>
      </c>
      <c r="BT87" s="78" t="e">
        <f>'Alternative 1'!$B$39*$B87*$C87*COS($K$93)-($K$92/3)*$E87*SIN($K$93)-($K$92/3)*$F87*SIN($K$93)-($K$92/3)*$G87*SIN($K$93)</f>
        <v>#VALUE!</v>
      </c>
      <c r="BU87" s="79" t="e">
        <f>IF(($A87&lt;'Alternative 1'!$B$27),(($H87*'Alternative 1'!$B$39)+(3*($N$92/3)*COS($K$93))),IF(($A87&lt;'Alternative 1'!$B$28),(($H87*'Alternative 1'!$B$39)+(2*(($N$92/3)*COS($K$93)))),IF(($A87&lt;'Alternative 1'!$B$29),(($H$3*'Alternative 1'!$B$39+(($N$92/3)*COS($K$93)))),($H87*'Alternative 1'!$B$39))))</f>
        <v>#VALUE!</v>
      </c>
      <c r="BV87" s="78" t="e">
        <f>BT87*'Alternative 1'!$K88/'Alternative 1'!$L88</f>
        <v>#VALUE!</v>
      </c>
      <c r="BW87" s="78" t="e">
        <f>BU87/'Alternative 1'!$M88</f>
        <v>#VALUE!</v>
      </c>
      <c r="BX87" s="78" t="e">
        <f t="shared" si="29"/>
        <v>#VALUE!</v>
      </c>
      <c r="BZ87" s="151"/>
      <c r="CA87" s="15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1"/>
      <c r="DG87" s="281"/>
      <c r="DH87" s="281"/>
      <c r="DI87" s="281"/>
      <c r="DJ87" s="281"/>
      <c r="DK87" s="281"/>
    </row>
    <row r="88" spans="1:115" ht="15" customHeight="1" x14ac:dyDescent="0.25">
      <c r="A88" s="89" t="str">
        <f>IF('Alternative 1'!F89&gt;0,'Alternative 1'!F89,"x")</f>
        <v>x</v>
      </c>
      <c r="B88" s="89" t="e">
        <f t="shared" si="35"/>
        <v>#VALUE!</v>
      </c>
      <c r="C88" s="89">
        <f t="shared" si="30"/>
        <v>0</v>
      </c>
      <c r="D88" s="89" t="str">
        <f t="shared" si="31"/>
        <v>x</v>
      </c>
      <c r="E88" s="74">
        <f>IF($A88&lt;='Alternative 1'!$B$27, IF($A88='Alternative 1'!$B$27,0,E89+1),0)</f>
        <v>0</v>
      </c>
      <c r="F88" s="74">
        <f>IF($A88&lt;=('Alternative 1'!$B$28), IF($A88=ROUNDDOWN('Alternative 1'!$B$28,0),0,F89+1),0)</f>
        <v>0</v>
      </c>
      <c r="G88" s="74">
        <f>IF($A88&lt;=('Alternative 1'!$B$29), IF($A88=ROUNDDOWN('Alternative 1'!$B$29,0),0,G89+1),0)</f>
        <v>0</v>
      </c>
      <c r="H88" s="89" t="e">
        <f t="shared" si="32"/>
        <v>#VALUE!</v>
      </c>
      <c r="J88" s="77">
        <f t="shared" si="33"/>
        <v>85</v>
      </c>
      <c r="K88" s="77">
        <f t="shared" si="34"/>
        <v>1.4835298641951802</v>
      </c>
      <c r="L88" s="78">
        <f>'Alternative 1'!$B$27*SIN(K88)+'Alternative 1'!$B$28*SIN(K88)+'Alternative 1'!$B$29*SIN(K88)</f>
        <v>67.741239470238696</v>
      </c>
      <c r="M88" s="77">
        <f>(('Alternative 1'!$B$27)*(((('Alternative 1'!$B$28-'Alternative 1'!$B$27)/2)+'Alternative 1'!$B$27)*'Alternative 1'!$B$39)*COS('Alternative 1-Tilt Up'!K88))+(('Alternative 1'!$B$28)*((('Alternative 1'!$B$28-'Alternative 1'!$B$27)/2)+(('Alternative 1'!$B$29-'Alternative 1'!$B$28)/2))*('Alternative 1'!$B$39)*COS('Alternative 1-Tilt Up'!K88))+(('Alternative 1'!$B$29)*((('Alternative 1'!$B$12-'Alternative 1'!$B$29+(('Alternative 1'!$B$29-'Alternative 1'!$B$28)/2)*('Alternative 1'!$B$39)*COS('Alternative 1-Tilt Up'!K88)))))</f>
        <v>413829.534142619</v>
      </c>
      <c r="N88" s="77">
        <f t="shared" si="18"/>
        <v>18326.924811780129</v>
      </c>
      <c r="O88" s="77">
        <f>(((('Alternative 1'!$B$28-'Alternative 1'!$B$27)/2)+'Alternative 1'!$B$27)*('Alternative 1'!$B$39)*COS('Alternative 1-Tilt Up'!K88))+(((('Alternative 1'!$B$28-'Alternative 1'!$B$27)/2)+(('Alternative 1'!$B$29-'Alternative 1'!$B$28)/2))*('Alternative 1'!$B$39)*COS('Alternative 1-Tilt Up'!K88))+(((('Alternative 1'!$B$12-'Alternative 1'!$B$29)+(('Alternative 1'!$B$29-'Alternative 1'!$B$28)/2))*('Alternative 1'!$B$39)*COS('Alternative 1-Tilt Up'!K88)))</f>
        <v>26680.107831746638</v>
      </c>
      <c r="P88" s="77">
        <f t="shared" si="19"/>
        <v>1597.296744251182</v>
      </c>
      <c r="R88" s="78" t="e">
        <f>'Alternative 1'!$B$39*$B88*$C88*COS($K$5)-($N$5/3)*$E88*SIN($K$5)-($N$5/3)*$F88*SIN($K$5)-($N$5/3)*$G88*SIN($K$5)</f>
        <v>#VALUE!</v>
      </c>
      <c r="S88" s="79" t="e">
        <f>IF(($A88&lt;'Alternative 1'!$B$27),(($H88*'Alternative 1'!$B$39)+(3*($N$5/3)*COS($K$5))),IF(($A88&lt;'Alternative 1'!$B$28),(($H88*'Alternative 1'!$B$39)+(2*(($N$5/3)*COS($K$5)))),IF(($A88&lt;'Alternative 1'!$B$29),(($H$3*'Alternative 1'!$B$39+(($N$5/3)*COS($K$5)))),($H88*'Alternative 1'!$B$39))))</f>
        <v>#VALUE!</v>
      </c>
      <c r="T88" s="78" t="e">
        <f>R88*'Alternative 1'!$K89/'Alternative 1'!$L89</f>
        <v>#VALUE!</v>
      </c>
      <c r="U88" s="78" t="e">
        <f>S88/'Alternative 1'!$M89</f>
        <v>#VALUE!</v>
      </c>
      <c r="V88" s="78" t="e">
        <f t="shared" si="20"/>
        <v>#VALUE!</v>
      </c>
      <c r="X88" s="78" t="e">
        <f>'Alternative 1'!$B$39*$B88*$C88*COS($K$13)-($N$12/3)*$E88*SIN($K$13)-($N$12/3)*$F88*SIN($K$13)-($N$12/3)*$G88*SIN($K$13)</f>
        <v>#VALUE!</v>
      </c>
      <c r="Y88" s="79" t="e">
        <f>IF(($A88&lt;'Alternative 1'!$B$27),(($H88*'Alternative 1'!$B$39)+(3*($N$12/3)*COS($K$13))),IF(($A88&lt;'Alternative 1'!$B$28),(($H88*'Alternative 1'!$B$39)+(2*(($N$12/3)*COS($K$13)))),IF(($A88&lt;'Alternative 1'!$B$29),(($H$3*'Alternative 1'!$B$39+(($N$12/3)*COS($K$13)))),($H88*'Alternative 1'!$B$39))))</f>
        <v>#VALUE!</v>
      </c>
      <c r="Z88" s="78" t="e">
        <f>X88*'Alternative 1'!$K89/'Alternative 1'!$L89</f>
        <v>#VALUE!</v>
      </c>
      <c r="AA88" s="78" t="e">
        <f>Y88/'Alternative 1'!$M89</f>
        <v>#VALUE!</v>
      </c>
      <c r="AB88" s="78" t="e">
        <f t="shared" si="21"/>
        <v>#VALUE!</v>
      </c>
      <c r="AD88" s="78" t="e">
        <f>'Alternative 1'!$B$39*$B88*$C88*COS($K$23)-($N$22/3)*$E88*SIN($K$23)-($N$22/3)*$F88*SIN($K$23)-($N$22/3)*$G88*SIN($K$23)</f>
        <v>#VALUE!</v>
      </c>
      <c r="AE88" s="79" t="e">
        <f>IF(($A88&lt;'Alternative 1'!$B$27),(($H88*'Alternative 1'!$B$39)+(3*($N$22/3)*COS($K$23))),IF(($A88&lt;'Alternative 1'!$B$28),(($H88*'Alternative 1'!$B$39)+(2*(($N$22/3)*COS($K$23)))),IF(($A88&lt;'Alternative 1'!$B$29),(($H$3*'Alternative 1'!$B$39+(($N$22/3)*COS($K$23)))),($H88*'Alternative 1'!$B$39))))</f>
        <v>#VALUE!</v>
      </c>
      <c r="AF88" s="78" t="e">
        <f>AD88*'Alternative 1'!$K89/'Alternative 1'!$L89</f>
        <v>#VALUE!</v>
      </c>
      <c r="AG88" s="78" t="e">
        <f>AE88/'Alternative 1'!$M89</f>
        <v>#VALUE!</v>
      </c>
      <c r="AH88" s="78" t="e">
        <f t="shared" si="22"/>
        <v>#VALUE!</v>
      </c>
      <c r="AJ88" s="78" t="e">
        <f>'Alternative 1'!$B$39*$B88*$C88*COS($K$33)-($N$32/3)*$E88*SIN($K$33)-($N$32/3)*$F88*SIN($K$33)-($N$32/3)*$G88*SIN($K$33)</f>
        <v>#VALUE!</v>
      </c>
      <c r="AK88" s="79" t="e">
        <f>IF(($A88&lt;'Alternative 1'!$B$27),(($H88*'Alternative 1'!$B$39)+(3*($N$32/3)*COS($K$33))),IF(($A88&lt;'Alternative 1'!$B$28),(($H88*'Alternative 1'!$B$39)+(2*(($N$32/3)*COS($K$33)))),IF(($A88&lt;'Alternative 1'!$B$29),(($H$3*'Alternative 1'!$B$39+(($N$32/3)*COS($K$33)))),($H88*'Alternative 1'!$B$39))))</f>
        <v>#VALUE!</v>
      </c>
      <c r="AL88" s="78" t="e">
        <f>AJ88*'Alternative 1'!$K89/'Alternative 1'!$L89</f>
        <v>#VALUE!</v>
      </c>
      <c r="AM88" s="78" t="e">
        <f>AK88/'Alternative 1'!$M89</f>
        <v>#VALUE!</v>
      </c>
      <c r="AN88" s="78" t="e">
        <f t="shared" si="23"/>
        <v>#VALUE!</v>
      </c>
      <c r="AP88" s="78" t="e">
        <f>'Alternative 1'!$B$39*$B88*$C88*COS($K$43)-($N$42/3)*$E88*SIN($K$43)-($N$42/3)*$F88*SIN($K$43)-($N$42/3)*$G88*SIN($K$43)</f>
        <v>#VALUE!</v>
      </c>
      <c r="AQ88" s="79" t="e">
        <f>IF(($A88&lt;'Alternative 1'!$B$27),(($H88*'Alternative 1'!$B$39)+(3*($N$42/3)*COS($K$43))),IF(($A88&lt;'Alternative 1'!$B$28),(($H88*'Alternative 1'!$B$39)+(2*(($N$42/3)*COS($K$43)))),IF(($A88&lt;'Alternative 1'!$B$29),(($H$3*'Alternative 1'!$B$39+(($N$42/3)*COS($K$43)))),($H88*'Alternative 1'!$B$39))))</f>
        <v>#VALUE!</v>
      </c>
      <c r="AR88" s="78" t="e">
        <f>AP88*'Alternative 1'!$K89/'Alternative 1'!$L89</f>
        <v>#VALUE!</v>
      </c>
      <c r="AS88" s="78" t="e">
        <f>AQ88/'Alternative 1'!$M89</f>
        <v>#VALUE!</v>
      </c>
      <c r="AT88" s="78" t="e">
        <f t="shared" si="24"/>
        <v>#VALUE!</v>
      </c>
      <c r="AV88" s="78" t="e">
        <f>'Alternative 1'!$B$39*$B88*$C88*COS($K$53)-($N$52/3)*$E88*SIN($K$53)-($N$52/3)*$F88*SIN($K$53)-($N$52/3)*$G88*SIN($K$53)</f>
        <v>#VALUE!</v>
      </c>
      <c r="AW88" s="79" t="e">
        <f>IF(($A88&lt;'Alternative 1'!$B$27),(($H88*'Alternative 1'!$B$39)+(3*($N$52/3)*COS($K$53))),IF(($A88&lt;'Alternative 1'!$B$28),(($H88*'Alternative 1'!$B$39)+(2*(($N$52/3)*COS($K$53)))),IF(($A88&lt;'Alternative 1'!$B$29),(($H$3*'Alternative 1'!$B$39+(($N$52/3)*COS($K$53)))),($H88*'Alternative 1'!$B$39))))</f>
        <v>#VALUE!</v>
      </c>
      <c r="AX88" s="78" t="e">
        <f>AV88*'Alternative 1'!$K89/'Alternative 1'!$L89</f>
        <v>#VALUE!</v>
      </c>
      <c r="AY88" s="78" t="e">
        <f>AW88/'Alternative 1'!$M89</f>
        <v>#VALUE!</v>
      </c>
      <c r="AZ88" s="78" t="e">
        <f t="shared" si="25"/>
        <v>#VALUE!</v>
      </c>
      <c r="BB88" s="78" t="e">
        <f>'Alternative 1'!$B$39*$B88*$C88*COS($K$63)-($N$62/3)*$E88*SIN($K$63)-($N$62/3)*$F88*SIN($K$63)-($N$62/3)*$G88*SIN($K$63)</f>
        <v>#VALUE!</v>
      </c>
      <c r="BC88" s="79" t="e">
        <f>IF(($A88&lt;'Alternative 1'!$B$27),(($H88*'Alternative 1'!$B$39)+(3*($N$62/3)*COS($K$63))),IF(($A88&lt;'Alternative 1'!$B$28),(($H88*'Alternative 1'!$B$39)+(2*(($N$62/3)*COS($K$63)))),IF(($A88&lt;'Alternative 1'!$B$29),(($H$3*'Alternative 1'!$B$39+(($N$62/3)*COS($K$63)))),($H88*'Alternative 1'!$B$39))))</f>
        <v>#VALUE!</v>
      </c>
      <c r="BD88" s="78" t="e">
        <f>BB88*'Alternative 1'!$K89/'Alternative 1'!$L89</f>
        <v>#VALUE!</v>
      </c>
      <c r="BE88" s="78" t="e">
        <f>BC88/'Alternative 1'!$M89</f>
        <v>#VALUE!</v>
      </c>
      <c r="BF88" s="78" t="e">
        <f t="shared" si="26"/>
        <v>#VALUE!</v>
      </c>
      <c r="BH88" s="78" t="e">
        <f>'Alternative 1'!$B$39*$B88*$C88*COS($K$73)-($N$72/3)*$E88*SIN($K$73)-($N$72/3)*$F88*SIN($K$73)-($N$72/3)*$G88*SIN($K$73)</f>
        <v>#VALUE!</v>
      </c>
      <c r="BI88" s="79" t="e">
        <f>IF(($A88&lt;'Alternative 1'!$B$27),(($H88*'Alternative 1'!$B$39)+(3*($N$72/3)*COS($K$73))),IF(($A88&lt;'Alternative 1'!$B$28),(($H88*'Alternative 1'!$B$39)+(2*(($N$72/3)*COS($K$73)))),IF(($A88&lt;'Alternative 1'!$B$29),(($H$3*'Alternative 1'!$B$39+(($N$72/3)*COS($K$73)))),($H88*'Alternative 1'!$B$39))))</f>
        <v>#VALUE!</v>
      </c>
      <c r="BJ88" s="78" t="e">
        <f>BH88*'Alternative 1'!$K89/'Alternative 1'!$L89</f>
        <v>#VALUE!</v>
      </c>
      <c r="BK88" s="78" t="e">
        <f>BI88/'Alternative 1'!$M89</f>
        <v>#VALUE!</v>
      </c>
      <c r="BL88" s="78" t="e">
        <f t="shared" si="27"/>
        <v>#VALUE!</v>
      </c>
      <c r="BN88" s="78" t="e">
        <f>'Alternative 1'!$B$39*$B88*$C88*COS($K$83)-($N$82/3)*$E88*SIN($K$83)-($N$82/3)*$F88*SIN($K$83)-($N$82/3)*$G88*SIN($K$83)</f>
        <v>#VALUE!</v>
      </c>
      <c r="BO88" s="79" t="e">
        <f>IF(($A88&lt;'Alternative 1'!$B$27),(($H88*'Alternative 1'!$B$39)+(3*($N$82/3)*COS($K$83))),IF(($A88&lt;'Alternative 1'!$B$28),(($H88*'Alternative 1'!$B$39)+(2*(($N$82/3)*COS($K$83)))),IF(($A88&lt;'Alternative 1'!$B$29),(($H$3*'Alternative 1'!$B$39+(($N$82/3)*COS($K$83)))),($H88*'Alternative 1'!$B$39))))</f>
        <v>#VALUE!</v>
      </c>
      <c r="BP88" s="78" t="e">
        <f>BN88*'Alternative 1'!$K89/'Alternative 1'!$L89</f>
        <v>#VALUE!</v>
      </c>
      <c r="BQ88" s="78" t="e">
        <f>BO88/'Alternative 1'!$M89</f>
        <v>#VALUE!</v>
      </c>
      <c r="BR88" s="78" t="e">
        <f t="shared" si="28"/>
        <v>#VALUE!</v>
      </c>
      <c r="BT88" s="78" t="e">
        <f>'Alternative 1'!$B$39*$B88*$C88*COS($K$93)-($K$92/3)*$E88*SIN($K$93)-($K$92/3)*$F88*SIN($K$93)-($K$92/3)*$G88*SIN($K$93)</f>
        <v>#VALUE!</v>
      </c>
      <c r="BU88" s="79" t="e">
        <f>IF(($A88&lt;'Alternative 1'!$B$27),(($H88*'Alternative 1'!$B$39)+(3*($N$92/3)*COS($K$93))),IF(($A88&lt;'Alternative 1'!$B$28),(($H88*'Alternative 1'!$B$39)+(2*(($N$92/3)*COS($K$93)))),IF(($A88&lt;'Alternative 1'!$B$29),(($H$3*'Alternative 1'!$B$39+(($N$92/3)*COS($K$93)))),($H88*'Alternative 1'!$B$39))))</f>
        <v>#VALUE!</v>
      </c>
      <c r="BV88" s="78" t="e">
        <f>BT88*'Alternative 1'!$K89/'Alternative 1'!$L89</f>
        <v>#VALUE!</v>
      </c>
      <c r="BW88" s="78" t="e">
        <f>BU88/'Alternative 1'!$M89</f>
        <v>#VALUE!</v>
      </c>
      <c r="BX88" s="78" t="e">
        <f t="shared" si="29"/>
        <v>#VALUE!</v>
      </c>
      <c r="BZ88" s="151"/>
      <c r="CA88" s="15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1"/>
      <c r="DG88" s="281"/>
      <c r="DH88" s="281"/>
      <c r="DI88" s="281"/>
      <c r="DJ88" s="281"/>
      <c r="DK88" s="281"/>
    </row>
    <row r="89" spans="1:115" ht="15" customHeight="1" x14ac:dyDescent="0.25">
      <c r="A89" s="89" t="str">
        <f>IF('Alternative 1'!F90&gt;0,'Alternative 1'!F90,"x")</f>
        <v>x</v>
      </c>
      <c r="B89" s="89" t="e">
        <f t="shared" si="35"/>
        <v>#VALUE!</v>
      </c>
      <c r="C89" s="89">
        <f t="shared" si="30"/>
        <v>0</v>
      </c>
      <c r="D89" s="89" t="str">
        <f t="shared" si="31"/>
        <v>x</v>
      </c>
      <c r="E89" s="74">
        <f>IF($A89&lt;='Alternative 1'!$B$27, IF($A89='Alternative 1'!$B$27,0,E90+1),0)</f>
        <v>0</v>
      </c>
      <c r="F89" s="74">
        <f>IF($A89&lt;=('Alternative 1'!$B$28), IF($A89=ROUNDDOWN('Alternative 1'!$B$28,0),0,F90+1),0)</f>
        <v>0</v>
      </c>
      <c r="G89" s="74">
        <f>IF($A89&lt;=('Alternative 1'!$B$29), IF($A89=ROUNDDOWN('Alternative 1'!$B$29,0),0,G90+1),0)</f>
        <v>0</v>
      </c>
      <c r="H89" s="89" t="e">
        <f t="shared" si="32"/>
        <v>#VALUE!</v>
      </c>
      <c r="J89" s="77">
        <f t="shared" si="33"/>
        <v>86</v>
      </c>
      <c r="K89" s="77">
        <f t="shared" si="34"/>
        <v>1.5009831567151233</v>
      </c>
      <c r="L89" s="78">
        <f>'Alternative 1'!$B$27*SIN(K89)+'Alternative 1'!$B$28*SIN(K89)+'Alternative 1'!$B$29*SIN(K89)</f>
        <v>67.83435541766805</v>
      </c>
      <c r="M89" s="77">
        <f>(('Alternative 1'!$B$27)*(((('Alternative 1'!$B$28-'Alternative 1'!$B$27)/2)+'Alternative 1'!$B$27)*'Alternative 1'!$B$39)*COS('Alternative 1-Tilt Up'!K89))+(('Alternative 1'!$B$28)*((('Alternative 1'!$B$28-'Alternative 1'!$B$27)/2)+(('Alternative 1'!$B$29-'Alternative 1'!$B$28)/2))*('Alternative 1'!$B$39)*COS('Alternative 1-Tilt Up'!K89))+(('Alternative 1'!$B$29)*((('Alternative 1'!$B$12-'Alternative 1'!$B$29+(('Alternative 1'!$B$29-'Alternative 1'!$B$28)/2)*('Alternative 1'!$B$39)*COS('Alternative 1-Tilt Up'!K89)))))</f>
        <v>331254.05120677926</v>
      </c>
      <c r="N89" s="77">
        <f t="shared" si="18"/>
        <v>14649.8355811236</v>
      </c>
      <c r="O89" s="77">
        <f>(((('Alternative 1'!$B$28-'Alternative 1'!$B$27)/2)+'Alternative 1'!$B$27)*('Alternative 1'!$B$39)*COS('Alternative 1-Tilt Up'!K89))+(((('Alternative 1'!$B$28-'Alternative 1'!$B$27)/2)+(('Alternative 1'!$B$29-'Alternative 1'!$B$28)/2))*('Alternative 1'!$B$39)*COS('Alternative 1-Tilt Up'!K89))+(((('Alternative 1'!$B$12-'Alternative 1'!$B$29)+(('Alternative 1'!$B$29-'Alternative 1'!$B$28)/2))*('Alternative 1'!$B$39)*COS('Alternative 1-Tilt Up'!K89)))</f>
        <v>21353.845229041755</v>
      </c>
      <c r="P89" s="77">
        <f t="shared" si="19"/>
        <v>1021.9208710704032</v>
      </c>
      <c r="R89" s="78" t="e">
        <f>'Alternative 1'!$B$39*$B89*$C89*COS($K$5)-($N$5/3)*$E89*SIN($K$5)-($N$5/3)*$F89*SIN($K$5)-($N$5/3)*$G89*SIN($K$5)</f>
        <v>#VALUE!</v>
      </c>
      <c r="S89" s="79" t="e">
        <f>IF(($A89&lt;'Alternative 1'!$B$27),(($H89*'Alternative 1'!$B$39)+(3*($N$5/3)*COS($K$5))),IF(($A89&lt;'Alternative 1'!$B$28),(($H89*'Alternative 1'!$B$39)+(2*(($N$5/3)*COS($K$5)))),IF(($A89&lt;'Alternative 1'!$B$29),(($H$3*'Alternative 1'!$B$39+(($N$5/3)*COS($K$5)))),($H89*'Alternative 1'!$B$39))))</f>
        <v>#VALUE!</v>
      </c>
      <c r="T89" s="78" t="e">
        <f>R89*'Alternative 1'!$K90/'Alternative 1'!$L90</f>
        <v>#VALUE!</v>
      </c>
      <c r="U89" s="78" t="e">
        <f>S89/'Alternative 1'!$M90</f>
        <v>#VALUE!</v>
      </c>
      <c r="V89" s="78" t="e">
        <f t="shared" si="20"/>
        <v>#VALUE!</v>
      </c>
      <c r="X89" s="78" t="e">
        <f>'Alternative 1'!$B$39*$B89*$C89*COS($K$13)-($N$12/3)*$E89*SIN($K$13)-($N$12/3)*$F89*SIN($K$13)-($N$12/3)*$G89*SIN($K$13)</f>
        <v>#VALUE!</v>
      </c>
      <c r="Y89" s="79" t="e">
        <f>IF(($A89&lt;'Alternative 1'!$B$27),(($H89*'Alternative 1'!$B$39)+(3*($N$12/3)*COS($K$13))),IF(($A89&lt;'Alternative 1'!$B$28),(($H89*'Alternative 1'!$B$39)+(2*(($N$12/3)*COS($K$13)))),IF(($A89&lt;'Alternative 1'!$B$29),(($H$3*'Alternative 1'!$B$39+(($N$12/3)*COS($K$13)))),($H89*'Alternative 1'!$B$39))))</f>
        <v>#VALUE!</v>
      </c>
      <c r="Z89" s="78" t="e">
        <f>X89*'Alternative 1'!$K90/'Alternative 1'!$L90</f>
        <v>#VALUE!</v>
      </c>
      <c r="AA89" s="78" t="e">
        <f>Y89/'Alternative 1'!$M90</f>
        <v>#VALUE!</v>
      </c>
      <c r="AB89" s="78" t="e">
        <f t="shared" si="21"/>
        <v>#VALUE!</v>
      </c>
      <c r="AD89" s="78" t="e">
        <f>'Alternative 1'!$B$39*$B89*$C89*COS($K$23)-($N$22/3)*$E89*SIN($K$23)-($N$22/3)*$F89*SIN($K$23)-($N$22/3)*$G89*SIN($K$23)</f>
        <v>#VALUE!</v>
      </c>
      <c r="AE89" s="79" t="e">
        <f>IF(($A89&lt;'Alternative 1'!$B$27),(($H89*'Alternative 1'!$B$39)+(3*($N$22/3)*COS($K$23))),IF(($A89&lt;'Alternative 1'!$B$28),(($H89*'Alternative 1'!$B$39)+(2*(($N$22/3)*COS($K$23)))),IF(($A89&lt;'Alternative 1'!$B$29),(($H$3*'Alternative 1'!$B$39+(($N$22/3)*COS($K$23)))),($H89*'Alternative 1'!$B$39))))</f>
        <v>#VALUE!</v>
      </c>
      <c r="AF89" s="78" t="e">
        <f>AD89*'Alternative 1'!$K90/'Alternative 1'!$L90</f>
        <v>#VALUE!</v>
      </c>
      <c r="AG89" s="78" t="e">
        <f>AE89/'Alternative 1'!$M90</f>
        <v>#VALUE!</v>
      </c>
      <c r="AH89" s="78" t="e">
        <f t="shared" si="22"/>
        <v>#VALUE!</v>
      </c>
      <c r="AJ89" s="78" t="e">
        <f>'Alternative 1'!$B$39*$B89*$C89*COS($K$33)-($N$32/3)*$E89*SIN($K$33)-($N$32/3)*$F89*SIN($K$33)-($N$32/3)*$G89*SIN($K$33)</f>
        <v>#VALUE!</v>
      </c>
      <c r="AK89" s="79" t="e">
        <f>IF(($A89&lt;'Alternative 1'!$B$27),(($H89*'Alternative 1'!$B$39)+(3*($N$32/3)*COS($K$33))),IF(($A89&lt;'Alternative 1'!$B$28),(($H89*'Alternative 1'!$B$39)+(2*(($N$32/3)*COS($K$33)))),IF(($A89&lt;'Alternative 1'!$B$29),(($H$3*'Alternative 1'!$B$39+(($N$32/3)*COS($K$33)))),($H89*'Alternative 1'!$B$39))))</f>
        <v>#VALUE!</v>
      </c>
      <c r="AL89" s="78" t="e">
        <f>AJ89*'Alternative 1'!$K90/'Alternative 1'!$L90</f>
        <v>#VALUE!</v>
      </c>
      <c r="AM89" s="78" t="e">
        <f>AK89/'Alternative 1'!$M90</f>
        <v>#VALUE!</v>
      </c>
      <c r="AN89" s="78" t="e">
        <f t="shared" si="23"/>
        <v>#VALUE!</v>
      </c>
      <c r="AP89" s="78" t="e">
        <f>'Alternative 1'!$B$39*$B89*$C89*COS($K$43)-($N$42/3)*$E89*SIN($K$43)-($N$42/3)*$F89*SIN($K$43)-($N$42/3)*$G89*SIN($K$43)</f>
        <v>#VALUE!</v>
      </c>
      <c r="AQ89" s="79" t="e">
        <f>IF(($A89&lt;'Alternative 1'!$B$27),(($H89*'Alternative 1'!$B$39)+(3*($N$42/3)*COS($K$43))),IF(($A89&lt;'Alternative 1'!$B$28),(($H89*'Alternative 1'!$B$39)+(2*(($N$42/3)*COS($K$43)))),IF(($A89&lt;'Alternative 1'!$B$29),(($H$3*'Alternative 1'!$B$39+(($N$42/3)*COS($K$43)))),($H89*'Alternative 1'!$B$39))))</f>
        <v>#VALUE!</v>
      </c>
      <c r="AR89" s="78" t="e">
        <f>AP89*'Alternative 1'!$K90/'Alternative 1'!$L90</f>
        <v>#VALUE!</v>
      </c>
      <c r="AS89" s="78" t="e">
        <f>AQ89/'Alternative 1'!$M90</f>
        <v>#VALUE!</v>
      </c>
      <c r="AT89" s="78" t="e">
        <f t="shared" si="24"/>
        <v>#VALUE!</v>
      </c>
      <c r="AV89" s="78" t="e">
        <f>'Alternative 1'!$B$39*$B89*$C89*COS($K$53)-($N$52/3)*$E89*SIN($K$53)-($N$52/3)*$F89*SIN($K$53)-($N$52/3)*$G89*SIN($K$53)</f>
        <v>#VALUE!</v>
      </c>
      <c r="AW89" s="79" t="e">
        <f>IF(($A89&lt;'Alternative 1'!$B$27),(($H89*'Alternative 1'!$B$39)+(3*($N$52/3)*COS($K$53))),IF(($A89&lt;'Alternative 1'!$B$28),(($H89*'Alternative 1'!$B$39)+(2*(($N$52/3)*COS($K$53)))),IF(($A89&lt;'Alternative 1'!$B$29),(($H$3*'Alternative 1'!$B$39+(($N$52/3)*COS($K$53)))),($H89*'Alternative 1'!$B$39))))</f>
        <v>#VALUE!</v>
      </c>
      <c r="AX89" s="78" t="e">
        <f>AV89*'Alternative 1'!$K90/'Alternative 1'!$L90</f>
        <v>#VALUE!</v>
      </c>
      <c r="AY89" s="78" t="e">
        <f>AW89/'Alternative 1'!$M90</f>
        <v>#VALUE!</v>
      </c>
      <c r="AZ89" s="78" t="e">
        <f t="shared" si="25"/>
        <v>#VALUE!</v>
      </c>
      <c r="BB89" s="78" t="e">
        <f>'Alternative 1'!$B$39*$B89*$C89*COS($K$63)-($N$62/3)*$E89*SIN($K$63)-($N$62/3)*$F89*SIN($K$63)-($N$62/3)*$G89*SIN($K$63)</f>
        <v>#VALUE!</v>
      </c>
      <c r="BC89" s="79" t="e">
        <f>IF(($A89&lt;'Alternative 1'!$B$27),(($H89*'Alternative 1'!$B$39)+(3*($N$62/3)*COS($K$63))),IF(($A89&lt;'Alternative 1'!$B$28),(($H89*'Alternative 1'!$B$39)+(2*(($N$62/3)*COS($K$63)))),IF(($A89&lt;'Alternative 1'!$B$29),(($H$3*'Alternative 1'!$B$39+(($N$62/3)*COS($K$63)))),($H89*'Alternative 1'!$B$39))))</f>
        <v>#VALUE!</v>
      </c>
      <c r="BD89" s="78" t="e">
        <f>BB89*'Alternative 1'!$K90/'Alternative 1'!$L90</f>
        <v>#VALUE!</v>
      </c>
      <c r="BE89" s="78" t="e">
        <f>BC89/'Alternative 1'!$M90</f>
        <v>#VALUE!</v>
      </c>
      <c r="BF89" s="78" t="e">
        <f t="shared" si="26"/>
        <v>#VALUE!</v>
      </c>
      <c r="BH89" s="78" t="e">
        <f>'Alternative 1'!$B$39*$B89*$C89*COS($K$73)-($N$72/3)*$E89*SIN($K$73)-($N$72/3)*$F89*SIN($K$73)-($N$72/3)*$G89*SIN($K$73)</f>
        <v>#VALUE!</v>
      </c>
      <c r="BI89" s="79" t="e">
        <f>IF(($A89&lt;'Alternative 1'!$B$27),(($H89*'Alternative 1'!$B$39)+(3*($N$72/3)*COS($K$73))),IF(($A89&lt;'Alternative 1'!$B$28),(($H89*'Alternative 1'!$B$39)+(2*(($N$72/3)*COS($K$73)))),IF(($A89&lt;'Alternative 1'!$B$29),(($H$3*'Alternative 1'!$B$39+(($N$72/3)*COS($K$73)))),($H89*'Alternative 1'!$B$39))))</f>
        <v>#VALUE!</v>
      </c>
      <c r="BJ89" s="78" t="e">
        <f>BH89*'Alternative 1'!$K90/'Alternative 1'!$L90</f>
        <v>#VALUE!</v>
      </c>
      <c r="BK89" s="78" t="e">
        <f>BI89/'Alternative 1'!$M90</f>
        <v>#VALUE!</v>
      </c>
      <c r="BL89" s="78" t="e">
        <f t="shared" si="27"/>
        <v>#VALUE!</v>
      </c>
      <c r="BN89" s="78" t="e">
        <f>'Alternative 1'!$B$39*$B89*$C89*COS($K$83)-($N$82/3)*$E89*SIN($K$83)-($N$82/3)*$F89*SIN($K$83)-($N$82/3)*$G89*SIN($K$83)</f>
        <v>#VALUE!</v>
      </c>
      <c r="BO89" s="79" t="e">
        <f>IF(($A89&lt;'Alternative 1'!$B$27),(($H89*'Alternative 1'!$B$39)+(3*($N$82/3)*COS($K$83))),IF(($A89&lt;'Alternative 1'!$B$28),(($H89*'Alternative 1'!$B$39)+(2*(($N$82/3)*COS($K$83)))),IF(($A89&lt;'Alternative 1'!$B$29),(($H$3*'Alternative 1'!$B$39+(($N$82/3)*COS($K$83)))),($H89*'Alternative 1'!$B$39))))</f>
        <v>#VALUE!</v>
      </c>
      <c r="BP89" s="78" t="e">
        <f>BN89*'Alternative 1'!$K90/'Alternative 1'!$L90</f>
        <v>#VALUE!</v>
      </c>
      <c r="BQ89" s="78" t="e">
        <f>BO89/'Alternative 1'!$M90</f>
        <v>#VALUE!</v>
      </c>
      <c r="BR89" s="78" t="e">
        <f t="shared" si="28"/>
        <v>#VALUE!</v>
      </c>
      <c r="BT89" s="78" t="e">
        <f>'Alternative 1'!$B$39*$B89*$C89*COS($K$93)-($K$92/3)*$E89*SIN($K$93)-($K$92/3)*$F89*SIN($K$93)-($K$92/3)*$G89*SIN($K$93)</f>
        <v>#VALUE!</v>
      </c>
      <c r="BU89" s="79" t="e">
        <f>IF(($A89&lt;'Alternative 1'!$B$27),(($H89*'Alternative 1'!$B$39)+(3*($N$92/3)*COS($K$93))),IF(($A89&lt;'Alternative 1'!$B$28),(($H89*'Alternative 1'!$B$39)+(2*(($N$92/3)*COS($K$93)))),IF(($A89&lt;'Alternative 1'!$B$29),(($H$3*'Alternative 1'!$B$39+(($N$92/3)*COS($K$93)))),($H89*'Alternative 1'!$B$39))))</f>
        <v>#VALUE!</v>
      </c>
      <c r="BV89" s="78" t="e">
        <f>BT89*'Alternative 1'!$K90/'Alternative 1'!$L90</f>
        <v>#VALUE!</v>
      </c>
      <c r="BW89" s="78" t="e">
        <f>BU89/'Alternative 1'!$M90</f>
        <v>#VALUE!</v>
      </c>
      <c r="BX89" s="78" t="e">
        <f t="shared" si="29"/>
        <v>#VALUE!</v>
      </c>
      <c r="BZ89" s="151"/>
      <c r="CA89" s="15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1"/>
      <c r="DA89" s="281"/>
      <c r="DB89" s="281"/>
      <c r="DC89" s="281"/>
      <c r="DD89" s="281"/>
      <c r="DE89" s="281"/>
      <c r="DF89" s="281"/>
      <c r="DG89" s="281"/>
      <c r="DH89" s="281"/>
      <c r="DI89" s="281"/>
      <c r="DJ89" s="281"/>
      <c r="DK89" s="281"/>
    </row>
    <row r="90" spans="1:115" ht="15" customHeight="1" x14ac:dyDescent="0.25">
      <c r="A90" s="89" t="str">
        <f>IF('Alternative 1'!F91&gt;0,'Alternative 1'!F91,"x")</f>
        <v>x</v>
      </c>
      <c r="B90" s="89" t="e">
        <f t="shared" si="35"/>
        <v>#VALUE!</v>
      </c>
      <c r="C90" s="89">
        <f t="shared" si="30"/>
        <v>0</v>
      </c>
      <c r="D90" s="89" t="str">
        <f t="shared" si="31"/>
        <v>x</v>
      </c>
      <c r="E90" s="74">
        <f>IF($A90&lt;='Alternative 1'!$B$27, IF($A90='Alternative 1'!$B$27,0,E91+1),0)</f>
        <v>0</v>
      </c>
      <c r="F90" s="74">
        <f>IF($A90&lt;=('Alternative 1'!$B$28), IF($A90=ROUNDDOWN('Alternative 1'!$B$28,0),0,F91+1),0)</f>
        <v>0</v>
      </c>
      <c r="G90" s="74">
        <f>IF($A90&lt;=('Alternative 1'!$B$29), IF($A90=ROUNDDOWN('Alternative 1'!$B$29,0),0,G91+1),0)</f>
        <v>0</v>
      </c>
      <c r="H90" s="89" t="e">
        <f t="shared" si="32"/>
        <v>#VALUE!</v>
      </c>
      <c r="J90" s="77">
        <f t="shared" si="33"/>
        <v>87</v>
      </c>
      <c r="K90" s="77">
        <f t="shared" si="34"/>
        <v>1.5184364492350666</v>
      </c>
      <c r="L90" s="78">
        <f>'Alternative 1'!$B$27*SIN(K90)+'Alternative 1'!$B$28*SIN(K90)+'Alternative 1'!$B$29*SIN(K90)</f>
        <v>67.906808363311015</v>
      </c>
      <c r="M90" s="77">
        <f>(('Alternative 1'!$B$27)*(((('Alternative 1'!$B$28-'Alternative 1'!$B$27)/2)+'Alternative 1'!$B$27)*'Alternative 1'!$B$39)*COS('Alternative 1-Tilt Up'!K90))+(('Alternative 1'!$B$28)*((('Alternative 1'!$B$28-'Alternative 1'!$B$27)/2)+(('Alternative 1'!$B$29-'Alternative 1'!$B$28)/2))*('Alternative 1'!$B$39)*COS('Alternative 1-Tilt Up'!K90))+(('Alternative 1'!$B$29)*((('Alternative 1'!$B$12-'Alternative 1'!$B$29+(('Alternative 1'!$B$29-'Alternative 1'!$B$28)/2)*('Alternative 1'!$B$39)*COS('Alternative 1-Tilt Up'!K90)))))</f>
        <v>248577.72466913908</v>
      </c>
      <c r="N90" s="77">
        <f t="shared" si="18"/>
        <v>10981.714381533577</v>
      </c>
      <c r="O90" s="77">
        <f>(((('Alternative 1'!$B$28-'Alternative 1'!$B$27)/2)+'Alternative 1'!$B$27)*('Alternative 1'!$B$39)*COS('Alternative 1-Tilt Up'!K90))+(((('Alternative 1'!$B$28-'Alternative 1'!$B$27)/2)+(('Alternative 1'!$B$29-'Alternative 1'!$B$28)/2))*('Alternative 1'!$B$39)*COS('Alternative 1-Tilt Up'!K90))+(((('Alternative 1'!$B$12-'Alternative 1'!$B$29)+(('Alternative 1'!$B$29-'Alternative 1'!$B$28)/2))*('Alternative 1'!$B$39)*COS('Alternative 1-Tilt Up'!K90)))</f>
        <v>16021.078038220698</v>
      </c>
      <c r="P90" s="77">
        <f t="shared" si="19"/>
        <v>574.73852334444973</v>
      </c>
      <c r="R90" s="78" t="e">
        <f>'Alternative 1'!$B$39*$B90*$C90*COS($K$5)-($N$5/3)*$E90*SIN($K$5)-($N$5/3)*$F90*SIN($K$5)-($N$5/3)*$G90*SIN($K$5)</f>
        <v>#VALUE!</v>
      </c>
      <c r="S90" s="79" t="e">
        <f>IF(($A90&lt;'Alternative 1'!$B$27),(($H90*'Alternative 1'!$B$39)+(3*($N$5/3)*COS($K$5))),IF(($A90&lt;'Alternative 1'!$B$28),(($H90*'Alternative 1'!$B$39)+(2*(($N$5/3)*COS($K$5)))),IF(($A90&lt;'Alternative 1'!$B$29),(($H$3*'Alternative 1'!$B$39+(($N$5/3)*COS($K$5)))),($H90*'Alternative 1'!$B$39))))</f>
        <v>#VALUE!</v>
      </c>
      <c r="T90" s="78" t="e">
        <f>R90*'Alternative 1'!$K91/'Alternative 1'!$L91</f>
        <v>#VALUE!</v>
      </c>
      <c r="U90" s="78" t="e">
        <f>S90/'Alternative 1'!$M91</f>
        <v>#VALUE!</v>
      </c>
      <c r="V90" s="78" t="e">
        <f t="shared" si="20"/>
        <v>#VALUE!</v>
      </c>
      <c r="X90" s="78" t="e">
        <f>'Alternative 1'!$B$39*$B90*$C90*COS($K$13)-($N$12/3)*$E90*SIN($K$13)-($N$12/3)*$F90*SIN($K$13)-($N$12/3)*$G90*SIN($K$13)</f>
        <v>#VALUE!</v>
      </c>
      <c r="Y90" s="79" t="e">
        <f>IF(($A90&lt;'Alternative 1'!$B$27),(($H90*'Alternative 1'!$B$39)+(3*($N$12/3)*COS($K$13))),IF(($A90&lt;'Alternative 1'!$B$28),(($H90*'Alternative 1'!$B$39)+(2*(($N$12/3)*COS($K$13)))),IF(($A90&lt;'Alternative 1'!$B$29),(($H$3*'Alternative 1'!$B$39+(($N$12/3)*COS($K$13)))),($H90*'Alternative 1'!$B$39))))</f>
        <v>#VALUE!</v>
      </c>
      <c r="Z90" s="78" t="e">
        <f>X90*'Alternative 1'!$K91/'Alternative 1'!$L91</f>
        <v>#VALUE!</v>
      </c>
      <c r="AA90" s="78" t="e">
        <f>Y90/'Alternative 1'!$M91</f>
        <v>#VALUE!</v>
      </c>
      <c r="AB90" s="78" t="e">
        <f t="shared" si="21"/>
        <v>#VALUE!</v>
      </c>
      <c r="AD90" s="78" t="e">
        <f>'Alternative 1'!$B$39*$B90*$C90*COS($K$23)-($N$22/3)*$E90*SIN($K$23)-($N$22/3)*$F90*SIN($K$23)-($N$22/3)*$G90*SIN($K$23)</f>
        <v>#VALUE!</v>
      </c>
      <c r="AE90" s="79" t="e">
        <f>IF(($A90&lt;'Alternative 1'!$B$27),(($H90*'Alternative 1'!$B$39)+(3*($N$22/3)*COS($K$23))),IF(($A90&lt;'Alternative 1'!$B$28),(($H90*'Alternative 1'!$B$39)+(2*(($N$22/3)*COS($K$23)))),IF(($A90&lt;'Alternative 1'!$B$29),(($H$3*'Alternative 1'!$B$39+(($N$22/3)*COS($K$23)))),($H90*'Alternative 1'!$B$39))))</f>
        <v>#VALUE!</v>
      </c>
      <c r="AF90" s="78" t="e">
        <f>AD90*'Alternative 1'!$K91/'Alternative 1'!$L91</f>
        <v>#VALUE!</v>
      </c>
      <c r="AG90" s="78" t="e">
        <f>AE90/'Alternative 1'!$M91</f>
        <v>#VALUE!</v>
      </c>
      <c r="AH90" s="78" t="e">
        <f t="shared" si="22"/>
        <v>#VALUE!</v>
      </c>
      <c r="AJ90" s="78" t="e">
        <f>'Alternative 1'!$B$39*$B90*$C90*COS($K$33)-($N$32/3)*$E90*SIN($K$33)-($N$32/3)*$F90*SIN($K$33)-($N$32/3)*$G90*SIN($K$33)</f>
        <v>#VALUE!</v>
      </c>
      <c r="AK90" s="79" t="e">
        <f>IF(($A90&lt;'Alternative 1'!$B$27),(($H90*'Alternative 1'!$B$39)+(3*($N$32/3)*COS($K$33))),IF(($A90&lt;'Alternative 1'!$B$28),(($H90*'Alternative 1'!$B$39)+(2*(($N$32/3)*COS($K$33)))),IF(($A90&lt;'Alternative 1'!$B$29),(($H$3*'Alternative 1'!$B$39+(($N$32/3)*COS($K$33)))),($H90*'Alternative 1'!$B$39))))</f>
        <v>#VALUE!</v>
      </c>
      <c r="AL90" s="78" t="e">
        <f>AJ90*'Alternative 1'!$K91/'Alternative 1'!$L91</f>
        <v>#VALUE!</v>
      </c>
      <c r="AM90" s="78" t="e">
        <f>AK90/'Alternative 1'!$M91</f>
        <v>#VALUE!</v>
      </c>
      <c r="AN90" s="78" t="e">
        <f t="shared" si="23"/>
        <v>#VALUE!</v>
      </c>
      <c r="AP90" s="78" t="e">
        <f>'Alternative 1'!$B$39*$B90*$C90*COS($K$43)-($N$42/3)*$E90*SIN($K$43)-($N$42/3)*$F90*SIN($K$43)-($N$42/3)*$G90*SIN($K$43)</f>
        <v>#VALUE!</v>
      </c>
      <c r="AQ90" s="79" t="e">
        <f>IF(($A90&lt;'Alternative 1'!$B$27),(($H90*'Alternative 1'!$B$39)+(3*($N$42/3)*COS($K$43))),IF(($A90&lt;'Alternative 1'!$B$28),(($H90*'Alternative 1'!$B$39)+(2*(($N$42/3)*COS($K$43)))),IF(($A90&lt;'Alternative 1'!$B$29),(($H$3*'Alternative 1'!$B$39+(($N$42/3)*COS($K$43)))),($H90*'Alternative 1'!$B$39))))</f>
        <v>#VALUE!</v>
      </c>
      <c r="AR90" s="78" t="e">
        <f>AP90*'Alternative 1'!$K91/'Alternative 1'!$L91</f>
        <v>#VALUE!</v>
      </c>
      <c r="AS90" s="78" t="e">
        <f>AQ90/'Alternative 1'!$M91</f>
        <v>#VALUE!</v>
      </c>
      <c r="AT90" s="78" t="e">
        <f t="shared" si="24"/>
        <v>#VALUE!</v>
      </c>
      <c r="AV90" s="78" t="e">
        <f>'Alternative 1'!$B$39*$B90*$C90*COS($K$53)-($N$52/3)*$E90*SIN($K$53)-($N$52/3)*$F90*SIN($K$53)-($N$52/3)*$G90*SIN($K$53)</f>
        <v>#VALUE!</v>
      </c>
      <c r="AW90" s="79" t="e">
        <f>IF(($A90&lt;'Alternative 1'!$B$27),(($H90*'Alternative 1'!$B$39)+(3*($N$52/3)*COS($K$53))),IF(($A90&lt;'Alternative 1'!$B$28),(($H90*'Alternative 1'!$B$39)+(2*(($N$52/3)*COS($K$53)))),IF(($A90&lt;'Alternative 1'!$B$29),(($H$3*'Alternative 1'!$B$39+(($N$52/3)*COS($K$53)))),($H90*'Alternative 1'!$B$39))))</f>
        <v>#VALUE!</v>
      </c>
      <c r="AX90" s="78" t="e">
        <f>AV90*'Alternative 1'!$K91/'Alternative 1'!$L91</f>
        <v>#VALUE!</v>
      </c>
      <c r="AY90" s="78" t="e">
        <f>AW90/'Alternative 1'!$M91</f>
        <v>#VALUE!</v>
      </c>
      <c r="AZ90" s="78" t="e">
        <f t="shared" si="25"/>
        <v>#VALUE!</v>
      </c>
      <c r="BB90" s="78" t="e">
        <f>'Alternative 1'!$B$39*$B90*$C90*COS($K$63)-($N$62/3)*$E90*SIN($K$63)-($N$62/3)*$F90*SIN($K$63)-($N$62/3)*$G90*SIN($K$63)</f>
        <v>#VALUE!</v>
      </c>
      <c r="BC90" s="79" t="e">
        <f>IF(($A90&lt;'Alternative 1'!$B$27),(($H90*'Alternative 1'!$B$39)+(3*($N$62/3)*COS($K$63))),IF(($A90&lt;'Alternative 1'!$B$28),(($H90*'Alternative 1'!$B$39)+(2*(($N$62/3)*COS($K$63)))),IF(($A90&lt;'Alternative 1'!$B$29),(($H$3*'Alternative 1'!$B$39+(($N$62/3)*COS($K$63)))),($H90*'Alternative 1'!$B$39))))</f>
        <v>#VALUE!</v>
      </c>
      <c r="BD90" s="78" t="e">
        <f>BB90*'Alternative 1'!$K91/'Alternative 1'!$L91</f>
        <v>#VALUE!</v>
      </c>
      <c r="BE90" s="78" t="e">
        <f>BC90/'Alternative 1'!$M91</f>
        <v>#VALUE!</v>
      </c>
      <c r="BF90" s="78" t="e">
        <f t="shared" si="26"/>
        <v>#VALUE!</v>
      </c>
      <c r="BH90" s="78" t="e">
        <f>'Alternative 1'!$B$39*$B90*$C90*COS($K$73)-($N$72/3)*$E90*SIN($K$73)-($N$72/3)*$F90*SIN($K$73)-($N$72/3)*$G90*SIN($K$73)</f>
        <v>#VALUE!</v>
      </c>
      <c r="BI90" s="79" t="e">
        <f>IF(($A90&lt;'Alternative 1'!$B$27),(($H90*'Alternative 1'!$B$39)+(3*($N$72/3)*COS($K$73))),IF(($A90&lt;'Alternative 1'!$B$28),(($H90*'Alternative 1'!$B$39)+(2*(($N$72/3)*COS($K$73)))),IF(($A90&lt;'Alternative 1'!$B$29),(($H$3*'Alternative 1'!$B$39+(($N$72/3)*COS($K$73)))),($H90*'Alternative 1'!$B$39))))</f>
        <v>#VALUE!</v>
      </c>
      <c r="BJ90" s="78" t="e">
        <f>BH90*'Alternative 1'!$K91/'Alternative 1'!$L91</f>
        <v>#VALUE!</v>
      </c>
      <c r="BK90" s="78" t="e">
        <f>BI90/'Alternative 1'!$M91</f>
        <v>#VALUE!</v>
      </c>
      <c r="BL90" s="78" t="e">
        <f t="shared" si="27"/>
        <v>#VALUE!</v>
      </c>
      <c r="BN90" s="78" t="e">
        <f>'Alternative 1'!$B$39*$B90*$C90*COS($K$83)-($N$82/3)*$E90*SIN($K$83)-($N$82/3)*$F90*SIN($K$83)-($N$82/3)*$G90*SIN($K$83)</f>
        <v>#VALUE!</v>
      </c>
      <c r="BO90" s="79" t="e">
        <f>IF(($A90&lt;'Alternative 1'!$B$27),(($H90*'Alternative 1'!$B$39)+(3*($N$82/3)*COS($K$83))),IF(($A90&lt;'Alternative 1'!$B$28),(($H90*'Alternative 1'!$B$39)+(2*(($N$82/3)*COS($K$83)))),IF(($A90&lt;'Alternative 1'!$B$29),(($H$3*'Alternative 1'!$B$39+(($N$82/3)*COS($K$83)))),($H90*'Alternative 1'!$B$39))))</f>
        <v>#VALUE!</v>
      </c>
      <c r="BP90" s="78" t="e">
        <f>BN90*'Alternative 1'!$K91/'Alternative 1'!$L91</f>
        <v>#VALUE!</v>
      </c>
      <c r="BQ90" s="78" t="e">
        <f>BO90/'Alternative 1'!$M91</f>
        <v>#VALUE!</v>
      </c>
      <c r="BR90" s="78" t="e">
        <f t="shared" si="28"/>
        <v>#VALUE!</v>
      </c>
      <c r="BT90" s="78" t="e">
        <f>'Alternative 1'!$B$39*$B90*$C90*COS($K$93)-($K$92/3)*$E90*SIN($K$93)-($K$92/3)*$F90*SIN($K$93)-($K$92/3)*$G90*SIN($K$93)</f>
        <v>#VALUE!</v>
      </c>
      <c r="BU90" s="79" t="e">
        <f>IF(($A90&lt;'Alternative 1'!$B$27),(($H90*'Alternative 1'!$B$39)+(3*($N$92/3)*COS($K$93))),IF(($A90&lt;'Alternative 1'!$B$28),(($H90*'Alternative 1'!$B$39)+(2*(($N$92/3)*COS($K$93)))),IF(($A90&lt;'Alternative 1'!$B$29),(($H$3*'Alternative 1'!$B$39+(($N$92/3)*COS($K$93)))),($H90*'Alternative 1'!$B$39))))</f>
        <v>#VALUE!</v>
      </c>
      <c r="BV90" s="78" t="e">
        <f>BT90*'Alternative 1'!$K91/'Alternative 1'!$L91</f>
        <v>#VALUE!</v>
      </c>
      <c r="BW90" s="78" t="e">
        <f>BU90/'Alternative 1'!$M91</f>
        <v>#VALUE!</v>
      </c>
      <c r="BX90" s="78" t="e">
        <f t="shared" si="29"/>
        <v>#VALUE!</v>
      </c>
      <c r="BZ90" s="151"/>
      <c r="CA90" s="151"/>
      <c r="CB90" s="281"/>
      <c r="CC90" s="281"/>
      <c r="CD90" s="281"/>
      <c r="CE90" s="281"/>
      <c r="CF90" s="281"/>
      <c r="CG90" s="281"/>
      <c r="CH90" s="281"/>
      <c r="CI90" s="281"/>
      <c r="CJ90" s="281"/>
      <c r="CK90" s="281"/>
      <c r="CL90" s="281"/>
      <c r="CM90" s="281"/>
      <c r="CN90" s="281"/>
      <c r="CO90" s="281"/>
      <c r="CP90" s="281"/>
      <c r="CQ90" s="281"/>
      <c r="CR90" s="281"/>
      <c r="CS90" s="281"/>
      <c r="CT90" s="281"/>
      <c r="CU90" s="281"/>
      <c r="CV90" s="281"/>
      <c r="CW90" s="281"/>
      <c r="CX90" s="281"/>
      <c r="CY90" s="281"/>
      <c r="CZ90" s="281"/>
      <c r="DA90" s="281"/>
      <c r="DB90" s="281"/>
      <c r="DC90" s="281"/>
      <c r="DD90" s="281"/>
      <c r="DE90" s="281"/>
      <c r="DF90" s="281"/>
      <c r="DG90" s="281"/>
      <c r="DH90" s="281"/>
      <c r="DI90" s="281"/>
      <c r="DJ90" s="281"/>
      <c r="DK90" s="281"/>
    </row>
    <row r="91" spans="1:115" ht="15" customHeight="1" x14ac:dyDescent="0.25">
      <c r="A91" s="89" t="str">
        <f>IF('Alternative 1'!F92&gt;0,'Alternative 1'!F92,"x")</f>
        <v>x</v>
      </c>
      <c r="B91" s="89" t="e">
        <f t="shared" si="35"/>
        <v>#VALUE!</v>
      </c>
      <c r="C91" s="89">
        <f t="shared" si="30"/>
        <v>0</v>
      </c>
      <c r="D91" s="89" t="str">
        <f t="shared" si="31"/>
        <v>x</v>
      </c>
      <c r="E91" s="74">
        <f>IF($A91&lt;='Alternative 1'!$B$27, IF($A91='Alternative 1'!$B$27,0,E92+1),0)</f>
        <v>0</v>
      </c>
      <c r="F91" s="74">
        <f>IF($A91&lt;=('Alternative 1'!$B$28), IF($A91=ROUNDDOWN('Alternative 1'!$B$28,0),0,F92+1),0)</f>
        <v>0</v>
      </c>
      <c r="G91" s="74">
        <f>IF($A91&lt;=('Alternative 1'!$B$29), IF($A91=ROUNDDOWN('Alternative 1'!$B$29,0),0,G92+1),0)</f>
        <v>0</v>
      </c>
      <c r="H91" s="89" t="e">
        <f t="shared" si="32"/>
        <v>#VALUE!</v>
      </c>
      <c r="J91" s="77">
        <f t="shared" si="33"/>
        <v>88</v>
      </c>
      <c r="K91" s="77">
        <f t="shared" si="34"/>
        <v>1.5358897417550099</v>
      </c>
      <c r="L91" s="78">
        <f>'Alternative 1'!$B$27*SIN(K91)+'Alternative 1'!$B$28*SIN(K91)+'Alternative 1'!$B$29*SIN(K91)</f>
        <v>67.958576237298516</v>
      </c>
      <c r="M91" s="77">
        <f>(('Alternative 1'!$B$27)*(((('Alternative 1'!$B$28-'Alternative 1'!$B$27)/2)+'Alternative 1'!$B$27)*'Alternative 1'!$B$39)*COS('Alternative 1-Tilt Up'!K91))+(('Alternative 1'!$B$28)*((('Alternative 1'!$B$28-'Alternative 1'!$B$27)/2)+(('Alternative 1'!$B$29-'Alternative 1'!$B$28)/2))*('Alternative 1'!$B$39)*COS('Alternative 1-Tilt Up'!K91))+(('Alternative 1'!$B$29)*((('Alternative 1'!$B$12-'Alternative 1'!$B$29+(('Alternative 1'!$B$29-'Alternative 1'!$B$28)/2)*('Alternative 1'!$B$39)*COS('Alternative 1-Tilt Up'!K91)))))</f>
        <v>165825.73853966629</v>
      </c>
      <c r="N91" s="77">
        <f t="shared" si="18"/>
        <v>7320.3007355819573</v>
      </c>
      <c r="O91" s="77">
        <f>(((('Alternative 1'!$B$28-'Alternative 1'!$B$27)/2)+'Alternative 1'!$B$27)*('Alternative 1'!$B$39)*COS('Alternative 1-Tilt Up'!K91))+(((('Alternative 1'!$B$28-'Alternative 1'!$B$27)/2)+(('Alternative 1'!$B$29-'Alternative 1'!$B$28)/2))*('Alternative 1'!$B$39)*COS('Alternative 1-Tilt Up'!K91))+(((('Alternative 1'!$B$12-'Alternative 1'!$B$29)+(('Alternative 1'!$B$29-'Alternative 1'!$B$28)/2))*('Alternative 1'!$B$39)*COS('Alternative 1-Tilt Up'!K91)))</f>
        <v>10683.43067182953</v>
      </c>
      <c r="P91" s="77">
        <f t="shared" si="19"/>
        <v>255.47481138275876</v>
      </c>
      <c r="R91" s="78" t="e">
        <f>'Alternative 1'!$B$39*$B91*$C91*COS($K$5)-($N$5/3)*$E91*SIN($K$5)-($N$5/3)*$F91*SIN($K$5)-($N$5/3)*$G91*SIN($K$5)</f>
        <v>#VALUE!</v>
      </c>
      <c r="S91" s="79" t="e">
        <f>IF(($A91&lt;'Alternative 1'!$B$27),(($H91*'Alternative 1'!$B$39)+(3*($N$5/3)*COS($K$5))),IF(($A91&lt;'Alternative 1'!$B$28),(($H91*'Alternative 1'!$B$39)+(2*(($N$5/3)*COS($K$5)))),IF(($A91&lt;'Alternative 1'!$B$29),(($H$3*'Alternative 1'!$B$39+(($N$5/3)*COS($K$5)))),($H91*'Alternative 1'!$B$39))))</f>
        <v>#VALUE!</v>
      </c>
      <c r="T91" s="78" t="e">
        <f>R91*'Alternative 1'!$K92/'Alternative 1'!$L92</f>
        <v>#VALUE!</v>
      </c>
      <c r="U91" s="78" t="e">
        <f>S91/'Alternative 1'!$M92</f>
        <v>#VALUE!</v>
      </c>
      <c r="V91" s="78" t="e">
        <f t="shared" si="20"/>
        <v>#VALUE!</v>
      </c>
      <c r="X91" s="78" t="e">
        <f>'Alternative 1'!$B$39*$B91*$C91*COS($K$13)-($N$12/3)*$E91*SIN($K$13)-($N$12/3)*$F91*SIN($K$13)-($N$12/3)*$G91*SIN($K$13)</f>
        <v>#VALUE!</v>
      </c>
      <c r="Y91" s="79" t="e">
        <f>IF(($A91&lt;'Alternative 1'!$B$27),(($H91*'Alternative 1'!$B$39)+(3*($N$12/3)*COS($K$13))),IF(($A91&lt;'Alternative 1'!$B$28),(($H91*'Alternative 1'!$B$39)+(2*(($N$12/3)*COS($K$13)))),IF(($A91&lt;'Alternative 1'!$B$29),(($H$3*'Alternative 1'!$B$39+(($N$12/3)*COS($K$13)))),($H91*'Alternative 1'!$B$39))))</f>
        <v>#VALUE!</v>
      </c>
      <c r="Z91" s="78" t="e">
        <f>X91*'Alternative 1'!$K92/'Alternative 1'!$L92</f>
        <v>#VALUE!</v>
      </c>
      <c r="AA91" s="78" t="e">
        <f>Y91/'Alternative 1'!$M92</f>
        <v>#VALUE!</v>
      </c>
      <c r="AB91" s="78" t="e">
        <f t="shared" si="21"/>
        <v>#VALUE!</v>
      </c>
      <c r="AD91" s="78" t="e">
        <f>'Alternative 1'!$B$39*$B91*$C91*COS($K$23)-($N$22/3)*$E91*SIN($K$23)-($N$22/3)*$F91*SIN($K$23)-($N$22/3)*$G91*SIN($K$23)</f>
        <v>#VALUE!</v>
      </c>
      <c r="AE91" s="79" t="e">
        <f>IF(($A91&lt;'Alternative 1'!$B$27),(($H91*'Alternative 1'!$B$39)+(3*($N$22/3)*COS($K$23))),IF(($A91&lt;'Alternative 1'!$B$28),(($H91*'Alternative 1'!$B$39)+(2*(($N$22/3)*COS($K$23)))),IF(($A91&lt;'Alternative 1'!$B$29),(($H$3*'Alternative 1'!$B$39+(($N$22/3)*COS($K$23)))),($H91*'Alternative 1'!$B$39))))</f>
        <v>#VALUE!</v>
      </c>
      <c r="AF91" s="78" t="e">
        <f>AD91*'Alternative 1'!$K92/'Alternative 1'!$L92</f>
        <v>#VALUE!</v>
      </c>
      <c r="AG91" s="78" t="e">
        <f>AE91/'Alternative 1'!$M92</f>
        <v>#VALUE!</v>
      </c>
      <c r="AH91" s="78" t="e">
        <f t="shared" si="22"/>
        <v>#VALUE!</v>
      </c>
      <c r="AJ91" s="78" t="e">
        <f>'Alternative 1'!$B$39*$B91*$C91*COS($K$33)-($N$32/3)*$E91*SIN($K$33)-($N$32/3)*$F91*SIN($K$33)-($N$32/3)*$G91*SIN($K$33)</f>
        <v>#VALUE!</v>
      </c>
      <c r="AK91" s="79" t="e">
        <f>IF(($A91&lt;'Alternative 1'!$B$27),(($H91*'Alternative 1'!$B$39)+(3*($N$32/3)*COS($K$33))),IF(($A91&lt;'Alternative 1'!$B$28),(($H91*'Alternative 1'!$B$39)+(2*(($N$32/3)*COS($K$33)))),IF(($A91&lt;'Alternative 1'!$B$29),(($H$3*'Alternative 1'!$B$39+(($N$32/3)*COS($K$33)))),($H91*'Alternative 1'!$B$39))))</f>
        <v>#VALUE!</v>
      </c>
      <c r="AL91" s="78" t="e">
        <f>AJ91*'Alternative 1'!$K92/'Alternative 1'!$L92</f>
        <v>#VALUE!</v>
      </c>
      <c r="AM91" s="78" t="e">
        <f>AK91/'Alternative 1'!$M92</f>
        <v>#VALUE!</v>
      </c>
      <c r="AN91" s="78" t="e">
        <f t="shared" si="23"/>
        <v>#VALUE!</v>
      </c>
      <c r="AP91" s="78" t="e">
        <f>'Alternative 1'!$B$39*$B91*$C91*COS($K$43)-($N$42/3)*$E91*SIN($K$43)-($N$42/3)*$F91*SIN($K$43)-($N$42/3)*$G91*SIN($K$43)</f>
        <v>#VALUE!</v>
      </c>
      <c r="AQ91" s="79" t="e">
        <f>IF(($A91&lt;'Alternative 1'!$B$27),(($H91*'Alternative 1'!$B$39)+(3*($N$42/3)*COS($K$43))),IF(($A91&lt;'Alternative 1'!$B$28),(($H91*'Alternative 1'!$B$39)+(2*(($N$42/3)*COS($K$43)))),IF(($A91&lt;'Alternative 1'!$B$29),(($H$3*'Alternative 1'!$B$39+(($N$42/3)*COS($K$43)))),($H91*'Alternative 1'!$B$39))))</f>
        <v>#VALUE!</v>
      </c>
      <c r="AR91" s="78" t="e">
        <f>AP91*'Alternative 1'!$K92/'Alternative 1'!$L92</f>
        <v>#VALUE!</v>
      </c>
      <c r="AS91" s="78" t="e">
        <f>AQ91/'Alternative 1'!$M92</f>
        <v>#VALUE!</v>
      </c>
      <c r="AT91" s="78" t="e">
        <f t="shared" si="24"/>
        <v>#VALUE!</v>
      </c>
      <c r="AV91" s="78" t="e">
        <f>'Alternative 1'!$B$39*$B91*$C91*COS($K$53)-($N$52/3)*$E91*SIN($K$53)-($N$52/3)*$F91*SIN($K$53)-($N$52/3)*$G91*SIN($K$53)</f>
        <v>#VALUE!</v>
      </c>
      <c r="AW91" s="79" t="e">
        <f>IF(($A91&lt;'Alternative 1'!$B$27),(($H91*'Alternative 1'!$B$39)+(3*($N$52/3)*COS($K$53))),IF(($A91&lt;'Alternative 1'!$B$28),(($H91*'Alternative 1'!$B$39)+(2*(($N$52/3)*COS($K$53)))),IF(($A91&lt;'Alternative 1'!$B$29),(($H$3*'Alternative 1'!$B$39+(($N$52/3)*COS($K$53)))),($H91*'Alternative 1'!$B$39))))</f>
        <v>#VALUE!</v>
      </c>
      <c r="AX91" s="78" t="e">
        <f>AV91*'Alternative 1'!$K92/'Alternative 1'!$L92</f>
        <v>#VALUE!</v>
      </c>
      <c r="AY91" s="78" t="e">
        <f>AW91/'Alternative 1'!$M92</f>
        <v>#VALUE!</v>
      </c>
      <c r="AZ91" s="78" t="e">
        <f t="shared" si="25"/>
        <v>#VALUE!</v>
      </c>
      <c r="BB91" s="78" t="e">
        <f>'Alternative 1'!$B$39*$B91*$C91*COS($K$63)-($N$62/3)*$E91*SIN($K$63)-($N$62/3)*$F91*SIN($K$63)-($N$62/3)*$G91*SIN($K$63)</f>
        <v>#VALUE!</v>
      </c>
      <c r="BC91" s="79" t="e">
        <f>IF(($A91&lt;'Alternative 1'!$B$27),(($H91*'Alternative 1'!$B$39)+(3*($N$62/3)*COS($K$63))),IF(($A91&lt;'Alternative 1'!$B$28),(($H91*'Alternative 1'!$B$39)+(2*(($N$62/3)*COS($K$63)))),IF(($A91&lt;'Alternative 1'!$B$29),(($H$3*'Alternative 1'!$B$39+(($N$62/3)*COS($K$63)))),($H91*'Alternative 1'!$B$39))))</f>
        <v>#VALUE!</v>
      </c>
      <c r="BD91" s="78" t="e">
        <f>BB91*'Alternative 1'!$K92/'Alternative 1'!$L92</f>
        <v>#VALUE!</v>
      </c>
      <c r="BE91" s="78" t="e">
        <f>BC91/'Alternative 1'!$M92</f>
        <v>#VALUE!</v>
      </c>
      <c r="BF91" s="78" t="e">
        <f t="shared" si="26"/>
        <v>#VALUE!</v>
      </c>
      <c r="BH91" s="78" t="e">
        <f>'Alternative 1'!$B$39*$B91*$C91*COS($K$73)-($N$72/3)*$E91*SIN($K$73)-($N$72/3)*$F91*SIN($K$73)-($N$72/3)*$G91*SIN($K$73)</f>
        <v>#VALUE!</v>
      </c>
      <c r="BI91" s="79" t="e">
        <f>IF(($A91&lt;'Alternative 1'!$B$27),(($H91*'Alternative 1'!$B$39)+(3*($N$72/3)*COS($K$73))),IF(($A91&lt;'Alternative 1'!$B$28),(($H91*'Alternative 1'!$B$39)+(2*(($N$72/3)*COS($K$73)))),IF(($A91&lt;'Alternative 1'!$B$29),(($H$3*'Alternative 1'!$B$39+(($N$72/3)*COS($K$73)))),($H91*'Alternative 1'!$B$39))))</f>
        <v>#VALUE!</v>
      </c>
      <c r="BJ91" s="78" t="e">
        <f>BH91*'Alternative 1'!$K92/'Alternative 1'!$L92</f>
        <v>#VALUE!</v>
      </c>
      <c r="BK91" s="78" t="e">
        <f>BI91/'Alternative 1'!$M92</f>
        <v>#VALUE!</v>
      </c>
      <c r="BL91" s="78" t="e">
        <f t="shared" si="27"/>
        <v>#VALUE!</v>
      </c>
      <c r="BN91" s="78" t="e">
        <f>'Alternative 1'!$B$39*$B91*$C91*COS($K$83)-($N$82/3)*$E91*SIN($K$83)-($N$82/3)*$F91*SIN($K$83)-($N$82/3)*$G91*SIN($K$83)</f>
        <v>#VALUE!</v>
      </c>
      <c r="BO91" s="79" t="e">
        <f>IF(($A91&lt;'Alternative 1'!$B$27),(($H91*'Alternative 1'!$B$39)+(3*($N$82/3)*COS($K$83))),IF(($A91&lt;'Alternative 1'!$B$28),(($H91*'Alternative 1'!$B$39)+(2*(($N$82/3)*COS($K$83)))),IF(($A91&lt;'Alternative 1'!$B$29),(($H$3*'Alternative 1'!$B$39+(($N$82/3)*COS($K$83)))),($H91*'Alternative 1'!$B$39))))</f>
        <v>#VALUE!</v>
      </c>
      <c r="BP91" s="78" t="e">
        <f>BN91*'Alternative 1'!$K92/'Alternative 1'!$L92</f>
        <v>#VALUE!</v>
      </c>
      <c r="BQ91" s="78" t="e">
        <f>BO91/'Alternative 1'!$M92</f>
        <v>#VALUE!</v>
      </c>
      <c r="BR91" s="78" t="e">
        <f t="shared" si="28"/>
        <v>#VALUE!</v>
      </c>
      <c r="BT91" s="78" t="e">
        <f>'Alternative 1'!$B$39*$B91*$C91*COS($K$93)-($K$92/3)*$E91*SIN($K$93)-($K$92/3)*$F91*SIN($K$93)-($K$92/3)*$G91*SIN($K$93)</f>
        <v>#VALUE!</v>
      </c>
      <c r="BU91" s="79" t="e">
        <f>IF(($A91&lt;'Alternative 1'!$B$27),(($H91*'Alternative 1'!$B$39)+(3*($N$92/3)*COS($K$93))),IF(($A91&lt;'Alternative 1'!$B$28),(($H91*'Alternative 1'!$B$39)+(2*(($N$92/3)*COS($K$93)))),IF(($A91&lt;'Alternative 1'!$B$29),(($H$3*'Alternative 1'!$B$39+(($N$92/3)*COS($K$93)))),($H91*'Alternative 1'!$B$39))))</f>
        <v>#VALUE!</v>
      </c>
      <c r="BV91" s="78" t="e">
        <f>BT91*'Alternative 1'!$K92/'Alternative 1'!$L92</f>
        <v>#VALUE!</v>
      </c>
      <c r="BW91" s="78" t="e">
        <f>BU91/'Alternative 1'!$M92</f>
        <v>#VALUE!</v>
      </c>
      <c r="BX91" s="78" t="e">
        <f t="shared" si="29"/>
        <v>#VALUE!</v>
      </c>
      <c r="BZ91" s="151"/>
      <c r="CA91" s="151"/>
      <c r="CB91" s="281"/>
      <c r="CC91" s="281"/>
      <c r="CD91" s="281"/>
      <c r="CE91" s="281"/>
      <c r="CF91" s="281"/>
      <c r="CG91" s="281"/>
      <c r="CH91" s="281"/>
      <c r="CI91" s="281"/>
      <c r="CJ91" s="281"/>
      <c r="CK91" s="281"/>
      <c r="CL91" s="281"/>
      <c r="CM91" s="281"/>
      <c r="CN91" s="281"/>
      <c r="CO91" s="281"/>
      <c r="CP91" s="281"/>
      <c r="CQ91" s="281"/>
      <c r="CR91" s="281"/>
      <c r="CS91" s="281"/>
      <c r="CT91" s="281"/>
      <c r="CU91" s="281"/>
      <c r="CV91" s="281"/>
      <c r="CW91" s="281"/>
      <c r="CX91" s="281"/>
      <c r="CY91" s="281"/>
      <c r="CZ91" s="281"/>
      <c r="DA91" s="281"/>
      <c r="DB91" s="281"/>
      <c r="DC91" s="281"/>
      <c r="DD91" s="281"/>
      <c r="DE91" s="281"/>
      <c r="DF91" s="281"/>
      <c r="DG91" s="281"/>
      <c r="DH91" s="281"/>
      <c r="DI91" s="281"/>
      <c r="DJ91" s="281"/>
      <c r="DK91" s="281"/>
    </row>
    <row r="92" spans="1:115" ht="15" customHeight="1" x14ac:dyDescent="0.25">
      <c r="A92" s="89" t="str">
        <f>IF('Alternative 1'!F93&gt;0,'Alternative 1'!F93,"x")</f>
        <v>x</v>
      </c>
      <c r="B92" s="89" t="e">
        <f t="shared" si="35"/>
        <v>#VALUE!</v>
      </c>
      <c r="C92" s="89">
        <f t="shared" si="30"/>
        <v>0</v>
      </c>
      <c r="D92" s="89" t="str">
        <f t="shared" si="31"/>
        <v>x</v>
      </c>
      <c r="E92" s="74">
        <f>IF($A92&lt;='Alternative 1'!$B$27, IF($A92='Alternative 1'!$B$27,0,E93+1),0)</f>
        <v>0</v>
      </c>
      <c r="F92" s="74">
        <f>IF($A92&lt;=('Alternative 1'!$B$28), IF($A92=ROUNDDOWN('Alternative 1'!$B$28,0),0,F93+1),0)</f>
        <v>0</v>
      </c>
      <c r="G92" s="74">
        <f>IF($A92&lt;=('Alternative 1'!$B$29), IF($A92=ROUNDDOWN('Alternative 1'!$B$29,0),0,G93+1),0)</f>
        <v>0</v>
      </c>
      <c r="H92" s="89" t="e">
        <f t="shared" si="32"/>
        <v>#VALUE!</v>
      </c>
      <c r="J92" s="77">
        <f t="shared" si="33"/>
        <v>89</v>
      </c>
      <c r="K92" s="77">
        <f t="shared" si="34"/>
        <v>1.5533430342749535</v>
      </c>
      <c r="L92" s="78">
        <f>'Alternative 1'!$B$27*SIN(K92)+'Alternative 1'!$B$28*SIN(K92)+'Alternative 1'!$B$29*SIN(K92)</f>
        <v>67.989643270634616</v>
      </c>
      <c r="M92" s="77">
        <f>(('Alternative 1'!$B$27)*(((('Alternative 1'!$B$28-'Alternative 1'!$B$27)/2)+'Alternative 1'!$B$27)*'Alternative 1'!$B$39)*COS('Alternative 1-Tilt Up'!K92))+(('Alternative 1'!$B$28)*((('Alternative 1'!$B$28-'Alternative 1'!$B$27)/2)+(('Alternative 1'!$B$29-'Alternative 1'!$B$28)/2))*('Alternative 1'!$B$39)*COS('Alternative 1-Tilt Up'!K92))+(('Alternative 1'!$B$29)*((('Alternative 1'!$B$12-'Alternative 1'!$B$29+(('Alternative 1'!$B$29-'Alternative 1'!$B$28)/2)*('Alternative 1'!$B$39)*COS('Alternative 1-Tilt Up'!K92)))))</f>
        <v>83023.29987497149</v>
      </c>
      <c r="N92" s="82">
        <f t="shared" si="18"/>
        <v>3663.3505875811848</v>
      </c>
      <c r="O92" s="77">
        <f>(((('Alternative 1'!$B$28-'Alternative 1'!$B$27)/2)+'Alternative 1'!$B$27)*('Alternative 1'!$B$39)*COS('Alternative 1-Tilt Up'!K92))+(((('Alternative 1'!$B$28-'Alternative 1'!$B$27)/2)+(('Alternative 1'!$B$29-'Alternative 1'!$B$28)/2))*('Alternative 1'!$B$39)*COS('Alternative 1-Tilt Up'!K92))+(((('Alternative 1'!$B$12-'Alternative 1'!$B$29)+(('Alternative 1'!$B$29-'Alternative 1'!$B$28)/2))*('Alternative 1'!$B$39)*COS('Alternative 1-Tilt Up'!K92)))</f>
        <v>5342.5290289629374</v>
      </c>
      <c r="P92" s="77">
        <f t="shared" si="19"/>
        <v>63.934283376727706</v>
      </c>
      <c r="R92" s="78" t="e">
        <f>'Alternative 1'!$B$39*$B92*$C92*COS($K$5)-($N$5/3)*$E92*SIN($K$5)-($N$5/3)*$F92*SIN($K$5)-($N$5/3)*$G92*SIN($K$5)</f>
        <v>#VALUE!</v>
      </c>
      <c r="S92" s="79" t="e">
        <f>IF(($A92&lt;'Alternative 1'!$B$27),(($H92*'Alternative 1'!$B$39)+(3*($N$5/3)*COS($K$5))),IF(($A92&lt;'Alternative 1'!$B$28),(($H92*'Alternative 1'!$B$39)+(2*(($N$5/3)*COS($K$5)))),IF(($A92&lt;'Alternative 1'!$B$29),(($H$3*'Alternative 1'!$B$39+(($N$5/3)*COS($K$5)))),($H92*'Alternative 1'!$B$39))))</f>
        <v>#VALUE!</v>
      </c>
      <c r="T92" s="78" t="e">
        <f>R92*'Alternative 1'!$K93/'Alternative 1'!$L93</f>
        <v>#VALUE!</v>
      </c>
      <c r="U92" s="78" t="e">
        <f>S92/'Alternative 1'!$M93</f>
        <v>#VALUE!</v>
      </c>
      <c r="V92" s="78" t="e">
        <f t="shared" si="20"/>
        <v>#VALUE!</v>
      </c>
      <c r="X92" s="78" t="e">
        <f>'Alternative 1'!$B$39*$B92*$C92*COS($K$13)-($N$12/3)*$E92*SIN($K$13)-($N$12/3)*$F92*SIN($K$13)-($N$12/3)*$G92*SIN($K$13)</f>
        <v>#VALUE!</v>
      </c>
      <c r="Y92" s="79" t="e">
        <f>IF(($A92&lt;'Alternative 1'!$B$27),(($H92*'Alternative 1'!$B$39)+(3*($N$12/3)*COS($K$13))),IF(($A92&lt;'Alternative 1'!$B$28),(($H92*'Alternative 1'!$B$39)+(2*(($N$12/3)*COS($K$13)))),IF(($A92&lt;'Alternative 1'!$B$29),(($H$3*'Alternative 1'!$B$39+(($N$12/3)*COS($K$13)))),($H92*'Alternative 1'!$B$39))))</f>
        <v>#VALUE!</v>
      </c>
      <c r="Z92" s="78" t="e">
        <f>X92*'Alternative 1'!$K93/'Alternative 1'!$L93</f>
        <v>#VALUE!</v>
      </c>
      <c r="AA92" s="78" t="e">
        <f>Y92/'Alternative 1'!$M93</f>
        <v>#VALUE!</v>
      </c>
      <c r="AB92" s="78" t="e">
        <f t="shared" si="21"/>
        <v>#VALUE!</v>
      </c>
      <c r="AD92" s="78" t="e">
        <f>'Alternative 1'!$B$39*$B92*$C92*COS($K$23)-($N$22/3)*$E92*SIN($K$23)-($N$22/3)*$F92*SIN($K$23)-($N$22/3)*$G92*SIN($K$23)</f>
        <v>#VALUE!</v>
      </c>
      <c r="AE92" s="79" t="e">
        <f>IF(($A92&lt;'Alternative 1'!$B$27),(($H92*'Alternative 1'!$B$39)+(3*($N$22/3)*COS($K$23))),IF(($A92&lt;'Alternative 1'!$B$28),(($H92*'Alternative 1'!$B$39)+(2*(($N$22/3)*COS($K$23)))),IF(($A92&lt;'Alternative 1'!$B$29),(($H$3*'Alternative 1'!$B$39+(($N$22/3)*COS($K$23)))),($H92*'Alternative 1'!$B$39))))</f>
        <v>#VALUE!</v>
      </c>
      <c r="AF92" s="78" t="e">
        <f>AD92*'Alternative 1'!$K93/'Alternative 1'!$L93</f>
        <v>#VALUE!</v>
      </c>
      <c r="AG92" s="78" t="e">
        <f>AE92/'Alternative 1'!$M93</f>
        <v>#VALUE!</v>
      </c>
      <c r="AH92" s="78" t="e">
        <f t="shared" si="22"/>
        <v>#VALUE!</v>
      </c>
      <c r="AJ92" s="78" t="e">
        <f>'Alternative 1'!$B$39*$B92*$C92*COS($K$33)-($N$32/3)*$E92*SIN($K$33)-($N$32/3)*$F92*SIN($K$33)-($N$32/3)*$G92*SIN($K$33)</f>
        <v>#VALUE!</v>
      </c>
      <c r="AK92" s="79" t="e">
        <f>IF(($A92&lt;'Alternative 1'!$B$27),(($H92*'Alternative 1'!$B$39)+(3*($N$32/3)*COS($K$33))),IF(($A92&lt;'Alternative 1'!$B$28),(($H92*'Alternative 1'!$B$39)+(2*(($N$32/3)*COS($K$33)))),IF(($A92&lt;'Alternative 1'!$B$29),(($H$3*'Alternative 1'!$B$39+(($N$32/3)*COS($K$33)))),($H92*'Alternative 1'!$B$39))))</f>
        <v>#VALUE!</v>
      </c>
      <c r="AL92" s="78" t="e">
        <f>AJ92*'Alternative 1'!$K93/'Alternative 1'!$L93</f>
        <v>#VALUE!</v>
      </c>
      <c r="AM92" s="78" t="e">
        <f>AK92/'Alternative 1'!$M93</f>
        <v>#VALUE!</v>
      </c>
      <c r="AN92" s="78" t="e">
        <f t="shared" si="23"/>
        <v>#VALUE!</v>
      </c>
      <c r="AP92" s="78" t="e">
        <f>'Alternative 1'!$B$39*$B92*$C92*COS($K$43)-($N$42/3)*$E92*SIN($K$43)-($N$42/3)*$F92*SIN($K$43)-($N$42/3)*$G92*SIN($K$43)</f>
        <v>#VALUE!</v>
      </c>
      <c r="AQ92" s="79" t="e">
        <f>IF(($A92&lt;'Alternative 1'!$B$27),(($H92*'Alternative 1'!$B$39)+(3*($N$42/3)*COS($K$43))),IF(($A92&lt;'Alternative 1'!$B$28),(($H92*'Alternative 1'!$B$39)+(2*(($N$42/3)*COS($K$43)))),IF(($A92&lt;'Alternative 1'!$B$29),(($H$3*'Alternative 1'!$B$39+(($N$42/3)*COS($K$43)))),($H92*'Alternative 1'!$B$39))))</f>
        <v>#VALUE!</v>
      </c>
      <c r="AR92" s="78" t="e">
        <f>AP92*'Alternative 1'!$K93/'Alternative 1'!$L93</f>
        <v>#VALUE!</v>
      </c>
      <c r="AS92" s="78" t="e">
        <f>AQ92/'Alternative 1'!$M93</f>
        <v>#VALUE!</v>
      </c>
      <c r="AT92" s="78" t="e">
        <f t="shared" si="24"/>
        <v>#VALUE!</v>
      </c>
      <c r="AV92" s="78" t="e">
        <f>'Alternative 1'!$B$39*$B92*$C92*COS($K$53)-($N$52/3)*$E92*SIN($K$53)-($N$52/3)*$F92*SIN($K$53)-($N$52/3)*$G92*SIN($K$53)</f>
        <v>#VALUE!</v>
      </c>
      <c r="AW92" s="79" t="e">
        <f>IF(($A92&lt;'Alternative 1'!$B$27),(($H92*'Alternative 1'!$B$39)+(3*($N$52/3)*COS($K$53))),IF(($A92&lt;'Alternative 1'!$B$28),(($H92*'Alternative 1'!$B$39)+(2*(($N$52/3)*COS($K$53)))),IF(($A92&lt;'Alternative 1'!$B$29),(($H$3*'Alternative 1'!$B$39+(($N$52/3)*COS($K$53)))),($H92*'Alternative 1'!$B$39))))</f>
        <v>#VALUE!</v>
      </c>
      <c r="AX92" s="78" t="e">
        <f>AV92*'Alternative 1'!$K93/'Alternative 1'!$L93</f>
        <v>#VALUE!</v>
      </c>
      <c r="AY92" s="78" t="e">
        <f>AW92/'Alternative 1'!$M93</f>
        <v>#VALUE!</v>
      </c>
      <c r="AZ92" s="78" t="e">
        <f t="shared" si="25"/>
        <v>#VALUE!</v>
      </c>
      <c r="BB92" s="78" t="e">
        <f>'Alternative 1'!$B$39*$B92*$C92*COS($K$63)-($N$62/3)*$E92*SIN($K$63)-($N$62/3)*$F92*SIN($K$63)-($N$62/3)*$G92*SIN($K$63)</f>
        <v>#VALUE!</v>
      </c>
      <c r="BC92" s="79" t="e">
        <f>IF(($A92&lt;'Alternative 1'!$B$27),(($H92*'Alternative 1'!$B$39)+(3*($N$62/3)*COS($K$63))),IF(($A92&lt;'Alternative 1'!$B$28),(($H92*'Alternative 1'!$B$39)+(2*(($N$62/3)*COS($K$63)))),IF(($A92&lt;'Alternative 1'!$B$29),(($H$3*'Alternative 1'!$B$39+(($N$62/3)*COS($K$63)))),($H92*'Alternative 1'!$B$39))))</f>
        <v>#VALUE!</v>
      </c>
      <c r="BD92" s="78" t="e">
        <f>BB92*'Alternative 1'!$K93/'Alternative 1'!$L93</f>
        <v>#VALUE!</v>
      </c>
      <c r="BE92" s="78" t="e">
        <f>BC92/'Alternative 1'!$M93</f>
        <v>#VALUE!</v>
      </c>
      <c r="BF92" s="78" t="e">
        <f t="shared" si="26"/>
        <v>#VALUE!</v>
      </c>
      <c r="BH92" s="78" t="e">
        <f>'Alternative 1'!$B$39*$B92*$C92*COS($K$73)-($N$72/3)*$E92*SIN($K$73)-($N$72/3)*$F92*SIN($K$73)-($N$72/3)*$G92*SIN($K$73)</f>
        <v>#VALUE!</v>
      </c>
      <c r="BI92" s="79" t="e">
        <f>IF(($A92&lt;'Alternative 1'!$B$27),(($H92*'Alternative 1'!$B$39)+(3*($N$72/3)*COS($K$73))),IF(($A92&lt;'Alternative 1'!$B$28),(($H92*'Alternative 1'!$B$39)+(2*(($N$72/3)*COS($K$73)))),IF(($A92&lt;'Alternative 1'!$B$29),(($H$3*'Alternative 1'!$B$39+(($N$72/3)*COS($K$73)))),($H92*'Alternative 1'!$B$39))))</f>
        <v>#VALUE!</v>
      </c>
      <c r="BJ92" s="78" t="e">
        <f>BH92*'Alternative 1'!$K93/'Alternative 1'!$L93</f>
        <v>#VALUE!</v>
      </c>
      <c r="BK92" s="78" t="e">
        <f>BI92/'Alternative 1'!$M93</f>
        <v>#VALUE!</v>
      </c>
      <c r="BL92" s="78" t="e">
        <f t="shared" si="27"/>
        <v>#VALUE!</v>
      </c>
      <c r="BN92" s="78" t="e">
        <f>'Alternative 1'!$B$39*$B92*$C92*COS($K$83)-($N$82/3)*$E92*SIN($K$83)-($N$82/3)*$F92*SIN($K$83)-($N$82/3)*$G92*SIN($K$83)</f>
        <v>#VALUE!</v>
      </c>
      <c r="BO92" s="79" t="e">
        <f>IF(($A92&lt;'Alternative 1'!$B$27),(($H92*'Alternative 1'!$B$39)+(3*($N$82/3)*COS($K$83))),IF(($A92&lt;'Alternative 1'!$B$28),(($H92*'Alternative 1'!$B$39)+(2*(($N$82/3)*COS($K$83)))),IF(($A92&lt;'Alternative 1'!$B$29),(($H$3*'Alternative 1'!$B$39+(($N$82/3)*COS($K$83)))),($H92*'Alternative 1'!$B$39))))</f>
        <v>#VALUE!</v>
      </c>
      <c r="BP92" s="78" t="e">
        <f>BN92*'Alternative 1'!$K93/'Alternative 1'!$L93</f>
        <v>#VALUE!</v>
      </c>
      <c r="BQ92" s="78" t="e">
        <f>BO92/'Alternative 1'!$M93</f>
        <v>#VALUE!</v>
      </c>
      <c r="BR92" s="78" t="e">
        <f t="shared" si="28"/>
        <v>#VALUE!</v>
      </c>
      <c r="BT92" s="78" t="e">
        <f>'Alternative 1'!$B$39*$B92*$C92*COS($K$93)-($K$92/3)*$E92*SIN($K$93)-($K$92/3)*$F92*SIN($K$93)-($K$92/3)*$G92*SIN($K$93)</f>
        <v>#VALUE!</v>
      </c>
      <c r="BU92" s="79" t="e">
        <f>IF(($A92&lt;'Alternative 1'!$B$27),(($H92*'Alternative 1'!$B$39)+(3*($N$92/3)*COS($K$93))),IF(($A92&lt;'Alternative 1'!$B$28),(($H92*'Alternative 1'!$B$39)+(2*(($N$92/3)*COS($K$93)))),IF(($A92&lt;'Alternative 1'!$B$29),(($H$3*'Alternative 1'!$B$39+(($N$92/3)*COS($K$93)))),($H92*'Alternative 1'!$B$39))))</f>
        <v>#VALUE!</v>
      </c>
      <c r="BV92" s="78" t="e">
        <f>BT92*'Alternative 1'!$K93/'Alternative 1'!$L93</f>
        <v>#VALUE!</v>
      </c>
      <c r="BW92" s="78" t="e">
        <f>BU92/'Alternative 1'!$M93</f>
        <v>#VALUE!</v>
      </c>
      <c r="BX92" s="78" t="e">
        <f t="shared" si="29"/>
        <v>#VALUE!</v>
      </c>
      <c r="BZ92" s="151"/>
      <c r="CA92" s="151"/>
      <c r="CB92" s="281"/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  <c r="CP92" s="281"/>
      <c r="CQ92" s="281"/>
      <c r="CR92" s="281"/>
      <c r="CS92" s="281"/>
      <c r="CT92" s="281"/>
      <c r="CU92" s="281"/>
      <c r="CV92" s="281"/>
      <c r="CW92" s="281"/>
      <c r="CX92" s="281"/>
      <c r="CY92" s="281"/>
      <c r="CZ92" s="281"/>
      <c r="DA92" s="281"/>
      <c r="DB92" s="281"/>
      <c r="DC92" s="281"/>
      <c r="DD92" s="281"/>
      <c r="DE92" s="281"/>
      <c r="DF92" s="281"/>
      <c r="DG92" s="281"/>
      <c r="DH92" s="281"/>
      <c r="DI92" s="281"/>
      <c r="DJ92" s="281"/>
      <c r="DK92" s="281"/>
    </row>
    <row r="93" spans="1:115" ht="15" customHeight="1" x14ac:dyDescent="0.25">
      <c r="J93" s="77">
        <f t="shared" si="33"/>
        <v>90</v>
      </c>
      <c r="K93" s="82">
        <f t="shared" si="34"/>
        <v>1.5707963267948966</v>
      </c>
      <c r="L93" s="78">
        <f>'Alternative 1'!$B$27*SIN(K93)+'Alternative 1'!$B$28*SIN(K93)+'Alternative 1'!$B$29*SIN(K93)</f>
        <v>68</v>
      </c>
      <c r="M93" s="77">
        <f>(('Alternative 1'!$B$27)*(((('Alternative 1'!$B$28-'Alternative 1'!$B$27)/2)+'Alternative 1'!$B$27)*'Alternative 1'!$B$39)*COS('Alternative 1-Tilt Up'!K93))+(('Alternative 1'!$B$28)*((('Alternative 1'!$B$28-'Alternative 1'!$B$27)/2)+(('Alternative 1'!$B$29-'Alternative 1'!$B$28)/2))*('Alternative 1'!$B$39)*COS('Alternative 1-Tilt Up'!K93))+(('Alternative 1'!$B$29)*((('Alternative 1'!$B$12-'Alternative 1'!$B$29+(('Alternative 1'!$B$29-'Alternative 1'!$B$28)/2)*('Alternative 1'!$B$39)*COS('Alternative 1-Tilt Up'!K93)))))</f>
        <v>195.63110000029076</v>
      </c>
      <c r="N93" s="77">
        <f t="shared" si="18"/>
        <v>8.6307838235422398</v>
      </c>
      <c r="O93" s="77">
        <f>(((('Alternative 1'!$B$28-'Alternative 1'!$B$27)/2)+'Alternative 1'!$B$27)*('Alternative 1'!$B$39)*COS('Alternative 1-Tilt Up'!K93))+(((('Alternative 1'!$B$28-'Alternative 1'!$B$27)/2)+(('Alternative 1'!$B$29-'Alternative 1'!$B$28)/2))*('Alternative 1'!$B$39)*COS('Alternative 1-Tilt Up'!K93))+(((('Alternative 1'!$B$12-'Alternative 1'!$B$29)+(('Alternative 1'!$B$29-'Alternative 1'!$B$28)/2))*('Alternative 1'!$B$39)*COS('Alternative 1-Tilt Up'!K93)))</f>
        <v>1.8752116530920196E-11</v>
      </c>
      <c r="P93" s="82">
        <f t="shared" si="19"/>
        <v>5.2869957330315435E-16</v>
      </c>
      <c r="R93" s="78">
        <f>'Alternative 1'!$B$39*$B93*$C93*COS($K$5)-($N$5/3)*$E93*SIN($K$5)-($N$5/3)*$F93*SIN($K$5)-($N$5/3)*$G93*SIN($K$5)</f>
        <v>0</v>
      </c>
      <c r="S93" s="79">
        <f>IF(($A93&lt;'Alternative 1'!$B$27),(($H93*'Alternative 1'!$B$39)+(3*($N$5/3)*COS($K$5))),IF(($A93&lt;'Alternative 1'!$B$28),(($H93*'Alternative 1'!$B$39)+(2*(($N$5/3)*COS($K$5)))),IF(($A93&lt;'Alternative 1'!$B$29),(($H$3*'Alternative 1'!$B$39+(($N$5/3)*COS($K$5)))),($H93*'Alternative 1'!$B$39))))</f>
        <v>5992415.6312237764</v>
      </c>
      <c r="T93" s="78" t="e">
        <f>R93*'Alternative 1'!$K94/'Alternative 1'!$L94</f>
        <v>#DIV/0!</v>
      </c>
      <c r="U93" s="78" t="e">
        <f>S93/'Alternative 1'!$M94</f>
        <v>#DIV/0!</v>
      </c>
      <c r="V93" s="78" t="e">
        <f t="shared" si="20"/>
        <v>#DIV/0!</v>
      </c>
      <c r="X93" s="78">
        <f>'Alternative 1'!$B$39*$B93*$C93*COS($K$13)-($N$12/3)*$E93*SIN($K$13)-($N$12/3)*$F93*SIN($K$13)-($N$12/3)*$G93*SIN($K$13)</f>
        <v>0</v>
      </c>
      <c r="Y93" s="79">
        <f>IF(($A93&lt;'Alternative 1'!$B$27),(($H93*'Alternative 1'!$B$39)+(3*($N$12/3)*COS($K$13))),IF(($A93&lt;'Alternative 1'!$B$28),(($H93*'Alternative 1'!$B$39)+(2*(($N$12/3)*COS($K$13)))),IF(($A93&lt;'Alternative 1'!$B$29),(($H$3*'Alternative 1'!$B$39+(($N$12/3)*COS($K$13)))),($H93*'Alternative 1'!$B$39))))</f>
        <v>1301935.6860266996</v>
      </c>
      <c r="Z93" s="78" t="e">
        <f>X93*'Alternative 1'!$K94/'Alternative 1'!$L94</f>
        <v>#DIV/0!</v>
      </c>
      <c r="AA93" s="78" t="e">
        <f>Y93/'Alternative 1'!$M94</f>
        <v>#DIV/0!</v>
      </c>
      <c r="AB93" s="78" t="e">
        <f t="shared" si="21"/>
        <v>#DIV/0!</v>
      </c>
      <c r="AD93" s="78">
        <f>'Alternative 1'!$B$39*$B93*$C93*COS($K$23)-($N$22/3)*$E93*SIN($K$23)-($N$22/3)*$F93*SIN($K$23)-($N$22/3)*$G93*SIN($K$23)</f>
        <v>0</v>
      </c>
      <c r="AE93" s="79">
        <f>IF(($A93&lt;'Alternative 1'!$B$27),(($H93*'Alternative 1'!$B$39)+(3*($N$22/3)*COS($K$23))),IF(($A93&lt;'Alternative 1'!$B$28),(($H93*'Alternative 1'!$B$39)+(2*(($N$22/3)*COS($K$23)))),IF(($A93&lt;'Alternative 1'!$B$29),(($H$3*'Alternative 1'!$B$39+(($N$22/3)*COS($K$23)))),($H93*'Alternative 1'!$B$39))))</f>
        <v>571433.05515821197</v>
      </c>
      <c r="AF93" s="78" t="e">
        <f>AD93*'Alternative 1'!$K94/'Alternative 1'!$L94</f>
        <v>#DIV/0!</v>
      </c>
      <c r="AG93" s="78" t="e">
        <f>AE93/'Alternative 1'!$M94</f>
        <v>#DIV/0!</v>
      </c>
      <c r="AH93" s="78" t="e">
        <f t="shared" si="22"/>
        <v>#DIV/0!</v>
      </c>
      <c r="AJ93" s="78">
        <f>'Alternative 1'!$B$39*$B93*$C93*COS($K$33)-($N$32/3)*$E93*SIN($K$33)-($N$32/3)*$F93*SIN($K$33)-($N$32/3)*$G93*SIN($K$33)</f>
        <v>0</v>
      </c>
      <c r="AK93" s="79">
        <f>IF(($A93&lt;'Alternative 1'!$B$27),(($H93*'Alternative 1'!$B$39)+(3*($N$32/3)*COS($K$33))),IF(($A93&lt;'Alternative 1'!$B$28),(($H93*'Alternative 1'!$B$39)+(2*(($N$32/3)*COS($K$33)))),IF(($A93&lt;'Alternative 1'!$B$29),(($H$3*'Alternative 1'!$B$39+(($N$32/3)*COS($K$33)))),($H93*'Alternative 1'!$B$39))))</f>
        <v>327138.44944458187</v>
      </c>
      <c r="AL93" s="78" t="e">
        <f>AJ93*'Alternative 1'!$K94/'Alternative 1'!$L94</f>
        <v>#DIV/0!</v>
      </c>
      <c r="AM93" s="78" t="e">
        <f>AK93/'Alternative 1'!$M94</f>
        <v>#DIV/0!</v>
      </c>
      <c r="AN93" s="78" t="e">
        <f t="shared" si="23"/>
        <v>#DIV/0!</v>
      </c>
      <c r="AP93" s="78">
        <f>'Alternative 1'!$B$39*$B93*$C93*COS($K$43)-($N$42/3)*$E93*SIN($K$43)-($N$42/3)*$F93*SIN($K$43)-($N$42/3)*$G93*SIN($K$43)</f>
        <v>0</v>
      </c>
      <c r="AQ93" s="79">
        <f>IF(($A93&lt;'Alternative 1'!$B$27),(($H93*'Alternative 1'!$B$39)+(3*($N$42/3)*COS($K$43))),IF(($A93&lt;'Alternative 1'!$B$28),(($H93*'Alternative 1'!$B$39)+(2*(($N$42/3)*COS($K$43)))),IF(($A93&lt;'Alternative 1'!$B$29),(($H$3*'Alternative 1'!$B$39+(($N$42/3)*COS($K$43)))),($H93*'Alternative 1'!$B$39))))</f>
        <v>198079.82965620476</v>
      </c>
      <c r="AR93" s="78" t="e">
        <f>AP93*'Alternative 1'!$K94/'Alternative 1'!$L94</f>
        <v>#DIV/0!</v>
      </c>
      <c r="AS93" s="78" t="e">
        <f>AQ93/'Alternative 1'!$M94</f>
        <v>#DIV/0!</v>
      </c>
      <c r="AT93" s="78" t="e">
        <f t="shared" si="24"/>
        <v>#DIV/0!</v>
      </c>
      <c r="AV93" s="78">
        <f>'Alternative 1'!$B$39*$B93*$C93*COS($K$53)-($N$52/3)*$E93*SIN($K$53)-($N$52/3)*$F93*SIN($K$53)-($N$52/3)*$G93*SIN($K$53)</f>
        <v>0</v>
      </c>
      <c r="AW93" s="79">
        <f>IF(($A93&lt;'Alternative 1'!$B$27),(($H93*'Alternative 1'!$B$39)+(3*($N$52/3)*COS($K$53))),IF(($A93&lt;'Alternative 1'!$B$28),(($H93*'Alternative 1'!$B$39)+(2*(($N$52/3)*COS($K$53)))),IF(($A93&lt;'Alternative 1'!$B$29),(($H$3*'Alternative 1'!$B$39+(($N$52/3)*COS($K$53)))),($H93*'Alternative 1'!$B$39))))</f>
        <v>117001.19533406357</v>
      </c>
      <c r="AX93" s="78" t="e">
        <f>AV93*'Alternative 1'!$K94/'Alternative 1'!$L94</f>
        <v>#DIV/0!</v>
      </c>
      <c r="AY93" s="78" t="e">
        <f>AW93/'Alternative 1'!$M94</f>
        <v>#DIV/0!</v>
      </c>
      <c r="AZ93" s="78" t="e">
        <f t="shared" si="25"/>
        <v>#DIV/0!</v>
      </c>
      <c r="BB93" s="78">
        <f>'Alternative 1'!$B$39*$B93*$C93*COS($K$63)-($N$62/3)*$E93*SIN($K$63)-($N$62/3)*$F93*SIN($K$63)-($N$62/3)*$G93*SIN($K$63)</f>
        <v>0</v>
      </c>
      <c r="BC93" s="79">
        <f>IF(($A93&lt;'Alternative 1'!$B$27),(($H93*'Alternative 1'!$B$39)+(3*($N$62/3)*COS($K$63))),IF(($A93&lt;'Alternative 1'!$B$28),(($H93*'Alternative 1'!$B$39)+(2*(($N$62/3)*COS($K$63)))),IF(($A93&lt;'Alternative 1'!$B$29),(($H$3*'Alternative 1'!$B$39+(($N$62/3)*COS($K$63)))),($H93*'Alternative 1'!$B$39))))</f>
        <v>62908.736721801004</v>
      </c>
      <c r="BD93" s="78" t="e">
        <f>BB93*'Alternative 1'!$K94/'Alternative 1'!$L94</f>
        <v>#DIV/0!</v>
      </c>
      <c r="BE93" s="78" t="e">
        <f>BC93/'Alternative 1'!$M94</f>
        <v>#DIV/0!</v>
      </c>
      <c r="BF93" s="78" t="e">
        <f t="shared" si="26"/>
        <v>#DIV/0!</v>
      </c>
      <c r="BH93" s="78">
        <f>'Alternative 1'!$B$39*$B93*$C93*COS($K$73)-($N$72/3)*$E93*SIN($K$73)-($N$72/3)*$F93*SIN($K$73)-($N$72/3)*$G93*SIN($K$73)</f>
        <v>0</v>
      </c>
      <c r="BI93" s="79">
        <f>IF(($A93&lt;'Alternative 1'!$B$27),(($H93*'Alternative 1'!$B$39)+(3*($N$72/3)*COS($K$73))),IF(($A93&lt;'Alternative 1'!$B$28),(($H93*'Alternative 1'!$B$39)+(2*(($N$72/3)*COS($K$73)))),IF(($A93&lt;'Alternative 1'!$B$29),(($H$3*'Alternative 1'!$B$39+(($N$72/3)*COS($K$73)))),($H93*'Alternative 1'!$B$39))))</f>
        <v>27492.328331770146</v>
      </c>
      <c r="BJ93" s="78" t="e">
        <f>BH93*'Alternative 1'!$K94/'Alternative 1'!$L94</f>
        <v>#DIV/0!</v>
      </c>
      <c r="BK93" s="78" t="e">
        <f>BI93/'Alternative 1'!$M94</f>
        <v>#DIV/0!</v>
      </c>
      <c r="BL93" s="78" t="e">
        <f t="shared" si="27"/>
        <v>#DIV/0!</v>
      </c>
      <c r="BN93" s="78">
        <f>'Alternative 1'!$B$39*$B93*$C93*COS($K$83)-($N$82/3)*$E93*SIN($K$83)-($N$82/3)*$F93*SIN($K$83)-($N$82/3)*$G93*SIN($K$83)</f>
        <v>0</v>
      </c>
      <c r="BO93" s="79">
        <f>IF(($A93&lt;'Alternative 1'!$B$27),(($H93*'Alternative 1'!$B$39)+(3*($N$82/3)*COS($K$83))),IF(($A93&lt;'Alternative 1'!$B$28),(($H93*'Alternative 1'!$B$39)+(2*(($N$82/3)*COS($K$83)))),IF(($A93&lt;'Alternative 1'!$B$29),(($H$3*'Alternative 1'!$B$39+(($N$82/3)*COS($K$83)))),($H93*'Alternative 1'!$B$39))))</f>
        <v>7068.8500919483859</v>
      </c>
      <c r="BP93" s="78" t="e">
        <f>BN93*'Alternative 1'!$K94/'Alternative 1'!$L94</f>
        <v>#DIV/0!</v>
      </c>
      <c r="BQ93" s="78" t="e">
        <f>BO93/'Alternative 1'!$M94</f>
        <v>#DIV/0!</v>
      </c>
      <c r="BR93" s="78" t="e">
        <f t="shared" si="28"/>
        <v>#DIV/0!</v>
      </c>
      <c r="BT93" s="78">
        <f>'Alternative 1'!$B$39*$B93*$C93*COS($K$93)-($K$92/3)*$E93*SIN($K$93)-($K$92/3)*$F93*SIN($K$93)-($K$92/3)*$G93*SIN($K$93)</f>
        <v>0</v>
      </c>
      <c r="BU93" s="79">
        <f>IF(($A93&lt;'Alternative 1'!$B$27),(($H93*'Alternative 1'!$B$39)+(3*($N$92/3)*COS($K$93))),IF(($A93&lt;'Alternative 1'!$B$28),(($H93*'Alternative 1'!$B$39)+(2*(($N$92/3)*COS($K$93)))),IF(($A93&lt;'Alternative 1'!$B$29),(($H$3*'Alternative 1'!$B$39+(($N$92/3)*COS($K$93)))),($H93*'Alternative 1'!$B$39))))</f>
        <v>2.2440741560818368E-13</v>
      </c>
      <c r="BV93" s="78" t="e">
        <f>BT93*'Alternative 1'!$K94/'Alternative 1'!$L94</f>
        <v>#DIV/0!</v>
      </c>
      <c r="BW93" s="78" t="e">
        <f>BU93/'Alternative 1'!$M94</f>
        <v>#DIV/0!</v>
      </c>
      <c r="BX93" s="78" t="e">
        <f t="shared" si="29"/>
        <v>#DIV/0!</v>
      </c>
      <c r="BZ93" s="151"/>
      <c r="CA93" s="15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  <c r="CW93" s="281"/>
      <c r="CX93" s="281"/>
      <c r="CY93" s="281"/>
      <c r="CZ93" s="281"/>
      <c r="DA93" s="281"/>
      <c r="DB93" s="281"/>
      <c r="DC93" s="281"/>
      <c r="DD93" s="281"/>
      <c r="DE93" s="281"/>
      <c r="DF93" s="281"/>
      <c r="DG93" s="281"/>
      <c r="DH93" s="281"/>
      <c r="DI93" s="281"/>
      <c r="DJ93" s="281"/>
      <c r="DK93" s="281"/>
    </row>
    <row r="94" spans="1:115" ht="15" customHeight="1" x14ac:dyDescent="0.25">
      <c r="BT94" s="78"/>
      <c r="BU94" s="79"/>
      <c r="BV94" s="78"/>
      <c r="BW94" s="78"/>
      <c r="BX94" s="78"/>
      <c r="BZ94" s="151"/>
      <c r="CA94" s="151"/>
      <c r="CB94" s="281"/>
      <c r="CC94" s="281"/>
      <c r="CD94" s="281"/>
      <c r="CE94" s="281"/>
      <c r="CF94" s="281"/>
      <c r="CG94" s="281"/>
      <c r="CH94" s="281"/>
      <c r="CI94" s="281"/>
      <c r="CJ94" s="281"/>
      <c r="CK94" s="281"/>
      <c r="CL94" s="281"/>
      <c r="CM94" s="281"/>
      <c r="CN94" s="281"/>
      <c r="CO94" s="281"/>
      <c r="CP94" s="281"/>
      <c r="CQ94" s="281"/>
      <c r="CR94" s="281"/>
      <c r="CS94" s="281"/>
      <c r="CT94" s="281"/>
      <c r="CU94" s="281"/>
      <c r="CV94" s="281"/>
      <c r="CW94" s="281"/>
      <c r="CX94" s="281"/>
      <c r="CY94" s="281"/>
      <c r="CZ94" s="281"/>
      <c r="DA94" s="281"/>
      <c r="DB94" s="281"/>
      <c r="DC94" s="281"/>
      <c r="DD94" s="281"/>
      <c r="DE94" s="281"/>
      <c r="DF94" s="281"/>
      <c r="DG94" s="281"/>
      <c r="DH94" s="281"/>
      <c r="DI94" s="281"/>
      <c r="DJ94" s="281"/>
      <c r="DK94" s="281"/>
    </row>
    <row r="95" spans="1:115" ht="15" customHeight="1" x14ac:dyDescent="0.25">
      <c r="CA95" s="152"/>
      <c r="CB95" s="281"/>
      <c r="CC95" s="281"/>
      <c r="CD95" s="281"/>
      <c r="CE95" s="281"/>
      <c r="CF95" s="281"/>
      <c r="CG95" s="281"/>
      <c r="CH95" s="281"/>
      <c r="CI95" s="281"/>
      <c r="CJ95" s="281"/>
      <c r="CK95" s="281"/>
      <c r="CL95" s="281"/>
      <c r="CM95" s="281"/>
      <c r="CN95" s="281"/>
      <c r="CO95" s="281"/>
      <c r="CP95" s="281"/>
      <c r="CQ95" s="281"/>
      <c r="CR95" s="281"/>
      <c r="CS95" s="281"/>
      <c r="CT95" s="281"/>
      <c r="CU95" s="281"/>
      <c r="CV95" s="281"/>
      <c r="CW95" s="281"/>
      <c r="CX95" s="281"/>
      <c r="CY95" s="281"/>
      <c r="CZ95" s="281"/>
      <c r="DA95" s="281"/>
      <c r="DB95" s="281"/>
      <c r="DC95" s="281"/>
      <c r="DD95" s="281"/>
      <c r="DE95" s="281"/>
      <c r="DF95" s="281"/>
      <c r="DG95" s="281"/>
      <c r="DH95" s="281"/>
      <c r="DI95" s="281"/>
      <c r="DJ95" s="281"/>
      <c r="DK95" s="281"/>
    </row>
    <row r="96" spans="1:115" ht="15" customHeight="1" x14ac:dyDescent="0.25">
      <c r="V96" s="78">
        <f>MAX(V3:V38)</f>
        <v>16.931848514174092</v>
      </c>
      <c r="AB96" s="78">
        <f>MAX(AB3:AB38)</f>
        <v>9.634504814378543</v>
      </c>
      <c r="AH96" s="78">
        <f>MAX(AH3:AH38)</f>
        <v>10.988811133076444</v>
      </c>
      <c r="AN96" s="78">
        <f>MAX(AN3:AN38)</f>
        <v>10.943903124425169</v>
      </c>
      <c r="AT96" s="78">
        <f>MAX(AT3:AT38)</f>
        <v>9.9299717848194931</v>
      </c>
      <c r="AZ96" s="78">
        <f>MAX(AZ3:AZ38)</f>
        <v>8.3412364004511126</v>
      </c>
      <c r="BF96" s="78">
        <f>MAX(BF3:BF38)</f>
        <v>6.3457364239688232</v>
      </c>
      <c r="BL96" s="78">
        <f>MAX(BL3:BL38)</f>
        <v>4.0549248649458765</v>
      </c>
      <c r="BR96" s="78">
        <f>MAX(BR3:BR38)</f>
        <v>1.6997934855879984</v>
      </c>
      <c r="BX96" s="78">
        <f>MAX(BX3:BX38)</f>
        <v>0.16451253456070575</v>
      </c>
      <c r="CA96" s="152"/>
      <c r="CB96" s="281"/>
      <c r="CC96" s="281"/>
      <c r="CD96" s="281"/>
      <c r="CE96" s="281"/>
      <c r="CF96" s="281"/>
      <c r="CG96" s="281"/>
      <c r="CH96" s="281"/>
      <c r="CI96" s="281"/>
      <c r="CJ96" s="281"/>
      <c r="CK96" s="281"/>
      <c r="CL96" s="281"/>
      <c r="CM96" s="281"/>
      <c r="CN96" s="281"/>
      <c r="CO96" s="281"/>
      <c r="CP96" s="281"/>
      <c r="CQ96" s="281"/>
      <c r="CR96" s="281"/>
      <c r="CS96" s="281"/>
      <c r="CT96" s="281"/>
      <c r="CU96" s="281"/>
      <c r="CV96" s="281"/>
      <c r="CW96" s="281"/>
      <c r="CX96" s="281"/>
      <c r="CY96" s="281"/>
      <c r="CZ96" s="281"/>
      <c r="DA96" s="281"/>
      <c r="DB96" s="281"/>
      <c r="DC96" s="281"/>
      <c r="DD96" s="281"/>
      <c r="DE96" s="281"/>
      <c r="DF96" s="281"/>
      <c r="DG96" s="281"/>
      <c r="DH96" s="281"/>
      <c r="DI96" s="281"/>
      <c r="DJ96" s="281"/>
      <c r="DK96" s="281"/>
    </row>
    <row r="97" spans="80:115" x14ac:dyDescent="0.25">
      <c r="CB97" s="280"/>
      <c r="CC97" s="280"/>
      <c r="CD97" s="280"/>
      <c r="CE97" s="280"/>
      <c r="CF97" s="280"/>
      <c r="CG97" s="280"/>
      <c r="CH97" s="280"/>
      <c r="CI97" s="280"/>
      <c r="CJ97" s="280"/>
      <c r="CK97" s="280"/>
      <c r="CL97" s="280"/>
      <c r="CM97" s="280"/>
      <c r="CN97" s="280"/>
      <c r="CO97" s="280"/>
      <c r="CP97" s="280"/>
      <c r="CQ97" s="280"/>
      <c r="CR97" s="280"/>
      <c r="CS97" s="280"/>
      <c r="CT97" s="280"/>
      <c r="CU97" s="280"/>
      <c r="CV97" s="280"/>
      <c r="CW97" s="280"/>
      <c r="CX97" s="280"/>
      <c r="CY97" s="280"/>
      <c r="CZ97" s="280"/>
      <c r="DA97" s="280"/>
      <c r="DB97" s="280"/>
      <c r="DC97" s="280"/>
      <c r="DD97" s="280"/>
      <c r="DE97" s="280"/>
      <c r="DF97" s="280"/>
      <c r="DG97" s="280"/>
      <c r="DH97" s="280"/>
      <c r="DI97" s="280"/>
      <c r="DJ97" s="280"/>
      <c r="DK97" s="280"/>
    </row>
  </sheetData>
  <mergeCells count="25">
    <mergeCell ref="BZ1:CA1"/>
    <mergeCell ref="BT1:BX1"/>
    <mergeCell ref="BN1:BR1"/>
    <mergeCell ref="AJ1:AN1"/>
    <mergeCell ref="AP1:AT1"/>
    <mergeCell ref="AV1:AZ1"/>
    <mergeCell ref="BB1:BF1"/>
    <mergeCell ref="BH1:BL1"/>
    <mergeCell ref="AO1:AO1048576"/>
    <mergeCell ref="BY1:BY1048576"/>
    <mergeCell ref="AU1:AU1048576"/>
    <mergeCell ref="BA1:BA1048576"/>
    <mergeCell ref="BG1:BG1048576"/>
    <mergeCell ref="BM1:BM1048576"/>
    <mergeCell ref="BS1:BS1048576"/>
    <mergeCell ref="AI1:AI1048576"/>
    <mergeCell ref="A1:H1"/>
    <mergeCell ref="R1:V1"/>
    <mergeCell ref="X1:AB1"/>
    <mergeCell ref="AD1:AH1"/>
    <mergeCell ref="I1:I1048576"/>
    <mergeCell ref="K1:P1"/>
    <mergeCell ref="Q1:Q1048576"/>
    <mergeCell ref="W1:W1048576"/>
    <mergeCell ref="AC1:AC1048576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A96"/>
  <sheetViews>
    <sheetView topLeftCell="BR1" zoomScale="70" zoomScaleNormal="70" workbookViewId="0">
      <selection activeCell="BZ1" sqref="BZ1:CA1"/>
    </sheetView>
  </sheetViews>
  <sheetFormatPr defaultColWidth="9.140625" defaultRowHeight="15" x14ac:dyDescent="0.25"/>
  <cols>
    <col min="1" max="1" width="9.140625" style="13"/>
    <col min="2" max="2" width="12.28515625" style="13" customWidth="1"/>
    <col min="3" max="4" width="9.140625" style="13"/>
    <col min="5" max="5" width="13.42578125" style="74" customWidth="1"/>
    <col min="6" max="7" width="13.85546875" style="74" customWidth="1"/>
    <col min="8" max="8" width="14" style="13" customWidth="1"/>
    <col min="9" max="9" width="1.28515625" style="244" customWidth="1"/>
    <col min="10" max="10" width="0" style="13" hidden="1" customWidth="1"/>
    <col min="11" max="11" width="11.42578125" style="13" customWidth="1"/>
    <col min="12" max="12" width="9.140625" style="13"/>
    <col min="13" max="13" width="16.42578125" style="13" customWidth="1"/>
    <col min="14" max="14" width="17.28515625" style="13" customWidth="1"/>
    <col min="15" max="15" width="14.7109375" style="13" customWidth="1"/>
    <col min="16" max="16" width="17.28515625" style="13" customWidth="1"/>
    <col min="17" max="17" width="1.28515625" style="244" customWidth="1"/>
    <col min="18" max="19" width="18.28515625" style="13" customWidth="1"/>
    <col min="20" max="22" width="18.85546875" style="13" customWidth="1"/>
    <col min="23" max="23" width="1.28515625" style="244" customWidth="1"/>
    <col min="24" max="28" width="18.7109375" style="13" customWidth="1"/>
    <col min="29" max="29" width="1.28515625" style="244" customWidth="1"/>
    <col min="30" max="34" width="18.28515625" style="13" customWidth="1"/>
    <col min="35" max="35" width="1.28515625" style="244" customWidth="1"/>
    <col min="36" max="40" width="19.7109375" style="13" customWidth="1"/>
    <col min="41" max="41" width="1.28515625" style="244" customWidth="1"/>
    <col min="42" max="46" width="20.85546875" style="13" customWidth="1"/>
    <col min="47" max="47" width="1.28515625" style="244" customWidth="1"/>
    <col min="48" max="52" width="20.5703125" style="13" customWidth="1"/>
    <col min="53" max="53" width="1.28515625" style="244" customWidth="1"/>
    <col min="54" max="58" width="19.42578125" style="13" customWidth="1"/>
    <col min="59" max="59" width="1.28515625" style="244" customWidth="1"/>
    <col min="60" max="64" width="18.42578125" style="13" customWidth="1"/>
    <col min="65" max="65" width="1.28515625" style="244" customWidth="1"/>
    <col min="66" max="70" width="17.7109375" style="13" customWidth="1"/>
    <col min="71" max="71" width="1.28515625" style="244" customWidth="1"/>
    <col min="72" max="73" width="18.5703125" style="13" customWidth="1"/>
    <col min="74" max="74" width="17.28515625" style="13" bestFit="1" customWidth="1"/>
    <col min="75" max="76" width="17.28515625" style="13" customWidth="1"/>
    <col min="77" max="77" width="5.140625" style="244" customWidth="1"/>
    <col min="78" max="78" width="19.28515625" style="13" customWidth="1"/>
    <col min="79" max="79" width="18.5703125" style="13" customWidth="1"/>
    <col min="80" max="16384" width="9.140625" style="13"/>
  </cols>
  <sheetData>
    <row r="1" spans="1:79" ht="45" customHeight="1" x14ac:dyDescent="0.25">
      <c r="A1" s="245" t="s">
        <v>105</v>
      </c>
      <c r="B1" s="245"/>
      <c r="C1" s="245"/>
      <c r="D1" s="245"/>
      <c r="E1" s="245"/>
      <c r="F1" s="245"/>
      <c r="G1" s="245"/>
      <c r="H1" s="245"/>
      <c r="K1" s="245" t="s">
        <v>106</v>
      </c>
      <c r="L1" s="245"/>
      <c r="M1" s="245"/>
      <c r="N1" s="245"/>
      <c r="O1" s="245"/>
      <c r="P1" s="245"/>
      <c r="R1" s="245" t="s">
        <v>107</v>
      </c>
      <c r="S1" s="245"/>
      <c r="T1" s="245"/>
      <c r="U1" s="245"/>
      <c r="V1" s="245"/>
      <c r="X1" s="245" t="s">
        <v>108</v>
      </c>
      <c r="Y1" s="245"/>
      <c r="Z1" s="245"/>
      <c r="AA1" s="245"/>
      <c r="AB1" s="245"/>
      <c r="AD1" s="245" t="s">
        <v>109</v>
      </c>
      <c r="AE1" s="245"/>
      <c r="AF1" s="245"/>
      <c r="AG1" s="245"/>
      <c r="AH1" s="245"/>
      <c r="AJ1" s="245" t="s">
        <v>110</v>
      </c>
      <c r="AK1" s="245"/>
      <c r="AL1" s="245"/>
      <c r="AM1" s="245"/>
      <c r="AN1" s="245"/>
      <c r="AP1" s="245" t="s">
        <v>111</v>
      </c>
      <c r="AQ1" s="245"/>
      <c r="AR1" s="245"/>
      <c r="AS1" s="245"/>
      <c r="AT1" s="245"/>
      <c r="AV1" s="245" t="s">
        <v>112</v>
      </c>
      <c r="AW1" s="245"/>
      <c r="AX1" s="245"/>
      <c r="AY1" s="245"/>
      <c r="AZ1" s="245"/>
      <c r="BB1" s="245" t="s">
        <v>113</v>
      </c>
      <c r="BC1" s="245"/>
      <c r="BD1" s="245"/>
      <c r="BE1" s="245"/>
      <c r="BF1" s="245"/>
      <c r="BH1" s="245" t="s">
        <v>114</v>
      </c>
      <c r="BI1" s="245"/>
      <c r="BJ1" s="245"/>
      <c r="BK1" s="245"/>
      <c r="BL1" s="245"/>
      <c r="BN1" s="245" t="s">
        <v>115</v>
      </c>
      <c r="BO1" s="245"/>
      <c r="BP1" s="245"/>
      <c r="BQ1" s="245"/>
      <c r="BR1" s="245"/>
      <c r="BT1" s="245" t="s">
        <v>116</v>
      </c>
      <c r="BU1" s="245"/>
      <c r="BV1" s="245"/>
      <c r="BW1" s="245"/>
      <c r="BX1" s="245"/>
      <c r="BZ1" s="278" t="s">
        <v>227</v>
      </c>
      <c r="CA1" s="279"/>
    </row>
    <row r="2" spans="1:79" ht="60" x14ac:dyDescent="0.25">
      <c r="A2" s="73" t="s">
        <v>36</v>
      </c>
      <c r="B2" s="72" t="s">
        <v>95</v>
      </c>
      <c r="C2" s="72" t="s">
        <v>96</v>
      </c>
      <c r="D2" s="72" t="s">
        <v>97</v>
      </c>
      <c r="E2" s="83" t="s">
        <v>148</v>
      </c>
      <c r="F2" s="83" t="s">
        <v>147</v>
      </c>
      <c r="G2" s="83" t="s">
        <v>149</v>
      </c>
      <c r="H2" s="72" t="s">
        <v>127</v>
      </c>
      <c r="J2" s="13" t="s">
        <v>98</v>
      </c>
      <c r="K2" s="73" t="s">
        <v>99</v>
      </c>
      <c r="L2" s="72" t="s">
        <v>104</v>
      </c>
      <c r="M2" s="72" t="s">
        <v>100</v>
      </c>
      <c r="N2" s="72" t="s">
        <v>101</v>
      </c>
      <c r="O2" s="73" t="s">
        <v>102</v>
      </c>
      <c r="P2" s="73" t="s">
        <v>103</v>
      </c>
      <c r="R2" s="72" t="s">
        <v>94</v>
      </c>
      <c r="S2" s="72" t="s">
        <v>126</v>
      </c>
      <c r="T2" s="73" t="s">
        <v>123</v>
      </c>
      <c r="U2" s="73" t="s">
        <v>124</v>
      </c>
      <c r="V2" s="73" t="s">
        <v>125</v>
      </c>
      <c r="X2" s="72" t="s">
        <v>94</v>
      </c>
      <c r="Y2" s="72" t="s">
        <v>126</v>
      </c>
      <c r="Z2" s="73" t="s">
        <v>123</v>
      </c>
      <c r="AA2" s="73" t="s">
        <v>124</v>
      </c>
      <c r="AB2" s="73" t="s">
        <v>125</v>
      </c>
      <c r="AD2" s="72" t="s">
        <v>94</v>
      </c>
      <c r="AE2" s="72" t="s">
        <v>126</v>
      </c>
      <c r="AF2" s="73" t="s">
        <v>123</v>
      </c>
      <c r="AG2" s="73" t="s">
        <v>124</v>
      </c>
      <c r="AH2" s="73" t="s">
        <v>125</v>
      </c>
      <c r="AJ2" s="72" t="s">
        <v>94</v>
      </c>
      <c r="AK2" s="72" t="s">
        <v>126</v>
      </c>
      <c r="AL2" s="73" t="s">
        <v>123</v>
      </c>
      <c r="AM2" s="73" t="s">
        <v>124</v>
      </c>
      <c r="AN2" s="73" t="s">
        <v>125</v>
      </c>
      <c r="AP2" s="72" t="s">
        <v>94</v>
      </c>
      <c r="AQ2" s="72" t="s">
        <v>126</v>
      </c>
      <c r="AR2" s="73" t="s">
        <v>123</v>
      </c>
      <c r="AS2" s="73" t="s">
        <v>124</v>
      </c>
      <c r="AT2" s="73" t="s">
        <v>125</v>
      </c>
      <c r="AV2" s="72" t="s">
        <v>94</v>
      </c>
      <c r="AW2" s="72" t="s">
        <v>126</v>
      </c>
      <c r="AX2" s="73" t="s">
        <v>123</v>
      </c>
      <c r="AY2" s="73" t="s">
        <v>124</v>
      </c>
      <c r="AZ2" s="73" t="s">
        <v>125</v>
      </c>
      <c r="BB2" s="72" t="s">
        <v>94</v>
      </c>
      <c r="BC2" s="72" t="s">
        <v>126</v>
      </c>
      <c r="BD2" s="73" t="s">
        <v>123</v>
      </c>
      <c r="BE2" s="73" t="s">
        <v>124</v>
      </c>
      <c r="BF2" s="73" t="s">
        <v>125</v>
      </c>
      <c r="BH2" s="72" t="s">
        <v>94</v>
      </c>
      <c r="BI2" s="72" t="s">
        <v>126</v>
      </c>
      <c r="BJ2" s="73" t="s">
        <v>123</v>
      </c>
      <c r="BK2" s="73" t="s">
        <v>124</v>
      </c>
      <c r="BL2" s="73" t="s">
        <v>125</v>
      </c>
      <c r="BN2" s="72" t="s">
        <v>94</v>
      </c>
      <c r="BO2" s="72" t="s">
        <v>126</v>
      </c>
      <c r="BP2" s="73" t="s">
        <v>123</v>
      </c>
      <c r="BQ2" s="73" t="s">
        <v>124</v>
      </c>
      <c r="BR2" s="73" t="s">
        <v>125</v>
      </c>
      <c r="BT2" s="72" t="s">
        <v>94</v>
      </c>
      <c r="BU2" s="72" t="s">
        <v>126</v>
      </c>
      <c r="BV2" s="73" t="s">
        <v>123</v>
      </c>
      <c r="BW2" s="73" t="s">
        <v>124</v>
      </c>
      <c r="BX2" s="73" t="s">
        <v>125</v>
      </c>
      <c r="BZ2" s="72" t="s">
        <v>155</v>
      </c>
      <c r="CA2" s="72" t="s">
        <v>154</v>
      </c>
    </row>
    <row r="3" spans="1:79" ht="15" customHeight="1" x14ac:dyDescent="0.25">
      <c r="A3" s="13">
        <f>IF('Alternative 2'!F4&gt;0,'Alternative 2'!F4,"x")</f>
        <v>1</v>
      </c>
      <c r="B3" s="13">
        <f>IF('Alternative 2'!B12&gt;0,'Alternative 2'!B12,"x")</f>
        <v>36</v>
      </c>
      <c r="C3" s="13">
        <f>IF((A3="x"),0,C4+0.5)</f>
        <v>18</v>
      </c>
      <c r="D3" s="13">
        <f>A3</f>
        <v>1</v>
      </c>
      <c r="E3" s="74">
        <f>IF($A3&lt;='Alternative 2'!$B$27, IF($A3='Alternative 2'!$B$27,0,E4+1),0)</f>
        <v>15</v>
      </c>
      <c r="F3" s="74">
        <f>IF($A3&lt;=('Alternative 2'!$B$28), IF($A3=ROUNDDOWN('Alternative 2'!$B$28,0),0,F4+1),0)</f>
        <v>21</v>
      </c>
      <c r="G3" s="74">
        <f>IF($A3&lt;=('Alternative 2'!$B$29), IF($A3=ROUNDDOWN('Alternative 2'!$B$29,0),0,G4+1),0)</f>
        <v>28</v>
      </c>
      <c r="H3" s="13">
        <f>B3</f>
        <v>36</v>
      </c>
      <c r="J3" s="76">
        <v>0</v>
      </c>
      <c r="K3" s="76"/>
      <c r="L3" s="13">
        <f>'Alternative 2'!$B$27*SIN(K3)+'Alternative 2'!$B$28*SIN(K3)+'Alternative 2'!$B$29*SIN(K3)</f>
        <v>0</v>
      </c>
      <c r="M3" s="77">
        <f>(('Alternative 2'!$B$27)*(((('Alternative 2'!$B$28-'Alternative 2'!$B$27)/2)+'Alternative 2'!$B$27)*'Alternative 2'!$B$39)*COS('Alternative 2-Tilt Up'!K3))+(('Alternative 2'!$B$28)*((('Alternative 2'!$B$28-'Alternative 2'!$B$27)/2)+(('Alternative 2'!$B$29-'Alternative 2'!$B$28)/2))*('Alternative 2'!$B$39)*COS('Alternative 2-Tilt Up'!K3))+(('Alternative 2'!$B$29)*((('Alternative 2'!$B$12-'Alternative 2'!$B$29+(('Alternative 2'!$B$29-'Alternative 2'!$B$28)/2)*('Alternative 2'!$B$39)*COS('Alternative 2-Tilt Up'!K3)))))</f>
        <v>4746112.4232982202</v>
      </c>
      <c r="N3" s="77" t="e">
        <f t="shared" ref="N3:N66" si="0">M3*3/L3</f>
        <v>#DIV/0!</v>
      </c>
      <c r="O3" s="77">
        <f>(((('Alternative 2'!$B$28-'Alternative 2'!$B$27)/2)+'Alternative 2'!$B$27)*('Alternative 2'!$B$39)*COS('Alternative 2-Tilt Up'!K3))+(((('Alternative 2'!$B$28-'Alternative 2'!$B$27)/2)+(('Alternative 2'!$B$29-'Alternative 2'!$B$28)/2))*('Alternative 2'!$B$39)*COS('Alternative 2-Tilt Up'!K3))+(((('Alternative 2'!$B$12-'Alternative 2'!$B$29)+(('Alternative 2'!$B$29-'Alternative 2'!$B$28)/2))*('Alternative 2'!$B$39)*COS('Alternative 2-Tilt Up'!K3)))</f>
        <v>306119.90662501159</v>
      </c>
      <c r="P3" s="77" t="e">
        <f t="shared" ref="P3:P66" si="1">N3*COS(K3)</f>
        <v>#DIV/0!</v>
      </c>
      <c r="R3" s="78">
        <f>('Alternative 2'!$B$39*$B3*$C3*COS($K$5))-(($N$5/3)*$E3*SIN($K$5))-(($N$5/3)*$F3*SIN($K$5))-(($N$5/3)*$G3*SIN($K$5))</f>
        <v>1042593.360605106</v>
      </c>
      <c r="S3" s="79">
        <f>IF(($A3&lt;'Alternative 2'!$B$27),(($H3*'Alternative 2'!$B$39)+(3*($N$5/3)*COS($K$5))),IF(($A3&lt;'Alternative 2'!$B$28),(($H3*'Alternative 2'!$B$39)+(2*(($N$5/3)*COS($K$5)))),IF(($A3&lt;'Alternative 2'!$B$29),(($H$3*'Alternative 2'!$B$39+(($N$5/3)*COS($K$5)))),($H3*'Alternative 2'!$B$39))))</f>
        <v>6298535.5378487883</v>
      </c>
      <c r="T3" s="78">
        <f>R3*'Alternative 2'!$K4/'Alternative 2'!$L4</f>
        <v>15106603.988169821</v>
      </c>
      <c r="U3" s="78">
        <f>S3/'Alternative 2'!$M4</f>
        <v>1825244.5260042725</v>
      </c>
      <c r="V3" s="78">
        <f t="shared" ref="V3:V66" si="2">(T3+U3)/1000000</f>
        <v>16.931848514174092</v>
      </c>
      <c r="X3" s="78">
        <f>'Alternative 2'!$B$39*$B3*$C3*COS($K$13)-($N$12/3)*$E3*SIN($K$13)-($N$12/3)*$F3*SIN($K$13)-($N$12/3)*$G3*SIN($K$13)</f>
        <v>529030.34312356031</v>
      </c>
      <c r="Y3" s="79">
        <f>IF(($A3&lt;'Alternative 2'!$B$27),(($H3*'Alternative 2'!$B$39)+(3*($N$12/3)*COS($K$13))),IF(($A3&lt;'Alternative 2'!$B$28),(($H3*'Alternative 2'!$B$39)+(2*(($N$12/3)*COS($K$13)))),IF(($A3&lt;'Alternative 2'!$B$29),(($H$3*'Alternative 2'!$B$39+(($N$12/3)*COS($K$13)))),($H3*'Alternative 2'!$B$39))))</f>
        <v>1608055.5926517113</v>
      </c>
      <c r="Z3" s="78">
        <f>X3*'Alternative 2'!$K4/'Alternative 2'!$L4</f>
        <v>7665358.5120232012</v>
      </c>
      <c r="AA3" s="78">
        <f>Y3/'Alternative 2'!$M4</f>
        <v>465996.36540282972</v>
      </c>
      <c r="AB3" s="78">
        <f t="shared" ref="AB3:AB66" si="3">(Z3+AA3)/1000000</f>
        <v>8.1313548774260305</v>
      </c>
      <c r="AD3" s="78">
        <f>'Alternative 2'!$B$39*$B3*$C3*COS($K$23)-($N$22/3)*$E3*SIN($K$23)-($N$22/3)*$F3*SIN($K$23)-($N$22/3)*$G3*SIN($K$23)</f>
        <v>740849.82228926686</v>
      </c>
      <c r="AE3" s="79">
        <f>IF(($A3&lt;'Alternative 2'!$B$27),(($H3*'Alternative 2'!$B$39)+(3*($N$22/3)*COS($K$23))),IF(($A3&lt;'Alternative 2'!$B$28),(($H3*'Alternative 2'!$B$39)+(2*(($N$22/3)*COS($K$23)))),IF(($A3&lt;'Alternative 2'!$B$29),(($H$3*'Alternative 2'!$B$39+(($N$22/3)*COS($K$23)))),($H3*'Alternative 2'!$B$39))))</f>
        <v>877552.96178322355</v>
      </c>
      <c r="AF3" s="78">
        <f>AD3*'Alternative 2'!$K4/'Alternative 2'!$L4</f>
        <v>10734506.18708566</v>
      </c>
      <c r="AG3" s="78">
        <f>AE3/'Alternative 2'!$M4</f>
        <v>254304.94599078331</v>
      </c>
      <c r="AH3" s="78">
        <f t="shared" ref="AH3:AH66" si="4">(AF3+AG3)/1000000</f>
        <v>10.988811133076444</v>
      </c>
      <c r="AJ3" s="78">
        <f>'Alternative 2'!$B$39*$B3*$C3*COS($K$33)-($N$32/3)*$E3*SIN($K$33)-($N$32/3)*$F3*SIN($K$33)-($N$32/3)*$G3*SIN($K$33)</f>
        <v>742636.35056391661</v>
      </c>
      <c r="AK3" s="79">
        <f>IF(($A3&lt;'Alternative 2'!$B$27),(($H3*'Alternative 2'!$B$39)+(3*($N$32/3)*COS($K$33))),IF(($A3&lt;'Alternative 2'!$B$28),(($H3*'Alternative 2'!$B$39)+(2*(($N$32/3)*COS($K$33)))),IF(($A3&lt;'Alternative 2'!$B$29),(($H$3*'Alternative 2'!$B$39+(($N$32/3)*COS($K$33)))),($H3*'Alternative 2'!$B$39))))</f>
        <v>633258.35606959346</v>
      </c>
      <c r="AL3" s="78">
        <f>AJ3*'Alternative 2'!$K4/'Alternative 2'!$L4</f>
        <v>10760391.998542523</v>
      </c>
      <c r="AM3" s="78">
        <f>AK3/'Alternative 2'!$M4</f>
        <v>183511.12588264624</v>
      </c>
      <c r="AN3" s="78">
        <f t="shared" ref="AN3:AN66" si="5">(AL3+AM3)/1000000</f>
        <v>10.943903124425169</v>
      </c>
      <c r="AP3" s="78">
        <f>'Alternative 2'!$B$39*$B3*$C3*COS($K$43)-($N$42/3)*$E3*SIN($K$43)-($N$42/3)*$F3*SIN($K$43)-($N$42/3)*$G3*SIN($K$43)</f>
        <v>675240.30499292654</v>
      </c>
      <c r="AQ3" s="79">
        <f>IF(($A3&lt;'Alternative 2'!$B$27),(($H3*'Alternative 2'!$B$39)+(3*($N$42/3)*COS($K$43))),IF(($A3&lt;'Alternative 2'!$B$28),(($H3*'Alternative 2'!$B$39)+(2*(($N$42/3)*COS($K$43)))),IF(($A3&lt;'Alternative 2'!$B$29),(($H$3*'Alternative 2'!$B$39+(($N$42/3)*COS($K$43)))),($H3*'Alternative 2'!$B$39))))</f>
        <v>504199.73628121638</v>
      </c>
      <c r="AR3" s="78">
        <f>AP3*'Alternative 2'!$K4/'Alternative 2'!$L4</f>
        <v>9783860.3906501736</v>
      </c>
      <c r="AS3" s="78">
        <f>AQ3/'Alternative 2'!$M4</f>
        <v>146111.39416931901</v>
      </c>
      <c r="AT3" s="78">
        <f t="shared" ref="AT3:AT66" si="6">(AR3+AS3)/1000000</f>
        <v>9.9299717848194931</v>
      </c>
      <c r="AV3" s="78">
        <f>'Alternative 2'!$B$39*$B3*$C3*COS($K$53)-($N$52/3)*$E3*SIN($K$53)-($N$52/3)*$F3*SIN($K$53)-($N$52/3)*$G3*SIN($K$53)</f>
        <v>567214.13764524809</v>
      </c>
      <c r="AW3" s="79">
        <f>IF(($A3&lt;'Alternative 2'!$B$27),(($H3*'Alternative 2'!$B$39)+(3*($N$52/3)*COS($K$53))),IF(($A3&lt;'Alternative 2'!$B$28),(($H3*'Alternative 2'!$B$39)+(2*(($N$52/3)*COS($K$53)))),IF(($A3&lt;'Alternative 2'!$B$29),(($H$3*'Alternative 2'!$B$39+(($N$52/3)*COS($K$53)))),($H3*'Alternative 2'!$B$39))))</f>
        <v>423121.10195907514</v>
      </c>
      <c r="AX3" s="78">
        <f>AV3*'Alternative 2'!$K4/'Alternative 2'!$L4</f>
        <v>8218620.6796146035</v>
      </c>
      <c r="AY3" s="78">
        <f>AW3/'Alternative 2'!$M4</f>
        <v>122615.72083650892</v>
      </c>
      <c r="AZ3" s="78">
        <f t="shared" ref="AZ3:AZ66" si="7">(AX3+AY3)/1000000</f>
        <v>8.3412364004511126</v>
      </c>
      <c r="BB3" s="78">
        <f>'Alternative 2'!$B$39*$B3*$C3*COS($K$63)-($N$62/3)*$E3*SIN($K$63)-($N$62/3)*$F3*SIN($K$63)-($N$62/3)*$G3*SIN($K$63)</f>
        <v>430575.0904595945</v>
      </c>
      <c r="BC3" s="79">
        <f>IF(($A3&lt;'Alternative 2'!$B$27),(($H3*'Alternative 2'!$B$39)+(3*($N$62/3)*COS($K$63))),IF(($A3&lt;'Alternative 2'!$B$28),(($H3*'Alternative 2'!$B$39)+(2*(($N$62/3)*COS($K$63)))),IF(($A3&lt;'Alternative 2'!$B$29),(($H$3*'Alternative 2'!$B$39+(($N$62/3)*COS($K$63)))),($H3*'Alternative 2'!$B$39))))</f>
        <v>369028.64334681258</v>
      </c>
      <c r="BD3" s="78">
        <f>BB3*'Alternative 2'!$K4/'Alternative 2'!$L4</f>
        <v>6238796.0872572195</v>
      </c>
      <c r="BE3" s="78">
        <f>BC3/'Alternative 2'!$M4</f>
        <v>106940.33671160392</v>
      </c>
      <c r="BF3" s="78">
        <f t="shared" ref="BF3:BF66" si="8">(BD3+BE3)/1000000</f>
        <v>6.3457364239688232</v>
      </c>
      <c r="BH3" s="78">
        <f>'Alternative 2'!$B$39*$B3*$C3*COS($K$73)-($N$72/3)*$E3*SIN($K$73)-($N$72/3)*$F3*SIN($K$73)-($N$72/3)*$G3*SIN($K$73)</f>
        <v>273181.37703530118</v>
      </c>
      <c r="BI3" s="79">
        <f>IF(($A3&lt;'Alternative 2'!$B$27),(($H3*'Alternative 2'!$B$39)+(3*($N$72/3)*COS($K$73))),IF(($A3&lt;'Alternative 2'!$B$28),(($H3*'Alternative 2'!$B$39)+(2*(($N$72/3)*COS($K$73)))),IF(($A3&lt;'Alternative 2'!$B$29),(($H$3*'Alternative 2'!$B$39+(($N$72/3)*COS($K$73)))),($H3*'Alternative 2'!$B$39))))</f>
        <v>333612.23495678173</v>
      </c>
      <c r="BJ3" s="78">
        <f>BH3*'Alternative 2'!$K4/'Alternative 2'!$L4</f>
        <v>3958247.8037458868</v>
      </c>
      <c r="BK3" s="78">
        <f>BI3/'Alternative 2'!$M4</f>
        <v>96677.06119998965</v>
      </c>
      <c r="BL3" s="78">
        <f t="shared" ref="BL3:BL66" si="9">(BJ3+BK3)/1000000</f>
        <v>4.0549248649458765</v>
      </c>
      <c r="BN3" s="78">
        <f>'Alternative 2'!$B$39*$B3*$C3*COS($K$83)-($N$82/3)*$E3*SIN($K$83)-($N$82/3)*$F3*SIN($K$83)-($N$82/3)*$G3*SIN($K$83)</f>
        <v>101587.54253658489</v>
      </c>
      <c r="BO3" s="79">
        <f>IF(($A3&lt;'Alternative 2'!$B$27),(($H3*'Alternative 2'!$B$39)+(3*($N$82/3)*COS($K$83))),IF(($A3&lt;'Alternative 2'!$B$28),(($H3*'Alternative 2'!$B$39)+(2*(($N$82/3)*COS($K$83)))),IF(($A3&lt;'Alternative 2'!$B$29),(($H$3*'Alternative 2'!$B$39+(($N$82/3)*COS($K$83)))),($H3*'Alternative 2'!$B$39))))</f>
        <v>313188.75671695999</v>
      </c>
      <c r="BP3" s="78">
        <f>BN3*'Alternative 2'!$K4/'Alternative 2'!$L4</f>
        <v>1471947.5811172058</v>
      </c>
      <c r="BQ3" s="78">
        <f>BO3/'Alternative 2'!$M4</f>
        <v>90758.567665231589</v>
      </c>
      <c r="BR3" s="78">
        <f t="shared" ref="BR3:BR66" si="10">(BP3+BQ3)/1000000</f>
        <v>1.5627061487824374</v>
      </c>
      <c r="BT3" s="78">
        <f>'Alternative 2'!$B$39*$B3*$C3*COS($K$93)-($K$92/3)*$E3*SIN($K$93)-($K$92/3)*$F3*SIN($K$93)-($K$92/3)*$G3*SIN($K$93)</f>
        <v>-33.137984730861469</v>
      </c>
      <c r="BU3" s="79">
        <f>IF(($A3&lt;'Alternative 2'!$B$27),(($H3*'Alternative 2'!$B$39)+(3*($N$92/3)*COS($K$93))),IF(($A3&lt;'Alternative 2'!$B$28),(($H3*'Alternative 2'!$B$39)+(2*(($N$92/3)*COS($K$93)))),IF(($A3&lt;'Alternative 2'!$B$29),(($H$3*'Alternative 2'!$B$39+(($N$92/3)*COS($K$93)))),($H3*'Alternative 2'!$B$39))))</f>
        <v>306119.90662501159</v>
      </c>
      <c r="BV3" s="78">
        <f>BT3*'Alternative 2'!$K4/'Alternative 2'!$L4</f>
        <v>-480.15116075993438</v>
      </c>
      <c r="BW3" s="78">
        <f>BU3/'Alternative 2'!$M4</f>
        <v>88710.094673701824</v>
      </c>
      <c r="BX3" s="78">
        <f t="shared" ref="BX3:BX66" si="11">(BV3+BW3)/1000000</f>
        <v>8.8229943512941889E-2</v>
      </c>
      <c r="BZ3" s="77">
        <v>150</v>
      </c>
      <c r="CA3" s="77">
        <v>-150</v>
      </c>
    </row>
    <row r="4" spans="1:79" ht="15" customHeight="1" x14ac:dyDescent="0.25">
      <c r="A4" s="13">
        <f>IF('Alternative 2'!F5&gt;0,'Alternative 2'!F5,"x")</f>
        <v>2</v>
      </c>
      <c r="B4" s="13">
        <f>IF(B3-1&gt;0,B3-1,"x")</f>
        <v>35</v>
      </c>
      <c r="C4" s="13">
        <f t="shared" ref="C4:C67" si="12">IF((A4="x"),0,C5+0.5)</f>
        <v>17.5</v>
      </c>
      <c r="D4" s="13">
        <f t="shared" ref="D4:D67" si="13">A4</f>
        <v>2</v>
      </c>
      <c r="E4" s="74">
        <f>IF($A4&lt;='Alternative 2'!$B$27, IF($A4='Alternative 2'!$B$27,0,E5+1),0)</f>
        <v>14</v>
      </c>
      <c r="F4" s="74">
        <f>IF($A4&lt;=('Alternative 2'!$B$28), IF($A4=ROUNDDOWN('Alternative 2'!$B$28,0),0,F5+1),0)</f>
        <v>20</v>
      </c>
      <c r="G4" s="74">
        <f>IF($A4&lt;=('Alternative 2'!$B$29), IF($A4=ROUNDDOWN('Alternative 2'!$B$29,0),0,G5+1),0)</f>
        <v>27</v>
      </c>
      <c r="H4" s="13">
        <f t="shared" ref="H4:H67" si="14">B4</f>
        <v>35</v>
      </c>
      <c r="J4" s="77">
        <f t="shared" ref="J4:J67" si="15">J3+1</f>
        <v>1</v>
      </c>
      <c r="K4" s="85">
        <f t="shared" ref="K4:K67" si="16">J4*PI()/180</f>
        <v>1.7453292519943295E-2</v>
      </c>
      <c r="L4" s="78">
        <f>'Alternative 2'!$B$27*SIN(K4)+'Alternative 2'!$B$28*SIN(K4)+'Alternative 2'!$B$29*SIN(K4)</f>
        <v>1.1867636377352788</v>
      </c>
      <c r="M4" s="77">
        <f>(('Alternative 2'!$B$27)*(((('Alternative 2'!$B$28-'Alternative 2'!$B$27)/2)+'Alternative 2'!$B$27)*'Alternative 2'!$B$39)*COS('Alternative 2-Tilt Up'!K4))+(('Alternative 2'!$B$28)*((('Alternative 2'!$B$28-'Alternative 2'!$B$27)/2)+(('Alternative 2'!$B$29-'Alternative 2'!$B$28)/2))*('Alternative 2'!$B$39)*COS('Alternative 2-Tilt Up'!K4))+(('Alternative 2'!$B$29)*((('Alternative 2'!$B$12-'Alternative 2'!$B$29+(('Alternative 2'!$B$29-'Alternative 2'!$B$28)/2)*('Alternative 2'!$B$39)*COS('Alternative 2-Tilt Up'!K4)))))</f>
        <v>4745389.5971834045</v>
      </c>
      <c r="N4" s="77">
        <f t="shared" si="0"/>
        <v>11995791.191173784</v>
      </c>
      <c r="O4" s="77">
        <f>(((('Alternative 2'!$B$28-'Alternative 2'!$B$27)/2)+'Alternative 2'!$B$27)*('Alternative 2'!$B$39)*COS('Alternative 2-Tilt Up'!K4))+(((('Alternative 2'!$B$28-'Alternative 2'!$B$27)/2)+(('Alternative 2'!$B$29-'Alternative 2'!$B$28)/2))*('Alternative 2'!$B$39)*COS('Alternative 2-Tilt Up'!K4))+(((('Alternative 2'!$B$12-'Alternative 2'!$B$29)+(('Alternative 2'!$B$29-'Alternative 2'!$B$28)/2))*('Alternative 2'!$B$39)*COS('Alternative 2-Tilt Up'!K4)))</f>
        <v>306073.28308050754</v>
      </c>
      <c r="P4" s="77">
        <f t="shared" si="1"/>
        <v>11993964.17407245</v>
      </c>
      <c r="R4" s="78">
        <f>('Alternative 2'!$B$39*$B4*$C4*COS($K$5))-(($N$5/3)*$E4*SIN($K$5))-(($N$5/3)*$F4*SIN($K$5))-(($N$5/3)*$G4*SIN($K$5))</f>
        <v>950168.77428296232</v>
      </c>
      <c r="S4" s="79">
        <f>IF(($A4&lt;'Alternative 2'!$B$27),(($H4*'Alternative 2'!$B$39)+(3*($N$5/3)*COS($K$5))),IF(($A4&lt;'Alternative 2'!$B$28),(($H4*'Alternative 2'!$B$39)+(2*(($N$5/3)*COS($K$5)))),IF(($A4&lt;'Alternative 2'!$B$29),(($H$3*'Alternative 2'!$B$39+(($N$5/3)*COS($K$5)))),($H4*'Alternative 2'!$B$39))))</f>
        <v>6290032.2071092045</v>
      </c>
      <c r="T4" s="78">
        <f>R4*'Alternative 2'!$K5/'Alternative 2'!$L5</f>
        <v>14032452.267589455</v>
      </c>
      <c r="U4" s="78">
        <f>S4/'Alternative 2'!$M5</f>
        <v>1857869.7766197508</v>
      </c>
      <c r="V4" s="78">
        <f t="shared" si="2"/>
        <v>15.890322044209206</v>
      </c>
      <c r="X4" s="78">
        <f>'Alternative 2'!$B$39*$B4*$C4*COS($K$13)-($N$12/3)*$E4*SIN($K$13)-($N$12/3)*$F4*SIN($K$13)-($N$12/3)*$G4*SIN($K$13)</f>
        <v>461314.54734095233</v>
      </c>
      <c r="Y4" s="79">
        <f>IF(($A4&lt;'Alternative 2'!$B$27),(($H4*'Alternative 2'!$B$39)+(3*($N$12/3)*COS($K$13))),IF(($A4&lt;'Alternative 2'!$B$28),(($H4*'Alternative 2'!$B$39)+(2*(($N$12/3)*COS($K$13)))),IF(($A4&lt;'Alternative 2'!$B$29),(($H$3*'Alternative 2'!$B$39+(($N$12/3)*COS($K$13)))),($H4*'Alternative 2'!$B$39))))</f>
        <v>1599552.2619121275</v>
      </c>
      <c r="Z4" s="78">
        <f>X4*'Alternative 2'!$K5/'Alternative 2'!$L5</f>
        <v>6812867.9252710994</v>
      </c>
      <c r="AA4" s="78">
        <f>Y4/'Alternative 2'!$M5</f>
        <v>472455.41925389814</v>
      </c>
      <c r="AB4" s="78">
        <f t="shared" si="3"/>
        <v>7.285323344524997</v>
      </c>
      <c r="AD4" s="78">
        <f>'Alternative 2'!$B$39*$B4*$C4*COS($K$23)-($N$22/3)*$E4*SIN($K$23)-($N$22/3)*$F4*SIN($K$23)-($N$22/3)*$G4*SIN($K$23)</f>
        <v>665171.08648550231</v>
      </c>
      <c r="AE4" s="79">
        <f>IF(($A4&lt;'Alternative 2'!$B$27),(($H4*'Alternative 2'!$B$39)+(3*($N$22/3)*COS($K$23))),IF(($A4&lt;'Alternative 2'!$B$28),(($H4*'Alternative 2'!$B$39)+(2*(($N$22/3)*COS($K$23)))),IF(($A4&lt;'Alternative 2'!$B$29),(($H$3*'Alternative 2'!$B$39+(($N$22/3)*COS($K$23)))),($H4*'Alternative 2'!$B$39))))</f>
        <v>869049.63104363985</v>
      </c>
      <c r="AF4" s="78">
        <f>AD4*'Alternative 2'!$K5/'Alternative 2'!$L5</f>
        <v>9823498.4915519319</v>
      </c>
      <c r="AG4" s="78">
        <f>AE4/'Alternative 2'!$M5</f>
        <v>256688.83572228305</v>
      </c>
      <c r="AH4" s="78">
        <f t="shared" si="4"/>
        <v>10.080187327274215</v>
      </c>
      <c r="AJ4" s="78">
        <f>'Alternative 2'!$B$39*$B4*$C4*COS($K$33)-($N$32/3)*$E4*SIN($K$33)-($N$32/3)*$F4*SIN($K$33)-($N$32/3)*$G4*SIN($K$33)</f>
        <v>670084.25689027156</v>
      </c>
      <c r="AK4" s="79">
        <f>IF(($A4&lt;'Alternative 2'!$B$27),(($H4*'Alternative 2'!$B$39)+(3*($N$32/3)*COS($K$33))),IF(($A4&lt;'Alternative 2'!$B$28),(($H4*'Alternative 2'!$B$39)+(2*(($N$32/3)*COS($K$33)))),IF(($A4&lt;'Alternative 2'!$B$29),(($H$3*'Alternative 2'!$B$39+(($N$32/3)*COS($K$33)))),($H4*'Alternative 2'!$B$39))))</f>
        <v>624755.02533000975</v>
      </c>
      <c r="AL4" s="78">
        <f>AJ4*'Alternative 2'!$K5/'Alternative 2'!$L5</f>
        <v>9896058.052604109</v>
      </c>
      <c r="AM4" s="78">
        <f>AK4/'Alternative 2'!$M5</f>
        <v>184532.19969844588</v>
      </c>
      <c r="AN4" s="78">
        <f t="shared" si="5"/>
        <v>10.080590252302555</v>
      </c>
      <c r="AP4" s="78">
        <f>'Alternative 2'!$B$39*$B4*$C4*COS($K$43)-($N$42/3)*$E4*SIN($K$43)-($N$42/3)*$F4*SIN($K$43)-($N$42/3)*$G4*SIN($K$43)</f>
        <v>610204.52823344618</v>
      </c>
      <c r="AQ4" s="79">
        <f>IF(($A4&lt;'Alternative 2'!$B$27),(($H4*'Alternative 2'!$B$39)+(3*($N$42/3)*COS($K$43))),IF(($A4&lt;'Alternative 2'!$B$28),(($H4*'Alternative 2'!$B$39)+(2*(($N$42/3)*COS($K$43)))),IF(($A4&lt;'Alternative 2'!$B$29),(($H$3*'Alternative 2'!$B$39+(($N$42/3)*COS($K$43)))),($H4*'Alternative 2'!$B$39))))</f>
        <v>495696.40554163267</v>
      </c>
      <c r="AR4" s="78">
        <f>AP4*'Alternative 2'!$K5/'Alternative 2'!$L5</f>
        <v>9011731.5446032491</v>
      </c>
      <c r="AS4" s="78">
        <f>AQ4/'Alternative 2'!$M5</f>
        <v>146412.50472357997</v>
      </c>
      <c r="AT4" s="78">
        <f t="shared" si="6"/>
        <v>9.1581440493268289</v>
      </c>
      <c r="AV4" s="78">
        <f>'Alternative 2'!$B$39*$B4*$C4*COS($K$53)-($N$52/3)*$E4*SIN($K$53)-($N$52/3)*$F4*SIN($K$53)-($N$52/3)*$G4*SIN($K$53)</f>
        <v>512613.56728571281</v>
      </c>
      <c r="AW4" s="79">
        <f>IF(($A4&lt;'Alternative 2'!$B$27),(($H4*'Alternative 2'!$B$39)+(3*($N$52/3)*COS($K$53))),IF(($A4&lt;'Alternative 2'!$B$28),(($H4*'Alternative 2'!$B$39)+(2*(($N$52/3)*COS($K$53)))),IF(($A4&lt;'Alternative 2'!$B$29),(($H$3*'Alternative 2'!$B$39+(($N$52/3)*COS($K$53)))),($H4*'Alternative 2'!$B$39))))</f>
        <v>414617.77121949143</v>
      </c>
      <c r="AX4" s="78">
        <f>AV4*'Alternative 2'!$K5/'Alternative 2'!$L5</f>
        <v>7570471.2776778359</v>
      </c>
      <c r="AY4" s="78">
        <f>AW4/'Alternative 2'!$M5</f>
        <v>122464.52810329177</v>
      </c>
      <c r="AZ4" s="78">
        <f t="shared" si="7"/>
        <v>7.6929358057811275</v>
      </c>
      <c r="BB4" s="78">
        <f>'Alternative 2'!$B$39*$B4*$C4*COS($K$63)-($N$62/3)*$E4*SIN($K$63)-($N$62/3)*$F4*SIN($K$63)-($N$62/3)*$G4*SIN($K$63)</f>
        <v>388602.09807411768</v>
      </c>
      <c r="BC4" s="79">
        <f>IF(($A4&lt;'Alternative 2'!$B$27),(($H4*'Alternative 2'!$B$39)+(3*($N$62/3)*COS($K$63))),IF(($A4&lt;'Alternative 2'!$B$28),(($H4*'Alternative 2'!$B$39)+(2*(($N$62/3)*COS($K$63)))),IF(($A4&lt;'Alternative 2'!$B$29),(($H$3*'Alternative 2'!$B$39+(($N$62/3)*COS($K$63)))),($H4*'Alternative 2'!$B$39))))</f>
        <v>360525.31260722887</v>
      </c>
      <c r="BD4" s="78">
        <f>BB4*'Alternative 2'!$K5/'Alternative 2'!$L5</f>
        <v>5739022.939819579</v>
      </c>
      <c r="BE4" s="78">
        <f>BC4/'Alternative 2'!$M5</f>
        <v>106487.38511105199</v>
      </c>
      <c r="BF4" s="78">
        <f t="shared" si="8"/>
        <v>5.8455103249306308</v>
      </c>
      <c r="BH4" s="78">
        <f>'Alternative 2'!$B$39*$B4*$C4*COS($K$73)-($N$72/3)*$E4*SIN($K$73)-($N$72/3)*$F4*SIN($K$73)-($N$72/3)*$G4*SIN($K$73)</f>
        <v>245470.90919549437</v>
      </c>
      <c r="BI4" s="79">
        <f>IF(($A4&lt;'Alternative 2'!$B$27),(($H4*'Alternative 2'!$B$39)+(3*($N$72/3)*COS($K$73))),IF(($A4&lt;'Alternative 2'!$B$28),(($H4*'Alternative 2'!$B$39)+(2*(($N$72/3)*COS($K$73)))),IF(($A4&lt;'Alternative 2'!$B$29),(($H$3*'Alternative 2'!$B$39+(($N$72/3)*COS($K$73)))),($H4*'Alternative 2'!$B$39))))</f>
        <v>325108.90421719803</v>
      </c>
      <c r="BJ4" s="78">
        <f>BH4*'Alternative 2'!$K5/'Alternative 2'!$L5</f>
        <v>3625207.3416819773</v>
      </c>
      <c r="BK4" s="78">
        <f>BI4/'Alternative 2'!$M5</f>
        <v>96026.536489340288</v>
      </c>
      <c r="BL4" s="78">
        <f t="shared" si="9"/>
        <v>3.7212338781713177</v>
      </c>
      <c r="BN4" s="78">
        <f>'Alternative 2'!$B$39*$B4*$C4*COS($K$83)-($N$82/3)*$E4*SIN($K$83)-($N$82/3)*$F4*SIN($K$83)-($N$82/3)*$G4*SIN($K$83)</f>
        <v>89258.113559164514</v>
      </c>
      <c r="BO4" s="79">
        <f>IF(($A4&lt;'Alternative 2'!$B$27),(($H4*'Alternative 2'!$B$39)+(3*($N$82/3)*COS($K$83))),IF(($A4&lt;'Alternative 2'!$B$28),(($H4*'Alternative 2'!$B$39)+(2*(($N$82/3)*COS($K$83)))),IF(($A4&lt;'Alternative 2'!$B$29),(($H$3*'Alternative 2'!$B$39+(($N$82/3)*COS($K$83)))),($H4*'Alternative 2'!$B$39))))</f>
        <v>304685.42597737629</v>
      </c>
      <c r="BP4" s="78">
        <f>BN4*'Alternative 2'!$K5/'Alternative 2'!$L5</f>
        <v>1318197.6212165598</v>
      </c>
      <c r="BQ4" s="78">
        <f>BO4/'Alternative 2'!$M5</f>
        <v>89994.109038121489</v>
      </c>
      <c r="BR4" s="78">
        <f t="shared" si="10"/>
        <v>1.4081917302546814</v>
      </c>
      <c r="BT4" s="78">
        <f>'Alternative 2'!$B$39*$B4*$C4*COS($K$93)-($K$92/3)*$E4*SIN($K$93)-($K$92/3)*$F4*SIN($K$93)-($K$92/3)*$G4*SIN($K$93)</f>
        <v>-31.584641696605004</v>
      </c>
      <c r="BU4" s="79">
        <f>IF(($A4&lt;'Alternative 2'!$B$27),(($H4*'Alternative 2'!$B$39)+(3*($N$92/3)*COS($K$93))),IF(($A4&lt;'Alternative 2'!$B$28),(($H4*'Alternative 2'!$B$39)+(2*(($N$92/3)*COS($K$93)))),IF(($A4&lt;'Alternative 2'!$B$29),(($H$3*'Alternative 2'!$B$39+(($N$92/3)*COS($K$93)))),($H4*'Alternative 2'!$B$39))))</f>
        <v>297616.57588542788</v>
      </c>
      <c r="BV4" s="78">
        <f>BT4*'Alternative 2'!$K5/'Alternative 2'!$L5</f>
        <v>-466.45394901657386</v>
      </c>
      <c r="BW4" s="78">
        <f>BU4/'Alternative 2'!$M5</f>
        <v>87906.201932265452</v>
      </c>
      <c r="BX4" s="78">
        <f t="shared" si="11"/>
        <v>8.7439747983248869E-2</v>
      </c>
      <c r="BZ4" s="77">
        <v>150</v>
      </c>
      <c r="CA4" s="77">
        <v>-150</v>
      </c>
    </row>
    <row r="5" spans="1:79" ht="15" customHeight="1" x14ac:dyDescent="0.25">
      <c r="A5" s="13">
        <f>IF('Alternative 2'!F6&gt;0,'Alternative 2'!F6,"x")</f>
        <v>3</v>
      </c>
      <c r="B5" s="13">
        <f t="shared" ref="B5:B68" si="17">IF(B4-1&gt;0,B4-1,"x")</f>
        <v>34</v>
      </c>
      <c r="C5" s="13">
        <f t="shared" si="12"/>
        <v>17</v>
      </c>
      <c r="D5" s="13">
        <f t="shared" si="13"/>
        <v>3</v>
      </c>
      <c r="E5" s="74">
        <f>IF($A5&lt;='Alternative 2'!$B$27, IF($A5='Alternative 2'!$B$27,0,E6+1),0)</f>
        <v>13</v>
      </c>
      <c r="F5" s="74">
        <f>IF($A5&lt;=('Alternative 2'!$B$28), IF($A5=ROUNDDOWN('Alternative 2'!$B$28,0),0,F6+1),0)</f>
        <v>19</v>
      </c>
      <c r="G5" s="74">
        <f>IF($A5&lt;=('Alternative 2'!$B$29), IF($A5=ROUNDDOWN('Alternative 2'!$B$29,0),0,G6+1),0)</f>
        <v>26</v>
      </c>
      <c r="H5" s="13">
        <f t="shared" si="14"/>
        <v>34</v>
      </c>
      <c r="J5" s="77">
        <f t="shared" si="15"/>
        <v>2</v>
      </c>
      <c r="K5" s="77">
        <f t="shared" si="16"/>
        <v>3.4906585039886591E-2</v>
      </c>
      <c r="L5" s="78">
        <f>'Alternative 2'!$B$27*SIN(K5)+'Alternative 2'!$B$28*SIN(K5)+'Alternative 2'!$B$29*SIN(K5)</f>
        <v>2.3731657757700662</v>
      </c>
      <c r="M5" s="77">
        <f>(('Alternative 2'!$B$27)*(((('Alternative 2'!$B$28-'Alternative 2'!$B$27)/2)+'Alternative 2'!$B$27)*'Alternative 2'!$B$39)*COS('Alternative 2-Tilt Up'!K5))+(('Alternative 2'!$B$28)*((('Alternative 2'!$B$28-'Alternative 2'!$B$27)/2)+(('Alternative 2'!$B$29-'Alternative 2'!$B$28)/2))*('Alternative 2'!$B$39)*COS('Alternative 2-Tilt Up'!K5))+(('Alternative 2'!$B$29)*((('Alternative 2'!$B$12-'Alternative 2'!$B$29+(('Alternative 2'!$B$29-'Alternative 2'!$B$28)/2)*('Alternative 2'!$B$39)*COS('Alternative 2-Tilt Up'!K5)))))</f>
        <v>4743221.3390187928</v>
      </c>
      <c r="N5" s="81">
        <f t="shared" si="0"/>
        <v>5996068.2740079593</v>
      </c>
      <c r="O5" s="77">
        <f>(((('Alternative 2'!$B$28-'Alternative 2'!$B$27)/2)+'Alternative 2'!$B$27)*('Alternative 2'!$B$39)*COS('Alternative 2-Tilt Up'!K5))+(((('Alternative 2'!$B$28-'Alternative 2'!$B$27)/2)+(('Alternative 2'!$B$29-'Alternative 2'!$B$28)/2))*('Alternative 2'!$B$39)*COS('Alternative 2-Tilt Up'!K5))+(((('Alternative 2'!$B$12-'Alternative 2'!$B$29)+(('Alternative 2'!$B$29-'Alternative 2'!$B$28)/2))*('Alternative 2'!$B$39)*COS('Alternative 2-Tilt Up'!K5)))</f>
        <v>305933.42664897867</v>
      </c>
      <c r="P5" s="77">
        <f t="shared" si="1"/>
        <v>5992415.6312237764</v>
      </c>
      <c r="R5" s="78">
        <f>('Alternative 2'!$B$39*$B5*$C5*COS($K$5))-(($N$5/3)*$E5*SIN($K$5))-(($N$5/3)*$F5*SIN($K$5))-(($N$5/3)*$G5*SIN($K$5))</f>
        <v>866242.33870106982</v>
      </c>
      <c r="S5" s="79">
        <f>IF(($A5&lt;'Alternative 2'!$B$27),(($H5*'Alternative 2'!$B$39)+(3*($N$5/3)*COS($K$5))),IF(($A5&lt;'Alternative 2'!$B$28),(($H5*'Alternative 2'!$B$39)+(2*(($N$5/3)*COS($K$5)))),IF(($A5&lt;'Alternative 2'!$B$29),(($H$3*'Alternative 2'!$B$39+(($N$5/3)*COS($K$5)))),($H5*'Alternative 2'!$B$39))))</f>
        <v>6281528.8763696207</v>
      </c>
      <c r="T5" s="78">
        <f>R5*'Alternative 2'!$K6/'Alternative 2'!$L6</f>
        <v>13041659.745748181</v>
      </c>
      <c r="U5" s="78">
        <f>S5/'Alternative 2'!$M6</f>
        <v>1891421.843504552</v>
      </c>
      <c r="V5" s="78">
        <f t="shared" si="2"/>
        <v>14.933081589252733</v>
      </c>
      <c r="X5" s="78">
        <f>'Alternative 2'!$B$39*$B5*$C5*COS($K$13)-($N$12/3)*$E5*SIN($K$13)-($N$12/3)*$F5*SIN($K$13)-($N$12/3)*$G5*SIN($K$13)</f>
        <v>401972.89759711362</v>
      </c>
      <c r="Y5" s="79">
        <f>IF(($A5&lt;'Alternative 2'!$B$27),(($H5*'Alternative 2'!$B$39)+(3*($N$12/3)*COS($K$13))),IF(($A5&lt;'Alternative 2'!$B$28),(($H5*'Alternative 2'!$B$39)+(2*(($N$12/3)*COS($K$13)))),IF(($A5&lt;'Alternative 2'!$B$29),(($H$3*'Alternative 2'!$B$39+(($N$12/3)*COS($K$13)))),($H5*'Alternative 2'!$B$39))))</f>
        <v>1591048.9311725439</v>
      </c>
      <c r="Z5" s="78">
        <f>X5*'Alternative 2'!$K6/'Alternative 2'!$L6</f>
        <v>6051878.9295556722</v>
      </c>
      <c r="AA5" s="78">
        <f>Y5/'Alternative 2'!$M6</f>
        <v>479078.38389872311</v>
      </c>
      <c r="AB5" s="78">
        <f t="shared" si="3"/>
        <v>6.5309573134543948</v>
      </c>
      <c r="AD5" s="78">
        <f>'Alternative 2'!$B$39*$B5*$C5*COS($K$23)-($N$22/3)*$E5*SIN($K$23)-($N$22/3)*$F5*SIN($K$23)-($N$22/3)*$G5*SIN($K$23)</f>
        <v>597482.86782982736</v>
      </c>
      <c r="AE5" s="79">
        <f>IF(($A5&lt;'Alternative 2'!$B$27),(($H5*'Alternative 2'!$B$39)+(3*($N$22/3)*COS($K$23))),IF(($A5&lt;'Alternative 2'!$B$28),(($H5*'Alternative 2'!$B$39)+(2*(($N$22/3)*COS($K$23)))),IF(($A5&lt;'Alternative 2'!$B$29),(($H$3*'Alternative 2'!$B$39+(($N$22/3)*COS($K$23)))),($H5*'Alternative 2'!$B$39))))</f>
        <v>860546.30030405615</v>
      </c>
      <c r="AF5" s="78">
        <f>AD5*'Alternative 2'!$K6/'Alternative 2'!$L6</f>
        <v>8995367.5986731313</v>
      </c>
      <c r="AG5" s="78">
        <f>AE5/'Alternative 2'!$M6</f>
        <v>259117.82016400053</v>
      </c>
      <c r="AH5" s="78">
        <f t="shared" si="4"/>
        <v>9.254485418837131</v>
      </c>
      <c r="AJ5" s="78">
        <f>'Alternative 2'!$B$39*$B5*$C5*COS($K$33)-($N$32/3)*$E5*SIN($K$33)-($N$32/3)*$F5*SIN($K$33)-($N$32/3)*$G5*SIN($K$33)</f>
        <v>604896.26365388813</v>
      </c>
      <c r="AK5" s="79">
        <f>IF(($A5&lt;'Alternative 2'!$B$27),(($H5*'Alternative 2'!$B$39)+(3*($N$32/3)*COS($K$33))),IF(($A5&lt;'Alternative 2'!$B$28),(($H5*'Alternative 2'!$B$39)+(2*(($N$32/3)*COS($K$33)))),IF(($A5&lt;'Alternative 2'!$B$29),(($H$3*'Alternative 2'!$B$39+(($N$32/3)*COS($K$33)))),($H5*'Alternative 2'!$B$39))))</f>
        <v>616251.69459042605</v>
      </c>
      <c r="AL5" s="78">
        <f>AJ5*'Alternative 2'!$K6/'Alternative 2'!$L6</f>
        <v>9106979.536324352</v>
      </c>
      <c r="AM5" s="78">
        <f>AK5/'Alternative 2'!$M6</f>
        <v>185558.6337634853</v>
      </c>
      <c r="AN5" s="78">
        <f t="shared" si="5"/>
        <v>9.2925381700878376</v>
      </c>
      <c r="AP5" s="78">
        <f>'Alternative 2'!$B$39*$B5*$C5*COS($K$43)-($N$42/3)*$E5*SIN($K$43)-($N$42/3)*$F5*SIN($K$43)-($N$42/3)*$G5*SIN($K$43)</f>
        <v>551682.68073502649</v>
      </c>
      <c r="AQ5" s="79">
        <f>IF(($A5&lt;'Alternative 2'!$B$27),(($H5*'Alternative 2'!$B$39)+(3*($N$42/3)*COS($K$43))),IF(($A5&lt;'Alternative 2'!$B$28),(($H5*'Alternative 2'!$B$39)+(2*(($N$42/3)*COS($K$43)))),IF(($A5&lt;'Alternative 2'!$B$29),(($H$3*'Alternative 2'!$B$39+(($N$42/3)*COS($K$43)))),($H5*'Alternative 2'!$B$39))))</f>
        <v>487193.07480204897</v>
      </c>
      <c r="AR5" s="78">
        <f>AP5*'Alternative 2'!$K6/'Alternative 2'!$L6</f>
        <v>8305825.6198342005</v>
      </c>
      <c r="AS5" s="78">
        <f>AQ5/'Alternative 2'!$M6</f>
        <v>146697.98417249526</v>
      </c>
      <c r="AT5" s="78">
        <f t="shared" si="6"/>
        <v>8.4525236040066964</v>
      </c>
      <c r="AV5" s="78">
        <f>'Alternative 2'!$B$39*$B5*$C5*COS($K$53)-($N$52/3)*$E5*SIN($K$53)-($N$52/3)*$F5*SIN($K$53)-($N$52/3)*$G5*SIN($K$53)</f>
        <v>463478.83256664872</v>
      </c>
      <c r="AW5" s="79">
        <f>IF(($A5&lt;'Alternative 2'!$B$27),(($H5*'Alternative 2'!$B$39)+(3*($N$52/3)*COS($K$53))),IF(($A5&lt;'Alternative 2'!$B$28),(($H5*'Alternative 2'!$B$39)+(2*(($N$52/3)*COS($K$53)))),IF(($A5&lt;'Alternative 2'!$B$29),(($H$3*'Alternative 2'!$B$39+(($N$52/3)*COS($K$53)))),($H5*'Alternative 2'!$B$39))))</f>
        <v>406114.44047990779</v>
      </c>
      <c r="AX5" s="78">
        <f>AV5*'Alternative 2'!$K6/'Alternative 2'!$L6</f>
        <v>6977877.8566222005</v>
      </c>
      <c r="AY5" s="78">
        <f>AW5/'Alternative 2'!$M6</f>
        <v>122284.51684365512</v>
      </c>
      <c r="AZ5" s="78">
        <f t="shared" si="7"/>
        <v>7.1001623734658557</v>
      </c>
      <c r="BB5" s="78">
        <f>'Alternative 2'!$B$39*$B5*$C5*COS($K$63)-($N$62/3)*$E5*SIN($K$63)-($N$62/3)*$F5*SIN($K$63)-($N$62/3)*$G5*SIN($K$63)</f>
        <v>350880.77105843287</v>
      </c>
      <c r="BC5" s="79">
        <f>IF(($A5&lt;'Alternative 2'!$B$27),(($H5*'Alternative 2'!$B$39)+(3*($N$62/3)*COS($K$63))),IF(($A5&lt;'Alternative 2'!$B$28),(($H5*'Alternative 2'!$B$39)+(2*(($N$62/3)*COS($K$63)))),IF(($A5&lt;'Alternative 2'!$B$29),(($H$3*'Alternative 2'!$B$39+(($N$62/3)*COS($K$63)))),($H5*'Alternative 2'!$B$39))))</f>
        <v>352021.98186764523</v>
      </c>
      <c r="BD5" s="78">
        <f>BB5*'Alternative 2'!$K6/'Alternative 2'!$L6</f>
        <v>5282664.4727752041</v>
      </c>
      <c r="BE5" s="78">
        <f>BC5/'Alternative 2'!$M6</f>
        <v>105996.81685822898</v>
      </c>
      <c r="BF5" s="78">
        <f t="shared" si="8"/>
        <v>5.3886612896334336</v>
      </c>
      <c r="BH5" s="78">
        <f>'Alternative 2'!$B$39*$B5*$C5*COS($K$73)-($N$72/3)*$E5*SIN($K$73)-($N$72/3)*$F5*SIN($K$73)-($N$72/3)*$G5*SIN($K$73)</f>
        <v>220668.7517539853</v>
      </c>
      <c r="BI5" s="79">
        <f>IF(($A5&lt;'Alternative 2'!$B$27),(($H5*'Alternative 2'!$B$39)+(3*($N$72/3)*COS($K$73))),IF(($A5&lt;'Alternative 2'!$B$28),(($H5*'Alternative 2'!$B$39)+(2*(($N$72/3)*COS($K$73)))),IF(($A5&lt;'Alternative 2'!$B$29),(($H$3*'Alternative 2'!$B$39+(($N$72/3)*COS($K$73)))),($H5*'Alternative 2'!$B$39))))</f>
        <v>316605.57347761438</v>
      </c>
      <c r="BJ5" s="78">
        <f>BH5*'Alternative 2'!$K6/'Alternative 2'!$L6</f>
        <v>3322265.2003016137</v>
      </c>
      <c r="BK5" s="78">
        <f>BI5/'Alternative 2'!$M6</f>
        <v>95332.634655806745</v>
      </c>
      <c r="BL5" s="78">
        <f t="shared" si="9"/>
        <v>3.4175978349574203</v>
      </c>
      <c r="BN5" s="78">
        <f>'Alternative 2'!$B$39*$B5*$C5*COS($K$83)-($N$82/3)*$E5*SIN($K$83)-($N$82/3)*$F5*SIN($K$83)-($N$82/3)*$G5*SIN($K$83)</f>
        <v>78405.272468772193</v>
      </c>
      <c r="BO5" s="79">
        <f>IF(($A5&lt;'Alternative 2'!$B$27),(($H5*'Alternative 2'!$B$39)+(3*($N$82/3)*COS($K$83))),IF(($A5&lt;'Alternative 2'!$B$28),(($H5*'Alternative 2'!$B$39)+(2*(($N$82/3)*COS($K$83)))),IF(($A5&lt;'Alternative 2'!$B$29),(($H$3*'Alternative 2'!$B$39+(($N$82/3)*COS($K$83)))),($H5*'Alternative 2'!$B$39))))</f>
        <v>296182.09523779264</v>
      </c>
      <c r="BP5" s="78">
        <f>BN5*'Alternative 2'!$K6/'Alternative 2'!$L6</f>
        <v>1180425.8925322159</v>
      </c>
      <c r="BQ5" s="78">
        <f>BO5/'Alternative 2'!$M6</f>
        <v>89182.95141412683</v>
      </c>
      <c r="BR5" s="78">
        <f t="shared" si="10"/>
        <v>1.2696088439463429</v>
      </c>
      <c r="BT5" s="78">
        <f>'Alternative 2'!$B$39*$B5*$C5*COS($K$93)-($K$92/3)*$E5*SIN($K$93)-($K$92/3)*$F5*SIN($K$93)-($K$92/3)*$G5*SIN($K$93)</f>
        <v>-30.031298662348021</v>
      </c>
      <c r="BU5" s="79">
        <f>IF(($A5&lt;'Alternative 2'!$B$27),(($H5*'Alternative 2'!$B$39)+(3*($N$92/3)*COS($K$93))),IF(($A5&lt;'Alternative 2'!$B$28),(($H5*'Alternative 2'!$B$39)+(2*(($N$92/3)*COS($K$93)))),IF(($A5&lt;'Alternative 2'!$B$29),(($H$3*'Alternative 2'!$B$39+(($N$92/3)*COS($K$93)))),($H5*'Alternative 2'!$B$39))))</f>
        <v>289113.24514584424</v>
      </c>
      <c r="BV5" s="78">
        <f>BT5*'Alternative 2'!$K6/'Alternative 2'!$L6</f>
        <v>-452.1344217191882</v>
      </c>
      <c r="BW5" s="78">
        <f>BU5/'Alternative 2'!$M6</f>
        <v>87054.460447115998</v>
      </c>
      <c r="BX5" s="78">
        <f t="shared" si="11"/>
        <v>8.6602326025396803E-2</v>
      </c>
      <c r="BZ5" s="77">
        <v>150</v>
      </c>
      <c r="CA5" s="77">
        <v>-150</v>
      </c>
    </row>
    <row r="6" spans="1:79" ht="15" customHeight="1" x14ac:dyDescent="0.25">
      <c r="A6" s="13">
        <f>IF('Alternative 2'!F7&gt;0,'Alternative 2'!F7,"x")</f>
        <v>4</v>
      </c>
      <c r="B6" s="13">
        <f t="shared" si="17"/>
        <v>33</v>
      </c>
      <c r="C6" s="13">
        <f t="shared" si="12"/>
        <v>16.5</v>
      </c>
      <c r="D6" s="13">
        <f t="shared" si="13"/>
        <v>4</v>
      </c>
      <c r="E6" s="74">
        <f>IF($A6&lt;='Alternative 2'!$B$27, IF($A6='Alternative 2'!$B$27,0,E7+1),0)</f>
        <v>12</v>
      </c>
      <c r="F6" s="74">
        <f>IF($A6&lt;=('Alternative 2'!$B$28), IF($A6=ROUNDDOWN('Alternative 2'!$B$28,0),0,F7+1),0)</f>
        <v>18</v>
      </c>
      <c r="G6" s="74">
        <f>IF($A6&lt;=('Alternative 2'!$B$29), IF($A6=ROUNDDOWN('Alternative 2'!$B$29,0),0,G7+1),0)</f>
        <v>25</v>
      </c>
      <c r="H6" s="13">
        <f t="shared" si="14"/>
        <v>33</v>
      </c>
      <c r="J6" s="77">
        <f t="shared" si="15"/>
        <v>3</v>
      </c>
      <c r="K6" s="77">
        <f t="shared" si="16"/>
        <v>5.2359877559829883E-2</v>
      </c>
      <c r="L6" s="78">
        <f>'Alternative 2'!$B$27*SIN(K6)+'Alternative 2'!$B$28*SIN(K6)+'Alternative 2'!$B$29*SIN(K6)</f>
        <v>3.5588450245201804</v>
      </c>
      <c r="M6" s="77">
        <f>(('Alternative 2'!$B$27)*(((('Alternative 2'!$B$28-'Alternative 2'!$B$27)/2)+'Alternative 2'!$B$27)*'Alternative 2'!$B$39)*COS('Alternative 2-Tilt Up'!K6))+(('Alternative 2'!$B$28)*((('Alternative 2'!$B$28-'Alternative 2'!$B$27)/2)+(('Alternative 2'!$B$29-'Alternative 2'!$B$28)/2))*('Alternative 2'!$B$39)*COS('Alternative 2-Tilt Up'!K6))+(('Alternative 2'!$B$29)*((('Alternative 2'!$B$12-'Alternative 2'!$B$29+(('Alternative 2'!$B$29-'Alternative 2'!$B$28)/2)*('Alternative 2'!$B$39)*COS('Alternative 2-Tilt Up'!K6)))))</f>
        <v>4739608.3092768276</v>
      </c>
      <c r="N6" s="77">
        <f t="shared" si="0"/>
        <v>3995348.1620761305</v>
      </c>
      <c r="O6" s="77">
        <f>(((('Alternative 2'!$B$28-'Alternative 2'!$B$27)/2)+'Alternative 2'!$B$27)*('Alternative 2'!$B$39)*COS('Alternative 2-Tilt Up'!K6))+(((('Alternative 2'!$B$28-'Alternative 2'!$B$27)/2)+(('Alternative 2'!$B$29-'Alternative 2'!$B$28)/2))*('Alternative 2'!$B$39)*COS('Alternative 2-Tilt Up'!K6))+(((('Alternative 2'!$B$12-'Alternative 2'!$B$29)+(('Alternative 2'!$B$29-'Alternative 2'!$B$28)/2))*('Alternative 2'!$B$39)*COS('Alternative 2-Tilt Up'!K6)))</f>
        <v>305700.37993204885</v>
      </c>
      <c r="P6" s="77">
        <f t="shared" si="1"/>
        <v>3989872.6762766279</v>
      </c>
      <c r="R6" s="78">
        <f>('Alternative 2'!$B$39*$B6*$C6*COS($K$5))-(($N$5/3)*$E6*SIN($K$5))-(($N$5/3)*$F6*SIN($K$5))-(($N$5/3)*$G6*SIN($K$5))</f>
        <v>790814.05385942617</v>
      </c>
      <c r="S6" s="79">
        <f>IF(($A6&lt;'Alternative 2'!$B$27),(($H6*'Alternative 2'!$B$39)+(3*($N$5/3)*COS($K$5))),IF(($A6&lt;'Alternative 2'!$B$28),(($H6*'Alternative 2'!$B$39)+(2*(($N$5/3)*COS($K$5)))),IF(($A6&lt;'Alternative 2'!$B$29),(($H$3*'Alternative 2'!$B$39+(($N$5/3)*COS($K$5)))),($H6*'Alternative 2'!$B$39))))</f>
        <v>6273025.5456300369</v>
      </c>
      <c r="T6" s="78">
        <f>R6*'Alternative 2'!$K7/'Alternative 2'!$L7</f>
        <v>12139749.772374228</v>
      </c>
      <c r="U6" s="78">
        <f>S6/'Alternative 2'!$M7</f>
        <v>1925936.6306730884</v>
      </c>
      <c r="V6" s="78">
        <f t="shared" si="2"/>
        <v>14.065686403047316</v>
      </c>
      <c r="X6" s="78">
        <f>'Alternative 2'!$B$39*$B6*$C6*COS($K$13)-($N$12/3)*$E6*SIN($K$13)-($N$12/3)*$F6*SIN($K$13)-($N$12/3)*$G6*SIN($K$13)</f>
        <v>351005.39389204257</v>
      </c>
      <c r="Y6" s="79">
        <f>IF(($A6&lt;'Alternative 2'!$B$27),(($H6*'Alternative 2'!$B$39)+(3*($N$12/3)*COS($K$13))),IF(($A6&lt;'Alternative 2'!$B$28),(($H6*'Alternative 2'!$B$39)+(2*(($N$12/3)*COS($K$13)))),IF(($A6&lt;'Alternative 2'!$B$29),(($H$3*'Alternative 2'!$B$39+(($N$12/3)*COS($K$13)))),($H6*'Alternative 2'!$B$39))))</f>
        <v>1582545.6004329603</v>
      </c>
      <c r="Z6" s="78">
        <f>X6*'Alternative 2'!$K7/'Alternative 2'!$L7</f>
        <v>5388267.4818529468</v>
      </c>
      <c r="AA6" s="78">
        <f>Y6/'Alternative 2'!$M7</f>
        <v>485871.21468166419</v>
      </c>
      <c r="AB6" s="78">
        <f t="shared" si="3"/>
        <v>5.8741386965346116</v>
      </c>
      <c r="AD6" s="78">
        <f>'Alternative 2'!$B$39*$B6*$C6*COS($K$23)-($N$22/3)*$E6*SIN($K$23)-($N$22/3)*$F6*SIN($K$23)-($N$22/3)*$G6*SIN($K$23)</f>
        <v>537785.16632224014</v>
      </c>
      <c r="AE6" s="79">
        <f>IF(($A6&lt;'Alternative 2'!$B$27),(($H6*'Alternative 2'!$B$39)+(3*($N$22/3)*COS($K$23))),IF(($A6&lt;'Alternative 2'!$B$28),(($H6*'Alternative 2'!$B$39)+(2*(($N$22/3)*COS($K$23)))),IF(($A6&lt;'Alternative 2'!$B$29),(($H$3*'Alternative 2'!$B$39+(($N$22/3)*COS($K$23)))),($H6*'Alternative 2'!$B$39))))</f>
        <v>852042.96956447256</v>
      </c>
      <c r="AF6" s="78">
        <f>AD6*'Alternative 2'!$K7/'Alternative 2'!$L7</f>
        <v>8255515.0842161952</v>
      </c>
      <c r="AG6" s="78">
        <f>AE6/'Alternative 2'!$M7</f>
        <v>261593.19040791181</v>
      </c>
      <c r="AH6" s="78">
        <f t="shared" si="4"/>
        <v>8.5171082746241069</v>
      </c>
      <c r="AJ6" s="78">
        <f>'Alternative 2'!$B$39*$B6*$C6*COS($K$33)-($N$32/3)*$E6*SIN($K$33)-($N$32/3)*$F6*SIN($K$33)-($N$32/3)*$G6*SIN($K$33)</f>
        <v>547072.37085476564</v>
      </c>
      <c r="AK6" s="79">
        <f>IF(($A6&lt;'Alternative 2'!$B$27),(($H6*'Alternative 2'!$B$39)+(3*($N$32/3)*COS($K$33))),IF(($A6&lt;'Alternative 2'!$B$28),(($H6*'Alternative 2'!$B$39)+(2*(($N$32/3)*COS($K$33)))),IF(($A6&lt;'Alternative 2'!$B$29),(($H$3*'Alternative 2'!$B$39+(($N$32/3)*COS($K$33)))),($H6*'Alternative 2'!$B$39))))</f>
        <v>607748.36385084246</v>
      </c>
      <c r="AL6" s="78">
        <f>AJ6*'Alternative 2'!$K7/'Alternative 2'!$L7</f>
        <v>8398082.5291920286</v>
      </c>
      <c r="AM6" s="78">
        <f>AK6/'Alternative 2'!$M7</f>
        <v>186590.15935099544</v>
      </c>
      <c r="AN6" s="78">
        <f t="shared" si="5"/>
        <v>8.5846726885430229</v>
      </c>
      <c r="AP6" s="78">
        <f>'Alternative 2'!$B$39*$B6*$C6*COS($K$43)-($N$42/3)*$E6*SIN($K$43)-($N$42/3)*$F6*SIN($K$43)-($N$42/3)*$G6*SIN($K$43)</f>
        <v>499674.76249766792</v>
      </c>
      <c r="AQ6" s="79">
        <f>IF(($A6&lt;'Alternative 2'!$B$27),(($H6*'Alternative 2'!$B$39)+(3*($N$42/3)*COS($K$43))),IF(($A6&lt;'Alternative 2'!$B$28),(($H6*'Alternative 2'!$B$39)+(2*(($N$42/3)*COS($K$43)))),IF(($A6&lt;'Alternative 2'!$B$29),(($H$3*'Alternative 2'!$B$39+(($N$42/3)*COS($K$43)))),($H6*'Alternative 2'!$B$39))))</f>
        <v>478689.74406246538</v>
      </c>
      <c r="AR6" s="78">
        <f>AP6*'Alternative 2'!$K7/'Alternative 2'!$L7</f>
        <v>7670484.0470253956</v>
      </c>
      <c r="AS6" s="78">
        <f>AQ6/'Alternative 2'!$M7</f>
        <v>146966.73975123005</v>
      </c>
      <c r="AT6" s="78">
        <f t="shared" si="6"/>
        <v>7.8174507867766252</v>
      </c>
      <c r="AV6" s="78">
        <f>'Alternative 2'!$B$39*$B6*$C6*COS($K$53)-($N$52/3)*$E6*SIN($K$53)-($N$52/3)*$F6*SIN($K$53)-($N$52/3)*$G6*SIN($K$53)</f>
        <v>419809.93348805537</v>
      </c>
      <c r="AW6" s="79">
        <f>IF(($A6&lt;'Alternative 2'!$B$27),(($H6*'Alternative 2'!$B$39)+(3*($N$52/3)*COS($K$53))),IF(($A6&lt;'Alternative 2'!$B$28),(($H6*'Alternative 2'!$B$39)+(2*(($N$52/3)*COS($K$53)))),IF(($A6&lt;'Alternative 2'!$B$29),(($H$3*'Alternative 2'!$B$39+(($N$52/3)*COS($K$53)))),($H6*'Alternative 2'!$B$39))))</f>
        <v>397611.10974032414</v>
      </c>
      <c r="AX6" s="78">
        <f>AV6*'Alternative 2'!$K7/'Alternative 2'!$L7</f>
        <v>6444482.7701658243</v>
      </c>
      <c r="AY6" s="78">
        <f>AW6/'Alternative 2'!$M7</f>
        <v>122074.07660645136</v>
      </c>
      <c r="AZ6" s="78">
        <f t="shared" si="7"/>
        <v>6.5665568467722757</v>
      </c>
      <c r="BB6" s="78">
        <f>'Alternative 2'!$B$39*$B6*$C6*COS($K$63)-($N$62/3)*$E6*SIN($K$63)-($N$62/3)*$F6*SIN($K$63)-($N$62/3)*$G6*SIN($K$63)</f>
        <v>317411.1094125401</v>
      </c>
      <c r="BC6" s="79">
        <f>IF(($A6&lt;'Alternative 2'!$B$27),(($H6*'Alternative 2'!$B$39)+(3*($N$62/3)*COS($K$63))),IF(($A6&lt;'Alternative 2'!$B$28),(($H6*'Alternative 2'!$B$39)+(2*(($N$62/3)*COS($K$63)))),IF(($A6&lt;'Alternative 2'!$B$29),(($H$3*'Alternative 2'!$B$39+(($N$62/3)*COS($K$63)))),($H6*'Alternative 2'!$B$39))))</f>
        <v>343518.65112806158</v>
      </c>
      <c r="BD6" s="78">
        <f>BB6*'Alternative 2'!$K7/'Alternative 2'!$L7</f>
        <v>4872563.1827540714</v>
      </c>
      <c r="BE6" s="78">
        <f>BC6/'Alternative 2'!$M7</f>
        <v>105466.67612215107</v>
      </c>
      <c r="BF6" s="78">
        <f t="shared" si="8"/>
        <v>4.9780298588762228</v>
      </c>
      <c r="BH6" s="78">
        <f>'Alternative 2'!$B$39*$B6*$C6*COS($K$73)-($N$72/3)*$E6*SIN($K$73)-($N$72/3)*$F6*SIN($K$73)-($N$72/3)*$G6*SIN($K$73)</f>
        <v>198774.90471077431</v>
      </c>
      <c r="BI6" s="79">
        <f>IF(($A6&lt;'Alternative 2'!$B$27),(($H6*'Alternative 2'!$B$39)+(3*($N$72/3)*COS($K$73))),IF(($A6&lt;'Alternative 2'!$B$28),(($H6*'Alternative 2'!$B$39)+(2*(($N$72/3)*COS($K$73)))),IF(($A6&lt;'Alternative 2'!$B$29),(($H$3*'Alternative 2'!$B$39+(($N$72/3)*COS($K$73)))),($H6*'Alternative 2'!$B$39))))</f>
        <v>308102.24273803073</v>
      </c>
      <c r="BJ6" s="78">
        <f>BH6*'Alternative 2'!$K7/'Alternative 2'!$L7</f>
        <v>3051384.3202959518</v>
      </c>
      <c r="BK6" s="78">
        <f>BI6/'Alternative 2'!$M7</f>
        <v>94593.17373497285</v>
      </c>
      <c r="BL6" s="78">
        <f t="shared" si="9"/>
        <v>3.1459774940309244</v>
      </c>
      <c r="BN6" s="78">
        <f>'Alternative 2'!$B$39*$B6*$C6*COS($K$83)-($N$82/3)*$E6*SIN($K$83)-($N$82/3)*$F6*SIN($K$83)-($N$82/3)*$G6*SIN($K$83)</f>
        <v>69029.019265407464</v>
      </c>
      <c r="BO6" s="79">
        <f>IF(($A6&lt;'Alternative 2'!$B$27),(($H6*'Alternative 2'!$B$39)+(3*($N$82/3)*COS($K$83))),IF(($A6&lt;'Alternative 2'!$B$28),(($H6*'Alternative 2'!$B$39)+(2*(($N$82/3)*COS($K$83)))),IF(($A6&lt;'Alternative 2'!$B$29),(($H$3*'Alternative 2'!$B$39+(($N$82/3)*COS($K$83)))),($H6*'Alternative 2'!$B$39))))</f>
        <v>287678.764498209</v>
      </c>
      <c r="BP6" s="78">
        <f>BN6*'Alternative 2'!$K7/'Alternative 2'!$L7</f>
        <v>1059661.2652807091</v>
      </c>
      <c r="BQ6" s="78">
        <f>BO6/'Alternative 2'!$M7</f>
        <v>88322.782425116195</v>
      </c>
      <c r="BR6" s="78">
        <f t="shared" si="10"/>
        <v>1.1479840477058254</v>
      </c>
      <c r="BT6" s="78">
        <f>'Alternative 2'!$B$39*$B6*$C6*COS($K$93)-($K$92/3)*$E6*SIN($K$93)-($K$92/3)*$F6*SIN($K$93)-($K$92/3)*$G6*SIN($K$93)</f>
        <v>-28.47795562809052</v>
      </c>
      <c r="BU6" s="79">
        <f>IF(($A6&lt;'Alternative 2'!$B$27),(($H6*'Alternative 2'!$B$39)+(3*($N$92/3)*COS($K$93))),IF(($A6&lt;'Alternative 2'!$B$28),(($H6*'Alternative 2'!$B$39)+(2*(($N$92/3)*COS($K$93)))),IF(($A6&lt;'Alternative 2'!$B$29),(($H$3*'Alternative 2'!$B$39+(($N$92/3)*COS($K$93)))),($H6*'Alternative 2'!$B$39))))</f>
        <v>280609.91440626059</v>
      </c>
      <c r="BV6" s="78">
        <f>BT6*'Alternative 2'!$K7/'Alternative 2'!$L7</f>
        <v>-437.1637727814699</v>
      </c>
      <c r="BW6" s="78">
        <f>BU6/'Alternative 2'!$M7</f>
        <v>86152.512715581164</v>
      </c>
      <c r="BX6" s="78">
        <f t="shared" si="11"/>
        <v>8.5715348942799696E-2</v>
      </c>
      <c r="BZ6" s="77">
        <v>150</v>
      </c>
      <c r="CA6" s="77">
        <v>-150</v>
      </c>
    </row>
    <row r="7" spans="1:79" ht="15" customHeight="1" x14ac:dyDescent="0.25">
      <c r="A7" s="13">
        <f>IF('Alternative 2'!F8&gt;0,'Alternative 2'!F8,"x")</f>
        <v>5</v>
      </c>
      <c r="B7" s="13">
        <f t="shared" si="17"/>
        <v>32</v>
      </c>
      <c r="C7" s="13">
        <f t="shared" si="12"/>
        <v>16</v>
      </c>
      <c r="D7" s="13">
        <f t="shared" si="13"/>
        <v>5</v>
      </c>
      <c r="E7" s="74">
        <f>IF($A7&lt;='Alternative 2'!$B$27, IF($A7='Alternative 2'!$B$27,0,E8+1),0)</f>
        <v>11</v>
      </c>
      <c r="F7" s="74">
        <f>IF($A7&lt;=('Alternative 2'!$B$28), IF($A7=ROUNDDOWN('Alternative 2'!$B$28,0),0,F8+1),0)</f>
        <v>17</v>
      </c>
      <c r="G7" s="74">
        <f>IF($A7&lt;=('Alternative 2'!$B$29), IF($A7=ROUNDDOWN('Alternative 2'!$B$29,0),0,G8+1),0)</f>
        <v>24</v>
      </c>
      <c r="H7" s="13">
        <f t="shared" si="14"/>
        <v>32</v>
      </c>
      <c r="J7" s="77">
        <f t="shared" si="15"/>
        <v>4</v>
      </c>
      <c r="K7" s="77">
        <f t="shared" si="16"/>
        <v>6.9813170079773182E-2</v>
      </c>
      <c r="L7" s="78">
        <f>'Alternative 2'!$B$27*SIN(K7)+'Alternative 2'!$B$28*SIN(K7)+'Alternative 2'!$B$29*SIN(K7)</f>
        <v>4.7434402146005201</v>
      </c>
      <c r="M7" s="77">
        <f>(('Alternative 2'!$B$27)*(((('Alternative 2'!$B$28-'Alternative 2'!$B$27)/2)+'Alternative 2'!$B$27)*'Alternative 2'!$B$39)*COS('Alternative 2-Tilt Up'!K7))+(('Alternative 2'!$B$28)*((('Alternative 2'!$B$28-'Alternative 2'!$B$27)/2)+(('Alternative 2'!$B$29-'Alternative 2'!$B$28)/2))*('Alternative 2'!$B$39)*COS('Alternative 2-Tilt Up'!K7))+(('Alternative 2'!$B$29)*((('Alternative 2'!$B$12-'Alternative 2'!$B$29+(('Alternative 2'!$B$29-'Alternative 2'!$B$28)/2)*('Alternative 2'!$B$39)*COS('Alternative 2-Tilt Up'!K7)))))</f>
        <v>4734551.6085213693</v>
      </c>
      <c r="N7" s="77">
        <f t="shared" si="0"/>
        <v>2994378.3800298837</v>
      </c>
      <c r="O7" s="77">
        <f>(((('Alternative 2'!$B$28-'Alternative 2'!$B$27)/2)+'Alternative 2'!$B$27)*('Alternative 2'!$B$39)*COS('Alternative 2-Tilt Up'!K7))+(((('Alternative 2'!$B$28-'Alternative 2'!$B$27)/2)+(('Alternative 2'!$B$29-'Alternative 2'!$B$28)/2))*('Alternative 2'!$B$39)*COS('Alternative 2-Tilt Up'!K7))+(((('Alternative 2'!$B$12-'Alternative 2'!$B$29)+(('Alternative 2'!$B$29-'Alternative 2'!$B$28)/2))*('Alternative 2'!$B$39)*COS('Alternative 2-Tilt Up'!K7)))</f>
        <v>305374.2139180057</v>
      </c>
      <c r="P7" s="77">
        <f t="shared" si="1"/>
        <v>2987084.2247930621</v>
      </c>
      <c r="R7" s="78">
        <f>('Alternative 2'!$B$39*$B7*$C7*COS($K$5))-(($N$5/3)*$E7*SIN($K$5))-(($N$5/3)*$F7*SIN($K$5))-(($N$5/3)*$G7*SIN($K$5))</f>
        <v>723883.91975803208</v>
      </c>
      <c r="S7" s="79">
        <f>IF(($A7&lt;'Alternative 2'!$B$27),(($H7*'Alternative 2'!$B$39)+(3*($N$5/3)*COS($K$5))),IF(($A7&lt;'Alternative 2'!$B$28),(($H7*'Alternative 2'!$B$39)+(2*(($N$5/3)*COS($K$5)))),IF(($A7&lt;'Alternative 2'!$B$29),(($H$3*'Alternative 2'!$B$39+(($N$5/3)*COS($K$5)))),($H7*'Alternative 2'!$B$39))))</f>
        <v>6264522.214890453</v>
      </c>
      <c r="T7" s="78">
        <f>R7*'Alternative 2'!$K8/'Alternative 2'!$L8</f>
        <v>11332586.34691924</v>
      </c>
      <c r="U7" s="78">
        <f>S7/'Alternative 2'!$M8</f>
        <v>1961451.807152404</v>
      </c>
      <c r="V7" s="78">
        <f t="shared" si="2"/>
        <v>13.294038154071645</v>
      </c>
      <c r="X7" s="78">
        <f>'Alternative 2'!$B$39*$B7*$C7*COS($K$13)-($N$12/3)*$E7*SIN($K$13)-($N$12/3)*$F7*SIN($K$13)-($N$12/3)*$G7*SIN($K$13)</f>
        <v>308412.03622574289</v>
      </c>
      <c r="Y7" s="79">
        <f>IF(($A7&lt;'Alternative 2'!$B$27),(($H7*'Alternative 2'!$B$39)+(3*($N$12/3)*COS($K$13))),IF(($A7&lt;'Alternative 2'!$B$28),(($H7*'Alternative 2'!$B$39)+(2*(($N$12/3)*COS($K$13)))),IF(($A7&lt;'Alternative 2'!$B$29),(($H$3*'Alternative 2'!$B$39+(($N$12/3)*COS($K$13)))),($H7*'Alternative 2'!$B$39))))</f>
        <v>1574042.2696933765</v>
      </c>
      <c r="Z7" s="78">
        <f>X7*'Alternative 2'!$K8/'Alternative 2'!$L8</f>
        <v>4828268.6430245638</v>
      </c>
      <c r="AA7" s="78">
        <f>Y7/'Alternative 2'!$M8</f>
        <v>492840.14782256371</v>
      </c>
      <c r="AB7" s="78">
        <f t="shared" si="3"/>
        <v>5.3211087908471271</v>
      </c>
      <c r="AD7" s="78">
        <f>'Alternative 2'!$B$39*$B7*$C7*COS($K$23)-($N$22/3)*$E7*SIN($K$23)-($N$22/3)*$F7*SIN($K$23)-($N$22/3)*$G7*SIN($K$23)</f>
        <v>486077.98196274252</v>
      </c>
      <c r="AE7" s="79">
        <f>IF(($A7&lt;'Alternative 2'!$B$27),(($H7*'Alternative 2'!$B$39)+(3*($N$22/3)*COS($K$23))),IF(($A7&lt;'Alternative 2'!$B$28),(($H7*'Alternative 2'!$B$39)+(2*(($N$22/3)*COS($K$23)))),IF(($A7&lt;'Alternative 2'!$B$29),(($H$3*'Alternative 2'!$B$39+(($N$22/3)*COS($K$23)))),($H7*'Alternative 2'!$B$39))))</f>
        <v>843539.63882488897</v>
      </c>
      <c r="AF7" s="78">
        <f>AD7*'Alternative 2'!$K8/'Alternative 2'!$L8</f>
        <v>7609674.081129374</v>
      </c>
      <c r="AG7" s="78">
        <f>AE7/'Alternative 2'!$M8</f>
        <v>264116.28727965133</v>
      </c>
      <c r="AH7" s="78">
        <f t="shared" si="4"/>
        <v>7.8737903684090256</v>
      </c>
      <c r="AJ7" s="78">
        <f>'Alternative 2'!$B$39*$B7*$C7*COS($K$33)-($N$32/3)*$E7*SIN($K$33)-($N$32/3)*$F7*SIN($K$33)-($N$32/3)*$G7*SIN($K$33)</f>
        <v>496612.57849290385</v>
      </c>
      <c r="AK7" s="79">
        <f>IF(($A7&lt;'Alternative 2'!$B$27),(($H7*'Alternative 2'!$B$39)+(3*($N$32/3)*COS($K$33))),IF(($A7&lt;'Alternative 2'!$B$28),(($H7*'Alternative 2'!$B$39)+(2*(($N$32/3)*COS($K$33)))),IF(($A7&lt;'Alternative 2'!$B$29),(($H$3*'Alternative 2'!$B$39+(($N$32/3)*COS($K$33)))),($H7*'Alternative 2'!$B$39))))</f>
        <v>599245.03311125888</v>
      </c>
      <c r="AL7" s="78">
        <f>AJ7*'Alternative 2'!$K8/'Alternative 2'!$L8</f>
        <v>7774595.8614721606</v>
      </c>
      <c r="AM7" s="78">
        <f>AK7/'Alternative 2'!$M8</f>
        <v>187626.48016944336</v>
      </c>
      <c r="AN7" s="78">
        <f t="shared" si="5"/>
        <v>7.9622223416416036</v>
      </c>
      <c r="AP7" s="78">
        <f>'Alternative 2'!$B$39*$B7*$C7*COS($K$43)-($N$42/3)*$E7*SIN($K$43)-($N$42/3)*$F7*SIN($K$43)-($N$42/3)*$G7*SIN($K$43)</f>
        <v>454180.77352137049</v>
      </c>
      <c r="AQ7" s="79">
        <f>IF(($A7&lt;'Alternative 2'!$B$27),(($H7*'Alternative 2'!$B$39)+(3*($N$42/3)*COS($K$43))),IF(($A7&lt;'Alternative 2'!$B$28),(($H7*'Alternative 2'!$B$39)+(2*(($N$42/3)*COS($K$43)))),IF(($A7&lt;'Alternative 2'!$B$29),(($H$3*'Alternative 2'!$B$39+(($N$42/3)*COS($K$43)))),($H7*'Alternative 2'!$B$39))))</f>
        <v>470186.41332288168</v>
      </c>
      <c r="AR7" s="78">
        <f>AP7*'Alternative 2'!$K8/'Alternative 2'!$L8</f>
        <v>7110315.1935768528</v>
      </c>
      <c r="AS7" s="78">
        <f>AQ7/'Alternative 2'!$M8</f>
        <v>147217.61029413171</v>
      </c>
      <c r="AT7" s="78">
        <f t="shared" si="6"/>
        <v>7.2575328038709843</v>
      </c>
      <c r="AV7" s="78">
        <f>'Alternative 2'!$B$39*$B7*$C7*COS($K$53)-($N$52/3)*$E7*SIN($K$53)-($N$52/3)*$F7*SIN($K$53)-($N$52/3)*$G7*SIN($K$53)</f>
        <v>381606.8700499339</v>
      </c>
      <c r="AW7" s="79">
        <f>IF(($A7&lt;'Alternative 2'!$B$27),(($H7*'Alternative 2'!$B$39)+(3*($N$52/3)*COS($K$53))),IF(($A7&lt;'Alternative 2'!$B$28),(($H7*'Alternative 2'!$B$39)+(2*(($N$52/3)*COS($K$53)))),IF(($A7&lt;'Alternative 2'!$B$29),(($H$3*'Alternative 2'!$B$39+(($N$52/3)*COS($K$53)))),($H7*'Alternative 2'!$B$39))))</f>
        <v>389107.7790007405</v>
      </c>
      <c r="AX7" s="78">
        <f>AV7*'Alternative 2'!$K8/'Alternative 2'!$L8</f>
        <v>5974152.3293734975</v>
      </c>
      <c r="AY7" s="78">
        <f>AW7/'Alternative 2'!$M8</f>
        <v>121831.50288523751</v>
      </c>
      <c r="AZ7" s="78">
        <f t="shared" si="7"/>
        <v>6.0959838322587352</v>
      </c>
      <c r="BB7" s="78">
        <f>'Alternative 2'!$B$39*$B7*$C7*COS($K$63)-($N$62/3)*$E7*SIN($K$63)-($N$62/3)*$F7*SIN($K$63)-($N$62/3)*$G7*SIN($K$63)</f>
        <v>288193.113136439</v>
      </c>
      <c r="BC7" s="79">
        <f>IF(($A7&lt;'Alternative 2'!$B$27),(($H7*'Alternative 2'!$B$39)+(3*($N$62/3)*COS($K$63))),IF(($A7&lt;'Alternative 2'!$B$28),(($H7*'Alternative 2'!$B$39)+(2*(($N$62/3)*COS($K$63)))),IF(($A7&lt;'Alternative 2'!$B$29),(($H$3*'Alternative 2'!$B$39+(($N$62/3)*COS($K$63)))),($H7*'Alternative 2'!$B$39))))</f>
        <v>335015.32038847794</v>
      </c>
      <c r="BD7" s="78">
        <f>BB7*'Alternative 2'!$K8/'Alternative 2'!$L8</f>
        <v>4511736.2743709739</v>
      </c>
      <c r="BE7" s="78">
        <f>BC7/'Alternative 2'!$M8</f>
        <v>104894.89590088597</v>
      </c>
      <c r="BF7" s="78">
        <f t="shared" si="8"/>
        <v>4.6166311702718597</v>
      </c>
      <c r="BH7" s="78">
        <f>'Alternative 2'!$B$39*$B7*$C7*COS($K$73)-($N$72/3)*$E7*SIN($K$73)-($N$72/3)*$F7*SIN($K$73)-($N$72/3)*$G7*SIN($K$73)</f>
        <v>179789.36806586164</v>
      </c>
      <c r="BI7" s="79">
        <f>IF(($A7&lt;'Alternative 2'!$B$27),(($H7*'Alternative 2'!$B$39)+(3*($N$72/3)*COS($K$73))),IF(($A7&lt;'Alternative 2'!$B$28),(($H7*'Alternative 2'!$B$39)+(2*(($N$72/3)*COS($K$73)))),IF(($A7&lt;'Alternative 2'!$B$29),(($H$3*'Alternative 2'!$B$39+(($N$72/3)*COS($K$73)))),($H7*'Alternative 2'!$B$39))))</f>
        <v>299598.91199844709</v>
      </c>
      <c r="BJ7" s="78">
        <f>BH7*'Alternative 2'!$K8/'Alternative 2'!$L8</f>
        <v>2814648.1531810737</v>
      </c>
      <c r="BK7" s="78">
        <f>BI7/'Alternative 2'!$M8</f>
        <v>93805.849385199166</v>
      </c>
      <c r="BL7" s="78">
        <f t="shared" si="9"/>
        <v>2.9084540025662728</v>
      </c>
      <c r="BN7" s="78">
        <f>'Alternative 2'!$B$39*$B7*$C7*COS($K$83)-($N$82/3)*$E7*SIN($K$83)-($N$82/3)*$F7*SIN($K$83)-($N$82/3)*$G7*SIN($K$83)</f>
        <v>61129.353949070792</v>
      </c>
      <c r="BO7" s="79">
        <f>IF(($A7&lt;'Alternative 2'!$B$27),(($H7*'Alternative 2'!$B$39)+(3*($N$82/3)*COS($K$83))),IF(($A7&lt;'Alternative 2'!$B$28),(($H7*'Alternative 2'!$B$39)+(2*(($N$82/3)*COS($K$83)))),IF(($A7&lt;'Alternative 2'!$B$29),(($H$3*'Alternative 2'!$B$39+(($N$82/3)*COS($K$83)))),($H7*'Alternative 2'!$B$39))))</f>
        <v>279175.43375862535</v>
      </c>
      <c r="BP7" s="78">
        <f>BN7*'Alternative 2'!$K8/'Alternative 2'!$L8</f>
        <v>956995.53899580415</v>
      </c>
      <c r="BQ7" s="78">
        <f>BO7/'Alternative 2'!$M8</f>
        <v>87411.160863444646</v>
      </c>
      <c r="BR7" s="78">
        <f t="shared" si="10"/>
        <v>1.0444066998592487</v>
      </c>
      <c r="BT7" s="78">
        <f>'Alternative 2'!$B$39*$B7*$C7*COS($K$93)-($K$92/3)*$E7*SIN($K$93)-($K$92/3)*$F7*SIN($K$93)-($K$92/3)*$G7*SIN($K$93)</f>
        <v>-26.924612593832496</v>
      </c>
      <c r="BU7" s="79">
        <f>IF(($A7&lt;'Alternative 2'!$B$27),(($H7*'Alternative 2'!$B$39)+(3*($N$92/3)*COS($K$93))),IF(($A7&lt;'Alternative 2'!$B$28),(($H7*'Alternative 2'!$B$39)+(2*(($N$92/3)*COS($K$93)))),IF(($A7&lt;'Alternative 2'!$B$29),(($H$3*'Alternative 2'!$B$39+(($N$92/3)*COS($K$93)))),($H7*'Alternative 2'!$B$39))))</f>
        <v>272106.58366667695</v>
      </c>
      <c r="BV7" s="78">
        <f>BT7*'Alternative 2'!$K8/'Alternative 2'!$L8</f>
        <v>-421.51163846677002</v>
      </c>
      <c r="BW7" s="78">
        <f>BU7/'Alternative 2'!$M8</f>
        <v>85197.870158786478</v>
      </c>
      <c r="BX7" s="78">
        <f t="shared" si="11"/>
        <v>8.4776358520319714E-2</v>
      </c>
      <c r="BZ7" s="77">
        <v>150</v>
      </c>
      <c r="CA7" s="77">
        <v>-150</v>
      </c>
    </row>
    <row r="8" spans="1:79" ht="15" customHeight="1" x14ac:dyDescent="0.25">
      <c r="A8" s="13">
        <f>IF('Alternative 2'!F9&gt;0,'Alternative 2'!F9,"x")</f>
        <v>6</v>
      </c>
      <c r="B8" s="13">
        <f t="shared" si="17"/>
        <v>31</v>
      </c>
      <c r="C8" s="13">
        <f t="shared" si="12"/>
        <v>15.5</v>
      </c>
      <c r="D8" s="13">
        <f t="shared" si="13"/>
        <v>6</v>
      </c>
      <c r="E8" s="74">
        <f>IF($A8&lt;='Alternative 2'!$B$27, IF($A8='Alternative 2'!$B$27,0,E9+1),0)</f>
        <v>10</v>
      </c>
      <c r="F8" s="74">
        <f>IF($A8&lt;=('Alternative 2'!$B$28), IF($A8=ROUNDDOWN('Alternative 2'!$B$28,0),0,F9+1),0)</f>
        <v>16</v>
      </c>
      <c r="G8" s="74">
        <f>IF($A8&lt;=('Alternative 2'!$B$29), IF($A8=ROUNDDOWN('Alternative 2'!$B$29,0),0,G9+1),0)</f>
        <v>23</v>
      </c>
      <c r="H8" s="13">
        <f t="shared" si="14"/>
        <v>31</v>
      </c>
      <c r="J8" s="77">
        <f t="shared" si="15"/>
        <v>5</v>
      </c>
      <c r="K8" s="77">
        <f t="shared" si="16"/>
        <v>8.7266462599716474E-2</v>
      </c>
      <c r="L8" s="78">
        <f>'Alternative 2'!$B$27*SIN(K8)+'Alternative 2'!$B$28*SIN(K8)+'Alternative 2'!$B$29*SIN(K8)</f>
        <v>5.9265905068407552</v>
      </c>
      <c r="M8" s="77">
        <f>(('Alternative 2'!$B$27)*(((('Alternative 2'!$B$28-'Alternative 2'!$B$27)/2)+'Alternative 2'!$B$27)*'Alternative 2'!$B$39)*COS('Alternative 2-Tilt Up'!K8))+(('Alternative 2'!$B$28)*((('Alternative 2'!$B$28-'Alternative 2'!$B$27)/2)+(('Alternative 2'!$B$29-'Alternative 2'!$B$28)/2))*('Alternative 2'!$B$39)*COS('Alternative 2-Tilt Up'!K8))+(('Alternative 2'!$B$29)*((('Alternative 2'!$B$12-'Alternative 2'!$B$29+(('Alternative 2'!$B$29-'Alternative 2'!$B$28)/2)*('Alternative 2'!$B$39)*COS('Alternative 2-Tilt Up'!K8)))))</f>
        <v>4728052.7770724511</v>
      </c>
      <c r="N8" s="77">
        <f t="shared" si="0"/>
        <v>2393308.3135818671</v>
      </c>
      <c r="O8" s="77">
        <f>(((('Alternative 2'!$B$28-'Alternative 2'!$B$27)/2)+'Alternative 2'!$B$27)*('Alternative 2'!$B$39)*COS('Alternative 2-Tilt Up'!K8))+(((('Alternative 2'!$B$28-'Alternative 2'!$B$27)/2)+(('Alternative 2'!$B$29-'Alternative 2'!$B$28)/2))*('Alternative 2'!$B$39)*COS('Alternative 2-Tilt Up'!K8))+(((('Alternative 2'!$B$12-'Alternative 2'!$B$29)+(('Alternative 2'!$B$29-'Alternative 2'!$B$28)/2))*('Alternative 2'!$B$39)*COS('Alternative 2-Tilt Up'!K8)))</f>
        <v>304955.0279601767</v>
      </c>
      <c r="P8" s="77">
        <f t="shared" si="1"/>
        <v>2384201.0528891529</v>
      </c>
      <c r="R8" s="78">
        <f>('Alternative 2'!$B$39*$B8*$C8*COS($K$5))-(($N$5/3)*$E8*SIN($K$5))-(($N$5/3)*$F8*SIN($K$5))-(($N$5/3)*$G8*SIN($K$5))</f>
        <v>665451.93639688706</v>
      </c>
      <c r="S8" s="79">
        <f>IF(($A8&lt;'Alternative 2'!$B$27),(($H8*'Alternative 2'!$B$39)+(3*($N$5/3)*COS($K$5))),IF(($A8&lt;'Alternative 2'!$B$28),(($H8*'Alternative 2'!$B$39)+(2*(($N$5/3)*COS($K$5)))),IF(($A8&lt;'Alternative 2'!$B$29),(($H$3*'Alternative 2'!$B$39+(($N$5/3)*COS($K$5)))),($H8*'Alternative 2'!$B$39))))</f>
        <v>6256018.8841508701</v>
      </c>
      <c r="T8" s="78">
        <f>R8*'Alternative 2'!$K9/'Alternative 2'!$L9</f>
        <v>10626397.259030014</v>
      </c>
      <c r="U8" s="78">
        <f>S8/'Alternative 2'!$M9</f>
        <v>1998006.912421857</v>
      </c>
      <c r="V8" s="78">
        <f t="shared" si="2"/>
        <v>12.62440417145187</v>
      </c>
      <c r="X8" s="78">
        <f>'Alternative 2'!$B$39*$B8*$C8*COS($K$13)-($N$12/3)*$E8*SIN($K$13)-($N$12/3)*$F8*SIN($K$13)-($N$12/3)*$G8*SIN($K$13)</f>
        <v>274192.82459821063</v>
      </c>
      <c r="Y8" s="79">
        <f>IF(($A8&lt;'Alternative 2'!$B$27),(($H8*'Alternative 2'!$B$39)+(3*($N$12/3)*COS($K$13))),IF(($A8&lt;'Alternative 2'!$B$28),(($H8*'Alternative 2'!$B$39)+(2*(($N$12/3)*COS($K$13)))),IF(($A8&lt;'Alternative 2'!$B$29),(($H$3*'Alternative 2'!$B$39+(($N$12/3)*COS($K$13)))),($H8*'Alternative 2'!$B$39))))</f>
        <v>1565538.9389537929</v>
      </c>
      <c r="Z8" s="78">
        <f>X8*'Alternative 2'!$K9/'Alternative 2'!$L9</f>
        <v>4378500.8659413578</v>
      </c>
      <c r="AA8" s="78">
        <f>Y8/'Alternative 2'!$M9</f>
        <v>499991.7167161518</v>
      </c>
      <c r="AB8" s="78">
        <f t="shared" si="3"/>
        <v>4.8784925826575094</v>
      </c>
      <c r="AD8" s="78">
        <f>'Alternative 2'!$B$39*$B8*$C8*COS($K$23)-($N$22/3)*$E8*SIN($K$23)-($N$22/3)*$F8*SIN($K$23)-($N$22/3)*$G8*SIN($K$23)</f>
        <v>442361.31475133379</v>
      </c>
      <c r="AE8" s="79">
        <f>IF(($A8&lt;'Alternative 2'!$B$27),(($H8*'Alternative 2'!$B$39)+(3*($N$22/3)*COS($K$23))),IF(($A8&lt;'Alternative 2'!$B$28),(($H8*'Alternative 2'!$B$39)+(2*(($N$22/3)*COS($K$23)))),IF(($A8&lt;'Alternative 2'!$B$29),(($H$3*'Alternative 2'!$B$39+(($N$22/3)*COS($K$23)))),($H8*'Alternative 2'!$B$39))))</f>
        <v>835036.30808530527</v>
      </c>
      <c r="AF8" s="78">
        <f>AD8*'Alternative 2'!$K9/'Alternative 2'!$L9</f>
        <v>7063931.7514449377</v>
      </c>
      <c r="AG8" s="78">
        <f>AE8/'Alternative 2'!$M9</f>
        <v>266688.50375507149</v>
      </c>
      <c r="AH8" s="78">
        <f t="shared" si="4"/>
        <v>7.3306202552000093</v>
      </c>
      <c r="AJ8" s="78">
        <f>'Alternative 2'!$B$39*$B8*$C8*COS($K$33)-($N$32/3)*$E8*SIN($K$33)-($N$32/3)*$F8*SIN($K$33)-($N$32/3)*$G8*SIN($K$33)</f>
        <v>453516.88656830229</v>
      </c>
      <c r="AK8" s="79">
        <f>IF(($A8&lt;'Alternative 2'!$B$27),(($H8*'Alternative 2'!$B$39)+(3*($N$32/3)*COS($K$33))),IF(($A8&lt;'Alternative 2'!$B$28),(($H8*'Alternative 2'!$B$39)+(2*(($N$32/3)*COS($K$33)))),IF(($A8&lt;'Alternative 2'!$B$29),(($H$3*'Alternative 2'!$B$39+(($N$32/3)*COS($K$33)))),($H8*'Alternative 2'!$B$39))))</f>
        <v>590741.70237167517</v>
      </c>
      <c r="AL8" s="78">
        <f>AJ8*'Alternative 2'!$K9/'Alternative 2'!$L9</f>
        <v>7242071.645996307</v>
      </c>
      <c r="AM8" s="78">
        <f>AK8/'Alternative 2'!$M9</f>
        <v>188667.27013639209</v>
      </c>
      <c r="AN8" s="78">
        <f t="shared" si="5"/>
        <v>7.4307389161326984</v>
      </c>
      <c r="AP8" s="78">
        <f>'Alternative 2'!$B$39*$B8*$C8*COS($K$43)-($N$42/3)*$E8*SIN($K$43)-($N$42/3)*$F8*SIN($K$43)-($N$42/3)*$G8*SIN($K$43)</f>
        <v>415200.71380613325</v>
      </c>
      <c r="AQ8" s="79">
        <f>IF(($A8&lt;'Alternative 2'!$B$27),(($H8*'Alternative 2'!$B$39)+(3*($N$42/3)*COS($K$43))),IF(($A8&lt;'Alternative 2'!$B$28),(($H8*'Alternative 2'!$B$39)+(2*(($N$42/3)*COS($K$43)))),IF(($A8&lt;'Alternative 2'!$B$29),(($H$3*'Alternative 2'!$B$39+(($N$42/3)*COS($K$43)))),($H8*'Alternative 2'!$B$39))))</f>
        <v>461683.08258329809</v>
      </c>
      <c r="AR8" s="78">
        <f>AP8*'Alternative 2'!$K9/'Alternative 2'!$L9</f>
        <v>6630212.4703794606</v>
      </c>
      <c r="AS8" s="78">
        <f>AQ8/'Alternative 2'!$M9</f>
        <v>147449.36155589376</v>
      </c>
      <c r="AT8" s="78">
        <f t="shared" si="6"/>
        <v>6.7776618319353545</v>
      </c>
      <c r="AV8" s="78">
        <f>'Alternative 2'!$B$39*$B8*$C8*COS($K$53)-($N$52/3)*$E8*SIN($K$53)-($N$52/3)*$F8*SIN($K$53)-($N$52/3)*$G8*SIN($K$53)</f>
        <v>348869.64225228294</v>
      </c>
      <c r="AW8" s="79">
        <f>IF(($A8&lt;'Alternative 2'!$B$27),(($H8*'Alternative 2'!$B$39)+(3*($N$52/3)*COS($K$53))),IF(($A8&lt;'Alternative 2'!$B$28),(($H8*'Alternative 2'!$B$39)+(2*(($N$52/3)*COS($K$53)))),IF(($A8&lt;'Alternative 2'!$B$29),(($H$3*'Alternative 2'!$B$39+(($N$52/3)*COS($K$53)))),($H8*'Alternative 2'!$B$39))))</f>
        <v>380604.44826115685</v>
      </c>
      <c r="AX8" s="78">
        <f>AV8*'Alternative 2'!$K9/'Alternative 2'!$L9</f>
        <v>5570991.9941947348</v>
      </c>
      <c r="AY8" s="78">
        <f>AW8/'Alternative 2'!$M9</f>
        <v>121554.99089857917</v>
      </c>
      <c r="AZ8" s="78">
        <f t="shared" si="7"/>
        <v>5.6925469850933146</v>
      </c>
      <c r="BB8" s="78">
        <f>'Alternative 2'!$B$39*$B8*$C8*COS($K$63)-($N$62/3)*$E8*SIN($K$63)-($N$62/3)*$F8*SIN($K$63)-($N$62/3)*$G8*SIN($K$63)</f>
        <v>263226.78223012993</v>
      </c>
      <c r="BC8" s="79">
        <f>IF(($A8&lt;'Alternative 2'!$B$27),(($H8*'Alternative 2'!$B$39)+(3*($N$62/3)*COS($K$63))),IF(($A8&lt;'Alternative 2'!$B$28),(($H8*'Alternative 2'!$B$39)+(2*(($N$62/3)*COS($K$63)))),IF(($A8&lt;'Alternative 2'!$B$29),(($H$3*'Alternative 2'!$B$39+(($N$62/3)*COS($K$63)))),($H8*'Alternative 2'!$B$39))))</f>
        <v>326511.98964889429</v>
      </c>
      <c r="BD8" s="78">
        <f>BB8*'Alternative 2'!$K9/'Alternative 2'!$L9</f>
        <v>4203387.5088542439</v>
      </c>
      <c r="BE8" s="78">
        <f>BC8/'Alternative 2'!$M9</f>
        <v>104279.29077385631</v>
      </c>
      <c r="BF8" s="78">
        <f t="shared" si="8"/>
        <v>4.3076667996281</v>
      </c>
      <c r="BH8" s="78">
        <f>'Alternative 2'!$B$39*$B8*$C8*COS($K$73)-($N$72/3)*$E8*SIN($K$73)-($N$72/3)*$F8*SIN($K$73)-($N$72/3)*$G8*SIN($K$73)</f>
        <v>163712.1418192467</v>
      </c>
      <c r="BI8" s="79">
        <f>IF(($A8&lt;'Alternative 2'!$B$27),(($H8*'Alternative 2'!$B$39)+(3*($N$72/3)*COS($K$73))),IF(($A8&lt;'Alternative 2'!$B$28),(($H8*'Alternative 2'!$B$39)+(2*(($N$72/3)*COS($K$73)))),IF(($A8&lt;'Alternative 2'!$B$29),(($H$3*'Alternative 2'!$B$39+(($N$72/3)*COS($K$73)))),($H8*'Alternative 2'!$B$39))))</f>
        <v>291095.58125886344</v>
      </c>
      <c r="BJ8" s="78">
        <f>BH8*'Alternative 2'!$K9/'Alternative 2'!$L9</f>
        <v>2614268.8298684382</v>
      </c>
      <c r="BK8" s="78">
        <f>BI8/'Alternative 2'!$M9</f>
        <v>92968.226966854767</v>
      </c>
      <c r="BL8" s="78">
        <f t="shared" si="9"/>
        <v>2.707237056835293</v>
      </c>
      <c r="BN8" s="78">
        <f>'Alternative 2'!$B$39*$B8*$C8*COS($K$83)-($N$82/3)*$E8*SIN($K$83)-($N$82/3)*$F8*SIN($K$83)-($N$82/3)*$G8*SIN($K$83)</f>
        <v>54706.276519762119</v>
      </c>
      <c r="BO8" s="79">
        <f>IF(($A8&lt;'Alternative 2'!$B$27),(($H8*'Alternative 2'!$B$39)+(3*($N$82/3)*COS($K$83))),IF(($A8&lt;'Alternative 2'!$B$28),(($H8*'Alternative 2'!$B$39)+(2*(($N$82/3)*COS($K$83)))),IF(($A8&lt;'Alternative 2'!$B$29),(($H$3*'Alternative 2'!$B$39+(($N$82/3)*COS($K$83)))),($H8*'Alternative 2'!$B$39))))</f>
        <v>270672.10301904171</v>
      </c>
      <c r="BP8" s="78">
        <f>BN8*'Alternative 2'!$K9/'Alternative 2'!$L9</f>
        <v>873587.70042653033</v>
      </c>
      <c r="BQ8" s="78">
        <f>BO8/'Alternative 2'!$M9</f>
        <v>86445.508373047342</v>
      </c>
      <c r="BR8" s="78">
        <f t="shared" si="10"/>
        <v>0.96003320879957765</v>
      </c>
      <c r="BT8" s="78">
        <f>'Alternative 2'!$B$39*$B8*$C8*COS($K$93)-($K$92/3)*$E8*SIN($K$93)-($K$92/3)*$F8*SIN($K$93)-($K$92/3)*$G8*SIN($K$93)</f>
        <v>-25.37126955957395</v>
      </c>
      <c r="BU8" s="79">
        <f>IF(($A8&lt;'Alternative 2'!$B$27),(($H8*'Alternative 2'!$B$39)+(3*($N$92/3)*COS($K$93))),IF(($A8&lt;'Alternative 2'!$B$28),(($H8*'Alternative 2'!$B$39)+(2*(($N$92/3)*COS($K$93)))),IF(($A8&lt;'Alternative 2'!$B$29),(($H$3*'Alternative 2'!$B$39+(($N$92/3)*COS($K$93)))),($H8*'Alternative 2'!$B$39))))</f>
        <v>263603.2529270933</v>
      </c>
      <c r="BV8" s="78">
        <f>BT8*'Alternative 2'!$K9/'Alternative 2'!$L9</f>
        <v>-405.14599862126045</v>
      </c>
      <c r="BW8" s="78">
        <f>BU8/'Alternative 2'!$M9</f>
        <v>84187.904678408915</v>
      </c>
      <c r="BX8" s="78">
        <f t="shared" si="11"/>
        <v>8.3782758679787656E-2</v>
      </c>
      <c r="BZ8" s="77">
        <v>150</v>
      </c>
      <c r="CA8" s="77">
        <v>-150</v>
      </c>
    </row>
    <row r="9" spans="1:79" ht="15" customHeight="1" x14ac:dyDescent="0.25">
      <c r="A9" s="13">
        <f>IF('Alternative 2'!F10&gt;0,'Alternative 2'!F10,"x")</f>
        <v>7</v>
      </c>
      <c r="B9" s="13">
        <f t="shared" si="17"/>
        <v>30</v>
      </c>
      <c r="C9" s="13">
        <f t="shared" si="12"/>
        <v>15</v>
      </c>
      <c r="D9" s="13">
        <f t="shared" si="13"/>
        <v>7</v>
      </c>
      <c r="E9" s="74">
        <f>IF($A9&lt;='Alternative 2'!$B$27, IF($A9='Alternative 2'!$B$27,0,E10+1),0)</f>
        <v>9</v>
      </c>
      <c r="F9" s="74">
        <f>IF($A9&lt;=('Alternative 2'!$B$28), IF($A9=ROUNDDOWN('Alternative 2'!$B$28,0),0,F10+1),0)</f>
        <v>15</v>
      </c>
      <c r="G9" s="74">
        <f>IF($A9&lt;=('Alternative 2'!$B$29), IF($A9=ROUNDDOWN('Alternative 2'!$B$29,0),0,G10+1),0)</f>
        <v>22</v>
      </c>
      <c r="H9" s="13">
        <f t="shared" si="14"/>
        <v>30</v>
      </c>
      <c r="J9" s="77">
        <f t="shared" si="15"/>
        <v>6</v>
      </c>
      <c r="K9" s="77">
        <f t="shared" si="16"/>
        <v>0.10471975511965977</v>
      </c>
      <c r="L9" s="78">
        <f>'Alternative 2'!$B$27*SIN(K9)+'Alternative 2'!$B$28*SIN(K9)+'Alternative 2'!$B$29*SIN(K9)</f>
        <v>7.1079355022004354</v>
      </c>
      <c r="M9" s="77">
        <f>(('Alternative 2'!$B$27)*(((('Alternative 2'!$B$28-'Alternative 2'!$B$27)/2)+'Alternative 2'!$B$27)*'Alternative 2'!$B$39)*COS('Alternative 2-Tilt Up'!K9))+(('Alternative 2'!$B$28)*((('Alternative 2'!$B$28-'Alternative 2'!$B$27)/2)+(('Alternative 2'!$B$29-'Alternative 2'!$B$28)/2))*('Alternative 2'!$B$39)*COS('Alternative 2-Tilt Up'!K9))+(('Alternative 2'!$B$29)*((('Alternative 2'!$B$12-'Alternative 2'!$B$29+(('Alternative 2'!$B$29-'Alternative 2'!$B$28)/2)*('Alternative 2'!$B$39)*COS('Alternative 2-Tilt Up'!K9)))))</f>
        <v>4720113.7945370898</v>
      </c>
      <c r="N9" s="77">
        <f t="shared" si="0"/>
        <v>1992187.6583190139</v>
      </c>
      <c r="O9" s="77">
        <f>(((('Alternative 2'!$B$28-'Alternative 2'!$B$27)/2)+'Alternative 2'!$B$27)*('Alternative 2'!$B$39)*COS('Alternative 2-Tilt Up'!K9))+(((('Alternative 2'!$B$28-'Alternative 2'!$B$27)/2)+(('Alternative 2'!$B$29-'Alternative 2'!$B$28)/2))*('Alternative 2'!$B$39)*COS('Alternative 2-Tilt Up'!K9))+(((('Alternative 2'!$B$12-'Alternative 2'!$B$29)+(('Alternative 2'!$B$29-'Alternative 2'!$B$28)/2))*('Alternative 2'!$B$39)*COS('Alternative 2-Tilt Up'!K9)))</f>
        <v>304442.94974666531</v>
      </c>
      <c r="P9" s="77">
        <f t="shared" si="1"/>
        <v>1981274.2458807076</v>
      </c>
      <c r="R9" s="78">
        <f>('Alternative 2'!$B$39*$B9*$C9*COS($K$5))-(($N$5/3)*$E9*SIN($K$5))-(($N$5/3)*$F9*SIN($K$5))-(($N$5/3)*$G9*SIN($K$5))</f>
        <v>615518.10377599089</v>
      </c>
      <c r="S9" s="79">
        <f>IF(($A9&lt;'Alternative 2'!$B$27),(($H9*'Alternative 2'!$B$39)+(3*($N$5/3)*COS($K$5))),IF(($A9&lt;'Alternative 2'!$B$28),(($H9*'Alternative 2'!$B$39)+(2*(($N$5/3)*COS($K$5)))),IF(($A9&lt;'Alternative 2'!$B$29),(($H$3*'Alternative 2'!$B$39+(($N$5/3)*COS($K$5)))),($H9*'Alternative 2'!$B$39))))</f>
        <v>6247515.5534112863</v>
      </c>
      <c r="T9" s="78">
        <f>R9*'Alternative 2'!$K10/'Alternative 2'!$L10</f>
        <v>10027799.002435122</v>
      </c>
      <c r="U9" s="78">
        <f>S9/'Alternative 2'!$M10</f>
        <v>2035643.4692870143</v>
      </c>
      <c r="V9" s="78">
        <f t="shared" si="2"/>
        <v>12.063442471722135</v>
      </c>
      <c r="X9" s="78">
        <f>'Alternative 2'!$B$39*$B9*$C9*COS($K$13)-($N$12/3)*$E9*SIN($K$13)-($N$12/3)*$F9*SIN($K$13)-($N$12/3)*$G9*SIN($K$13)</f>
        <v>248347.75900944672</v>
      </c>
      <c r="Y9" s="79">
        <f>IF(($A9&lt;'Alternative 2'!$B$27),(($H9*'Alternative 2'!$B$39)+(3*($N$12/3)*COS($K$13))),IF(($A9&lt;'Alternative 2'!$B$28),(($H9*'Alternative 2'!$B$39)+(2*(($N$12/3)*COS($K$13)))),IF(($A9&lt;'Alternative 2'!$B$29),(($H$3*'Alternative 2'!$B$39+(($N$12/3)*COS($K$13)))),($H9*'Alternative 2'!$B$39))))</f>
        <v>1557035.6082142093</v>
      </c>
      <c r="Z9" s="78">
        <f>X9*'Alternative 2'!$K10/'Alternative 2'!$L10</f>
        <v>4045992.1402381151</v>
      </c>
      <c r="AA9" s="78">
        <f>Y9/'Alternative 2'!$M10</f>
        <v>507332.7693562815</v>
      </c>
      <c r="AB9" s="78">
        <f t="shared" si="3"/>
        <v>4.5533249095943962</v>
      </c>
      <c r="AD9" s="78">
        <f>'Alternative 2'!$B$39*$B9*$C9*COS($K$23)-($N$22/3)*$E9*SIN($K$23)-($N$22/3)*$F9*SIN($K$23)-($N$22/3)*$G9*SIN($K$23)</f>
        <v>406635.16468801256</v>
      </c>
      <c r="AE9" s="79">
        <f>IF(($A9&lt;'Alternative 2'!$B$27),(($H9*'Alternative 2'!$B$39)+(3*($N$22/3)*COS($K$23))),IF(($A9&lt;'Alternative 2'!$B$28),(($H9*'Alternative 2'!$B$39)+(2*(($N$22/3)*COS($K$23)))),IF(($A9&lt;'Alternative 2'!$B$29),(($H$3*'Alternative 2'!$B$39+(($N$22/3)*COS($K$23)))),($H9*'Alternative 2'!$B$39))))</f>
        <v>826532.97734572156</v>
      </c>
      <c r="AF9" s="78">
        <f>AD9*'Alternative 2'!$K10/'Alternative 2'!$L10</f>
        <v>6624753.4780837223</v>
      </c>
      <c r="AG9" s="78">
        <f>AE9/'Alternative 2'!$M10</f>
        <v>269311.28751899977</v>
      </c>
      <c r="AH9" s="78">
        <f t="shared" si="4"/>
        <v>6.8940647656027219</v>
      </c>
      <c r="AJ9" s="78">
        <f>'Alternative 2'!$B$39*$B9*$C9*COS($K$33)-($N$32/3)*$E9*SIN($K$33)-($N$32/3)*$F9*SIN($K$33)-($N$32/3)*$G9*SIN($K$33)</f>
        <v>417785.29508096073</v>
      </c>
      <c r="AK9" s="79">
        <f>IF(($A9&lt;'Alternative 2'!$B$27),(($H9*'Alternative 2'!$B$39)+(3*($N$32/3)*COS($K$33))),IF(($A9&lt;'Alternative 2'!$B$28),(($H9*'Alternative 2'!$B$39)+(2*(($N$32/3)*COS($K$33)))),IF(($A9&lt;'Alternative 2'!$B$29),(($H$3*'Alternative 2'!$B$39+(($N$32/3)*COS($K$33)))),($H9*'Alternative 2'!$B$39))))</f>
        <v>582238.37163209147</v>
      </c>
      <c r="AL9" s="78">
        <f>AJ9*'Alternative 2'!$K10/'Alternative 2'!$L10</f>
        <v>6806407.3819177505</v>
      </c>
      <c r="AM9" s="78">
        <f>AK9/'Alternative 2'!$M10</f>
        <v>189712.17096594663</v>
      </c>
      <c r="AN9" s="78">
        <f t="shared" si="5"/>
        <v>6.9961195528836964</v>
      </c>
      <c r="AP9" s="78">
        <f>'Alternative 2'!$B$39*$B9*$C9*COS($K$43)-($N$42/3)*$E9*SIN($K$43)-($N$42/3)*$F9*SIN($K$43)-($N$42/3)*$G9*SIN($K$43)</f>
        <v>382734.58335195761</v>
      </c>
      <c r="AQ9" s="79">
        <f>IF(($A9&lt;'Alternative 2'!$B$27),(($H9*'Alternative 2'!$B$39)+(3*($N$42/3)*COS($K$43))),IF(($A9&lt;'Alternative 2'!$B$28),(($H9*'Alternative 2'!$B$39)+(2*(($N$42/3)*COS($K$43)))),IF(($A9&lt;'Alternative 2'!$B$29),(($H$3*'Alternative 2'!$B$39+(($N$42/3)*COS($K$43)))),($H9*'Alternative 2'!$B$39))))</f>
        <v>453179.75184371439</v>
      </c>
      <c r="AR9" s="78">
        <f>AP9*'Alternative 2'!$K10/'Alternative 2'!$L10</f>
        <v>6235373.825058056</v>
      </c>
      <c r="AS9" s="78">
        <f>AQ9/'Alternative 2'!$M10</f>
        <v>147660.68117270299</v>
      </c>
      <c r="AT9" s="78">
        <f t="shared" si="6"/>
        <v>6.3830345062307599</v>
      </c>
      <c r="AV9" s="78">
        <f>'Alternative 2'!$B$39*$B9*$C9*COS($K$53)-($N$52/3)*$E9*SIN($K$53)-($N$52/3)*$F9*SIN($K$53)-($N$52/3)*$G9*SIN($K$53)</f>
        <v>321598.2500951027</v>
      </c>
      <c r="AW9" s="79">
        <f>IF(($A9&lt;'Alternative 2'!$B$27),(($H9*'Alternative 2'!$B$39)+(3*($N$52/3)*COS($K$53))),IF(($A9&lt;'Alternative 2'!$B$28),(($H9*'Alternative 2'!$B$39)+(2*(($N$52/3)*COS($K$53)))),IF(($A9&lt;'Alternative 2'!$B$29),(($H$3*'Alternative 2'!$B$39+(($N$52/3)*COS($K$53)))),($H9*'Alternative 2'!$B$39))))</f>
        <v>372101.11752157321</v>
      </c>
      <c r="AX9" s="78">
        <f>AV9*'Alternative 2'!$K10/'Alternative 2'!$L10</f>
        <v>5239362.7282524519</v>
      </c>
      <c r="AY9" s="78">
        <f>AW9/'Alternative 2'!$M10</f>
        <v>121242.62890127533</v>
      </c>
      <c r="AZ9" s="78">
        <f t="shared" si="7"/>
        <v>5.3606053571537267</v>
      </c>
      <c r="BB9" s="78">
        <f>'Alternative 2'!$B$39*$B9*$C9*COS($K$63)-($N$62/3)*$E9*SIN($K$63)-($N$62/3)*$F9*SIN($K$63)-($N$62/3)*$G9*SIN($K$63)</f>
        <v>242512.11669361242</v>
      </c>
      <c r="BC9" s="79">
        <f>IF(($A9&lt;'Alternative 2'!$B$27),(($H9*'Alternative 2'!$B$39)+(3*($N$62/3)*COS($K$63))),IF(($A9&lt;'Alternative 2'!$B$28),(($H9*'Alternative 2'!$B$39)+(2*(($N$62/3)*COS($K$63)))),IF(($A9&lt;'Alternative 2'!$B$29),(($H$3*'Alternative 2'!$B$39+(($N$62/3)*COS($K$63)))),($H9*'Alternative 2'!$B$39))))</f>
        <v>318008.65890931064</v>
      </c>
      <c r="BD9" s="78">
        <f>BB9*'Alternative 2'!$K10/'Alternative 2'!$L10</f>
        <v>3950919.9598517059</v>
      </c>
      <c r="BE9" s="78">
        <f>BC9/'Alternative 2'!$M10</f>
        <v>103617.54911230125</v>
      </c>
      <c r="BF9" s="78">
        <f t="shared" si="8"/>
        <v>4.0545375089640077</v>
      </c>
      <c r="BH9" s="78">
        <f>'Alternative 2'!$B$39*$B9*$C9*COS($K$73)-($N$72/3)*$E9*SIN($K$73)-($N$72/3)*$F9*SIN($K$73)-($N$72/3)*$G9*SIN($K$73)</f>
        <v>150543.22597092972</v>
      </c>
      <c r="BI9" s="79">
        <f>IF(($A9&lt;'Alternative 2'!$B$27),(($H9*'Alternative 2'!$B$39)+(3*($N$72/3)*COS($K$73))),IF(($A9&lt;'Alternative 2'!$B$28),(($H9*'Alternative 2'!$B$39)+(2*(($N$72/3)*COS($K$73)))),IF(($A9&lt;'Alternative 2'!$B$29),(($H$3*'Alternative 2'!$B$39+(($N$72/3)*COS($K$73)))),($H9*'Alternative 2'!$B$39))))</f>
        <v>282592.2505192798</v>
      </c>
      <c r="BJ9" s="78">
        <f>BH9*'Alternative 2'!$K10/'Alternative 2'!$L10</f>
        <v>2452595.9544547494</v>
      </c>
      <c r="BK9" s="78">
        <f>BI9/'Alternative 2'!$M10</f>
        <v>92077.733032067175</v>
      </c>
      <c r="BL9" s="78">
        <f t="shared" si="9"/>
        <v>2.5446736874868168</v>
      </c>
      <c r="BN9" s="78">
        <f>'Alternative 2'!$B$39*$B9*$C9*COS($K$83)-($N$82/3)*$E9*SIN($K$83)-($N$82/3)*$F9*SIN($K$83)-($N$82/3)*$G9*SIN($K$83)</f>
        <v>49759.786977481213</v>
      </c>
      <c r="BO9" s="79">
        <f>IF(($A9&lt;'Alternative 2'!$B$27),(($H9*'Alternative 2'!$B$39)+(3*($N$82/3)*COS($K$83))),IF(($A9&lt;'Alternative 2'!$B$28),(($H9*'Alternative 2'!$B$39)+(2*(($N$82/3)*COS($K$83)))),IF(($A9&lt;'Alternative 2'!$B$29),(($H$3*'Alternative 2'!$B$39+(($N$82/3)*COS($K$83)))),($H9*'Alternative 2'!$B$39))))</f>
        <v>262168.772279458</v>
      </c>
      <c r="BP9" s="78">
        <f>BN9*'Alternative 2'!$K10/'Alternative 2'!$L10</f>
        <v>810668.50699125393</v>
      </c>
      <c r="BQ9" s="78">
        <f>BO9/'Alternative 2'!$M10</f>
        <v>85423.1005235786</v>
      </c>
      <c r="BR9" s="78">
        <f t="shared" si="10"/>
        <v>0.89609160751483252</v>
      </c>
      <c r="BT9" s="78">
        <f>'Alternative 2'!$B$39*$B9*$C9*COS($K$93)-($K$92/3)*$E9*SIN($K$93)-($K$92/3)*$F9*SIN($K$93)-($K$92/3)*$G9*SIN($K$93)</f>
        <v>-23.817926525314881</v>
      </c>
      <c r="BU9" s="79">
        <f>IF(($A9&lt;'Alternative 2'!$B$27),(($H9*'Alternative 2'!$B$39)+(3*($N$92/3)*COS($K$93))),IF(($A9&lt;'Alternative 2'!$B$28),(($H9*'Alternative 2'!$B$39)+(2*(($N$92/3)*COS($K$93)))),IF(($A9&lt;'Alternative 2'!$B$29),(($H$3*'Alternative 2'!$B$39+(($N$92/3)*COS($K$93)))),($H9*'Alternative 2'!$B$39))))</f>
        <v>255099.92218750963</v>
      </c>
      <c r="BV9" s="78">
        <f>BT9*'Alternative 2'!$K10/'Alternative 2'!$L10</f>
        <v>-388.03307065286339</v>
      </c>
      <c r="BW9" s="78">
        <f>BU9/'Alternative 2'!$M10</f>
        <v>83119.839586967326</v>
      </c>
      <c r="BX9" s="78">
        <f t="shared" si="11"/>
        <v>8.2731806516314468E-2</v>
      </c>
      <c r="BZ9" s="77">
        <v>150</v>
      </c>
      <c r="CA9" s="77">
        <v>-150</v>
      </c>
    </row>
    <row r="10" spans="1:79" ht="15" customHeight="1" x14ac:dyDescent="0.25">
      <c r="A10" s="13">
        <f>IF('Alternative 2'!F11&gt;0,'Alternative 2'!F11,"x")</f>
        <v>8</v>
      </c>
      <c r="B10" s="13">
        <f t="shared" si="17"/>
        <v>29</v>
      </c>
      <c r="C10" s="13">
        <f t="shared" si="12"/>
        <v>14.5</v>
      </c>
      <c r="D10" s="13">
        <f t="shared" si="13"/>
        <v>8</v>
      </c>
      <c r="E10" s="74">
        <f>IF($A10&lt;='Alternative 2'!$B$27, IF($A10='Alternative 2'!$B$27,0,E11+1),0)</f>
        <v>8</v>
      </c>
      <c r="F10" s="74">
        <f>IF($A10&lt;=('Alternative 2'!$B$28), IF($A10=ROUNDDOWN('Alternative 2'!$B$28,0),0,F11+1),0)</f>
        <v>14</v>
      </c>
      <c r="G10" s="74">
        <f>IF($A10&lt;=('Alternative 2'!$B$29), IF($A10=ROUNDDOWN('Alternative 2'!$B$29,0),0,G11+1),0)</f>
        <v>21</v>
      </c>
      <c r="H10" s="13">
        <f t="shared" si="14"/>
        <v>29</v>
      </c>
      <c r="J10" s="77">
        <f t="shared" si="15"/>
        <v>7</v>
      </c>
      <c r="K10" s="77">
        <f t="shared" si="16"/>
        <v>0.12217304763960307</v>
      </c>
      <c r="L10" s="78">
        <f>'Alternative 2'!$B$27*SIN(K10)+'Alternative 2'!$B$28*SIN(K10)+'Alternative 2'!$B$29*SIN(K10)</f>
        <v>8.2871153515500282</v>
      </c>
      <c r="M10" s="77">
        <f>(('Alternative 2'!$B$27)*(((('Alternative 2'!$B$28-'Alternative 2'!$B$27)/2)+'Alternative 2'!$B$27)*'Alternative 2'!$B$39)*COS('Alternative 2-Tilt Up'!K10))+(('Alternative 2'!$B$28)*((('Alternative 2'!$B$28-'Alternative 2'!$B$27)/2)+(('Alternative 2'!$B$29-'Alternative 2'!$B$28)/2))*('Alternative 2'!$B$39)*COS('Alternative 2-Tilt Up'!K10))+(('Alternative 2'!$B$29)*((('Alternative 2'!$B$12-'Alternative 2'!$B$29+(('Alternative 2'!$B$29-'Alternative 2'!$B$28)/2)*('Alternative 2'!$B$39)*COS('Alternative 2-Tilt Up'!K10)))))</f>
        <v>4710737.0792062711</v>
      </c>
      <c r="N10" s="77">
        <f t="shared" si="0"/>
        <v>1705323.3408867072</v>
      </c>
      <c r="O10" s="77">
        <f>(((('Alternative 2'!$B$28-'Alternative 2'!$B$27)/2)+'Alternative 2'!$B$27)*('Alternative 2'!$B$39)*COS('Alternative 2-Tilt Up'!K10))+(((('Alternative 2'!$B$28-'Alternative 2'!$B$27)/2)+(('Alternative 2'!$B$29-'Alternative 2'!$B$28)/2))*('Alternative 2'!$B$39)*COS('Alternative 2-Tilt Up'!K10))+(((('Alternative 2'!$B$12-'Alternative 2'!$B$29)+(('Alternative 2'!$B$29-'Alternative 2'!$B$28)/2))*('Alternative 2'!$B$39)*COS('Alternative 2-Tilt Up'!K10)))</f>
        <v>303838.13526145602</v>
      </c>
      <c r="P10" s="77">
        <f t="shared" si="1"/>
        <v>1692612.1193012234</v>
      </c>
      <c r="R10" s="78">
        <f>('Alternative 2'!$B$39*$B10*$C10*COS($K$5))-(($N$5/3)*$E10*SIN($K$5))-(($N$5/3)*$F10*SIN($K$5))-(($N$5/3)*$G10*SIN($K$5))</f>
        <v>574082.42189534474</v>
      </c>
      <c r="S10" s="79">
        <f>IF(($A10&lt;'Alternative 2'!$B$27),(($H10*'Alternative 2'!$B$39)+(3*($N$5/3)*COS($K$5))),IF(($A10&lt;'Alternative 2'!$B$28),(($H10*'Alternative 2'!$B$39)+(2*(($N$5/3)*COS($K$5)))),IF(($A10&lt;'Alternative 2'!$B$29),(($H$3*'Alternative 2'!$B$39+(($N$5/3)*COS($K$5)))),($H10*'Alternative 2'!$B$39))))</f>
        <v>6239012.2226717025</v>
      </c>
      <c r="T10" s="78">
        <f>R10*'Alternative 2'!$K11/'Alternative 2'!$L11</f>
        <v>9543823.6154718492</v>
      </c>
      <c r="U10" s="78">
        <f>S10/'Alternative 2'!$M11</f>
        <v>2074405.1047934899</v>
      </c>
      <c r="V10" s="78">
        <f t="shared" si="2"/>
        <v>11.618228720265341</v>
      </c>
      <c r="X10" s="78">
        <f>'Alternative 2'!$B$39*$B10*$C10*COS($K$13)-($N$12/3)*$E10*SIN($K$13)-($N$12/3)*$F10*SIN($K$13)-($N$12/3)*$G10*SIN($K$13)</f>
        <v>230876.83945945278</v>
      </c>
      <c r="Y10" s="79">
        <f>IF(($A10&lt;'Alternative 2'!$B$27),(($H10*'Alternative 2'!$B$39)+(3*($N$12/3)*COS($K$13))),IF(($A10&lt;'Alternative 2'!$B$28),(($H10*'Alternative 2'!$B$39)+(2*(($N$12/3)*COS($K$13)))),IF(($A10&lt;'Alternative 2'!$B$29),(($H$3*'Alternative 2'!$B$39+(($N$12/3)*COS($K$13)))),($H10*'Alternative 2'!$B$39))))</f>
        <v>1548532.2774746255</v>
      </c>
      <c r="Z10" s="78">
        <f>X10*'Alternative 2'!$K11/'Alternative 2'!$L11</f>
        <v>3838208.1538464478</v>
      </c>
      <c r="AA10" s="78">
        <f>Y10/'Alternative 2'!$M11</f>
        <v>514870.48697514355</v>
      </c>
      <c r="AB10" s="78">
        <f t="shared" si="3"/>
        <v>4.3530786408215913</v>
      </c>
      <c r="AD10" s="78">
        <f>'Alternative 2'!$B$39*$B10*$C10*COS($K$23)-($N$22/3)*$E10*SIN($K$23)-($N$22/3)*$F10*SIN($K$23)-($N$22/3)*$G10*SIN($K$23)</f>
        <v>378899.53177278093</v>
      </c>
      <c r="AE10" s="79">
        <f>IF(($A10&lt;'Alternative 2'!$B$27),(($H10*'Alternative 2'!$B$39)+(3*($N$22/3)*COS($K$23))),IF(($A10&lt;'Alternative 2'!$B$28),(($H10*'Alternative 2'!$B$39)+(2*(($N$22/3)*COS($K$23)))),IF(($A10&lt;'Alternative 2'!$B$29),(($H$3*'Alternative 2'!$B$39+(($N$22/3)*COS($K$23)))),($H10*'Alternative 2'!$B$39))))</f>
        <v>818029.64660613798</v>
      </c>
      <c r="AF10" s="78">
        <f>AD10*'Alternative 2'!$K11/'Alternative 2'!$L11</f>
        <v>6299008.9250346664</v>
      </c>
      <c r="AG10" s="78">
        <f>AE10/'Alternative 2'!$M11</f>
        <v>271986.14367604512</v>
      </c>
      <c r="AH10" s="78">
        <f t="shared" si="4"/>
        <v>6.5709950687107117</v>
      </c>
      <c r="AJ10" s="78">
        <f>'Alternative 2'!$B$39*$B10*$C10*COS($K$33)-($N$32/3)*$E10*SIN($K$33)-($N$32/3)*$F10*SIN($K$33)-($N$32/3)*$G10*SIN($K$33)</f>
        <v>389417.80403088033</v>
      </c>
      <c r="AK10" s="79">
        <f>IF(($A10&lt;'Alternative 2'!$B$27),(($H10*'Alternative 2'!$B$39)+(3*($N$32/3)*COS($K$33))),IF(($A10&lt;'Alternative 2'!$B$28),(($H10*'Alternative 2'!$B$39)+(2*(($N$32/3)*COS($K$33)))),IF(($A10&lt;'Alternative 2'!$B$29),(($H$3*'Alternative 2'!$B$39+(($N$32/3)*COS($K$33)))),($H10*'Alternative 2'!$B$39))))</f>
        <v>573735.04089250788</v>
      </c>
      <c r="AL10" s="78">
        <f>AJ10*'Alternative 2'!$K11/'Alternative 2'!$L11</f>
        <v>6473869.7661650907</v>
      </c>
      <c r="AM10" s="78">
        <f>AK10/'Alternative 2'!$M11</f>
        <v>190760.78955278339</v>
      </c>
      <c r="AN10" s="78">
        <f t="shared" si="5"/>
        <v>6.6646305557178742</v>
      </c>
      <c r="AP10" s="78">
        <f>'Alternative 2'!$B$39*$B10*$C10*COS($K$43)-($N$42/3)*$E10*SIN($K$43)-($N$42/3)*$F10*SIN($K$43)-($N$42/3)*$G10*SIN($K$43)</f>
        <v>356782.3821588424</v>
      </c>
      <c r="AQ10" s="79">
        <f>IF(($A10&lt;'Alternative 2'!$B$27),(($H10*'Alternative 2'!$B$39)+(3*($N$42/3)*COS($K$43))),IF(($A10&lt;'Alternative 2'!$B$28),(($H10*'Alternative 2'!$B$39)+(2*(($N$42/3)*COS($K$43)))),IF(($A10&lt;'Alternative 2'!$B$29),(($H$3*'Alternative 2'!$B$39+(($N$42/3)*COS($K$43)))),($H10*'Alternative 2'!$B$39))))</f>
        <v>444676.42110413074</v>
      </c>
      <c r="AR10" s="78">
        <f>AP10*'Alternative 2'!$K11/'Alternative 2'!$L11</f>
        <v>5931322.741410478</v>
      </c>
      <c r="AS10" s="78">
        <f>AQ10/'Alternative 2'!$M11</f>
        <v>147850.17323218141</v>
      </c>
      <c r="AT10" s="78">
        <f t="shared" si="6"/>
        <v>6.0791729146426592</v>
      </c>
      <c r="AV10" s="78">
        <f>'Alternative 2'!$B$39*$B10*$C10*COS($K$53)-($N$52/3)*$E10*SIN($K$53)-($N$52/3)*$F10*SIN($K$53)-($N$52/3)*$G10*SIN($K$53)</f>
        <v>299792.69357839413</v>
      </c>
      <c r="AW10" s="79">
        <f>IF(($A10&lt;'Alternative 2'!$B$27),(($H10*'Alternative 2'!$B$39)+(3*($N$52/3)*COS($K$53))),IF(($A10&lt;'Alternative 2'!$B$28),(($H10*'Alternative 2'!$B$39)+(2*(($N$52/3)*COS($K$53)))),IF(($A10&lt;'Alternative 2'!$B$29),(($H$3*'Alternative 2'!$B$39+(($N$52/3)*COS($K$53)))),($H10*'Alternative 2'!$B$39))))</f>
        <v>363597.78678198956</v>
      </c>
      <c r="AX10" s="78">
        <f>AV10*'Alternative 2'!$K11/'Alternative 2'!$L11</f>
        <v>4983898.6173330089</v>
      </c>
      <c r="AY10" s="78">
        <f>AW10/'Alternative 2'!$M11</f>
        <v>120892.3909864029</v>
      </c>
      <c r="AZ10" s="78">
        <f t="shared" si="7"/>
        <v>5.1047910083194115</v>
      </c>
      <c r="BB10" s="78">
        <f>'Alternative 2'!$B$39*$B10*$C10*COS($K$63)-($N$62/3)*$E10*SIN($K$63)-($N$62/3)*$F10*SIN($K$63)-($N$62/3)*$G10*SIN($K$63)</f>
        <v>226049.1165268867</v>
      </c>
      <c r="BC10" s="79">
        <f>IF(($A10&lt;'Alternative 2'!$B$27),(($H10*'Alternative 2'!$B$39)+(3*($N$62/3)*COS($K$63))),IF(($A10&lt;'Alternative 2'!$B$28),(($H10*'Alternative 2'!$B$39)+(2*(($N$62/3)*COS($K$63)))),IF(($A10&lt;'Alternative 2'!$B$29),(($H$3*'Alternative 2'!$B$39+(($N$62/3)*COS($K$63)))),($H10*'Alternative 2'!$B$39))))</f>
        <v>309505.328169727</v>
      </c>
      <c r="BD10" s="78">
        <f>BB10*'Alternative 2'!$K11/'Alternative 2'!$L11</f>
        <v>3757949.7547464338</v>
      </c>
      <c r="BE10" s="78">
        <f>BC10/'Alternative 2'!$M11</f>
        <v>102907.22470185008</v>
      </c>
      <c r="BF10" s="78">
        <f t="shared" si="8"/>
        <v>3.8608569794482839</v>
      </c>
      <c r="BH10" s="78">
        <f>'Alternative 2'!$B$39*$B10*$C10*COS($K$73)-($N$72/3)*$E10*SIN($K$73)-($N$72/3)*$F10*SIN($K$73)-($N$72/3)*$G10*SIN($K$73)</f>
        <v>140282.6205209106</v>
      </c>
      <c r="BI10" s="79">
        <f>IF(($A10&lt;'Alternative 2'!$B$27),(($H10*'Alternative 2'!$B$39)+(3*($N$72/3)*COS($K$73))),IF(($A10&lt;'Alternative 2'!$B$28),(($H10*'Alternative 2'!$B$39)+(2*(($N$72/3)*COS($K$73)))),IF(($A10&lt;'Alternative 2'!$B$29),(($H$3*'Alternative 2'!$B$39+(($N$72/3)*COS($K$73)))),($H10*'Alternative 2'!$B$39))))</f>
        <v>274088.91977969615</v>
      </c>
      <c r="BJ10" s="78">
        <f>BH10*'Alternative 2'!$K11/'Alternative 2'!$L11</f>
        <v>2332126.0772060566</v>
      </c>
      <c r="BK10" s="78">
        <f>BI10/'Alternative 2'!$M11</f>
        <v>91131.646175050832</v>
      </c>
      <c r="BL10" s="78">
        <f t="shared" si="9"/>
        <v>2.423257723381107</v>
      </c>
      <c r="BN10" s="78">
        <f>'Alternative 2'!$B$39*$B10*$C10*COS($K$83)-($N$82/3)*$E10*SIN($K$83)-($N$82/3)*$F10*SIN($K$83)-($N$82/3)*$G10*SIN($K$83)</f>
        <v>46289.885322228016</v>
      </c>
      <c r="BO10" s="79">
        <f>IF(($A10&lt;'Alternative 2'!$B$27),(($H10*'Alternative 2'!$B$39)+(3*($N$82/3)*COS($K$83))),IF(($A10&lt;'Alternative 2'!$B$28),(($H10*'Alternative 2'!$B$39)+(2*(($N$82/3)*COS($K$83)))),IF(($A10&lt;'Alternative 2'!$B$29),(($H$3*'Alternative 2'!$B$39+(($N$82/3)*COS($K$83)))),($H10*'Alternative 2'!$B$39))))</f>
        <v>253665.44153987436</v>
      </c>
      <c r="BP10" s="78">
        <f>BN10*'Alternative 2'!$K11/'Alternative 2'!$L11</f>
        <v>769545.42387347389</v>
      </c>
      <c r="BQ10" s="78">
        <f>BO10/'Alternative 2'!$M11</f>
        <v>84341.057215412176</v>
      </c>
      <c r="BR10" s="78">
        <f t="shared" si="10"/>
        <v>0.85388648108888598</v>
      </c>
      <c r="BT10" s="78">
        <f>'Alternative 2'!$B$39*$B10*$C10*COS($K$93)-($K$92/3)*$E10*SIN($K$93)-($K$92/3)*$F10*SIN($K$93)-($K$92/3)*$G10*SIN($K$93)</f>
        <v>-22.264583491055298</v>
      </c>
      <c r="BU10" s="79">
        <f>IF(($A10&lt;'Alternative 2'!$B$27),(($H10*'Alternative 2'!$B$39)+(3*($N$92/3)*COS($K$93))),IF(($A10&lt;'Alternative 2'!$B$28),(($H10*'Alternative 2'!$B$39)+(2*(($N$92/3)*COS($K$93)))),IF(($A10&lt;'Alternative 2'!$B$29),(($H$3*'Alternative 2'!$B$39+(($N$92/3)*COS($K$93)))),($H10*'Alternative 2'!$B$39))))</f>
        <v>246596.59144792598</v>
      </c>
      <c r="BV10" s="78">
        <f>BT10*'Alternative 2'!$K11/'Alternative 2'!$L11</f>
        <v>-370.13719564699551</v>
      </c>
      <c r="BW10" s="78">
        <f>BU10/'Alternative 2'!$M11</f>
        <v>81990.739858688306</v>
      </c>
      <c r="BX10" s="78">
        <f t="shared" si="11"/>
        <v>8.1620602663041317E-2</v>
      </c>
      <c r="BZ10" s="77">
        <v>150</v>
      </c>
      <c r="CA10" s="77">
        <v>-150</v>
      </c>
    </row>
    <row r="11" spans="1:79" ht="15" customHeight="1" x14ac:dyDescent="0.25">
      <c r="A11" s="13">
        <f>IF('Alternative 2'!F12&gt;0,'Alternative 2'!F12,"x")</f>
        <v>9</v>
      </c>
      <c r="B11" s="13">
        <f t="shared" si="17"/>
        <v>28</v>
      </c>
      <c r="C11" s="13">
        <f t="shared" si="12"/>
        <v>14</v>
      </c>
      <c r="D11" s="13">
        <f t="shared" si="13"/>
        <v>9</v>
      </c>
      <c r="E11" s="74">
        <f>IF($A11&lt;='Alternative 2'!$B$27, IF($A11='Alternative 2'!$B$27,0,E12+1),0)</f>
        <v>7</v>
      </c>
      <c r="F11" s="74">
        <f>IF($A11&lt;=('Alternative 2'!$B$28), IF($A11=ROUNDDOWN('Alternative 2'!$B$28,0),0,F12+1),0)</f>
        <v>13</v>
      </c>
      <c r="G11" s="74">
        <f>IF($A11&lt;=('Alternative 2'!$B$29), IF($A11=ROUNDDOWN('Alternative 2'!$B$29,0),0,G12+1),0)</f>
        <v>20</v>
      </c>
      <c r="H11" s="13">
        <f t="shared" si="14"/>
        <v>28</v>
      </c>
      <c r="J11" s="77">
        <f t="shared" si="15"/>
        <v>8</v>
      </c>
      <c r="K11" s="77">
        <f t="shared" si="16"/>
        <v>0.13962634015954636</v>
      </c>
      <c r="L11" s="78">
        <f>'Alternative 2'!$B$27*SIN(K11)+'Alternative 2'!$B$28*SIN(K11)+'Alternative 2'!$B$29*SIN(K11)</f>
        <v>9.4637708652844506</v>
      </c>
      <c r="M11" s="77">
        <f>(('Alternative 2'!$B$27)*(((('Alternative 2'!$B$28-'Alternative 2'!$B$27)/2)+'Alternative 2'!$B$27)*'Alternative 2'!$B$39)*COS('Alternative 2-Tilt Up'!K11))+(('Alternative 2'!$B$28)*((('Alternative 2'!$B$28-'Alternative 2'!$B$27)/2)+(('Alternative 2'!$B$29-'Alternative 2'!$B$28)/2))*('Alternative 2'!$B$39)*COS('Alternative 2-Tilt Up'!K11))+(('Alternative 2'!$B$29)*((('Alternative 2'!$B$12-'Alternative 2'!$B$29+(('Alternative 2'!$B$29-'Alternative 2'!$B$28)/2)*('Alternative 2'!$B$39)*COS('Alternative 2-Tilt Up'!K11)))))</f>
        <v>4699925.4873183202</v>
      </c>
      <c r="N11" s="77">
        <f t="shared" si="0"/>
        <v>1489868.7492188313</v>
      </c>
      <c r="O11" s="77">
        <f>(((('Alternative 2'!$B$28-'Alternative 2'!$B$27)/2)+'Alternative 2'!$B$27)*('Alternative 2'!$B$39)*COS('Alternative 2-Tilt Up'!K11))+(((('Alternative 2'!$B$28-'Alternative 2'!$B$27)/2)+(('Alternative 2'!$B$29-'Alternative 2'!$B$28)/2))*('Alternative 2'!$B$39)*COS('Alternative 2-Tilt Up'!K11))+(((('Alternative 2'!$B$12-'Alternative 2'!$B$29)+(('Alternative 2'!$B$29-'Alternative 2'!$B$28)/2))*('Alternative 2'!$B$39)*COS('Alternative 2-Tilt Up'!K11)))</f>
        <v>303140.76873690006</v>
      </c>
      <c r="P11" s="77">
        <f t="shared" si="1"/>
        <v>1475369.4489673511</v>
      </c>
      <c r="R11" s="78">
        <f>('Alternative 2'!$B$39*$B11*$C11*COS($K$5))-(($N$5/3)*$E11*SIN($K$5))-(($N$5/3)*$F11*SIN($K$5))-(($N$5/3)*$G11*SIN($K$5))</f>
        <v>541144.89075494837</v>
      </c>
      <c r="S11" s="79">
        <f>IF(($A11&lt;'Alternative 2'!$B$27),(($H11*'Alternative 2'!$B$39)+(3*($N$5/3)*COS($K$5))),IF(($A11&lt;'Alternative 2'!$B$28),(($H11*'Alternative 2'!$B$39)+(2*(($N$5/3)*COS($K$5)))),IF(($A11&lt;'Alternative 2'!$B$29),(($H$3*'Alternative 2'!$B$39+(($N$5/3)*COS($K$5)))),($H11*'Alternative 2'!$B$39))))</f>
        <v>6230508.8919321187</v>
      </c>
      <c r="T11" s="78">
        <f>R11*'Alternative 2'!$K12/'Alternative 2'!$L12</f>
        <v>9181947.6163110603</v>
      </c>
      <c r="U11" s="78">
        <f>S11/'Alternative 2'!$M12</f>
        <v>2114337.6798425773</v>
      </c>
      <c r="V11" s="78">
        <f t="shared" si="2"/>
        <v>11.296285296153638</v>
      </c>
      <c r="X11" s="78">
        <f>'Alternative 2'!$B$39*$B11*$C11*COS($K$13)-($N$12/3)*$E11*SIN($K$13)-($N$12/3)*$F11*SIN($K$13)-($N$12/3)*$G11*SIN($K$13)</f>
        <v>221780.06594822835</v>
      </c>
      <c r="Y11" s="79">
        <f>IF(($A11&lt;'Alternative 2'!$B$27),(($H11*'Alternative 2'!$B$39)+(3*($N$12/3)*COS($K$13))),IF(($A11&lt;'Alternative 2'!$B$28),(($H11*'Alternative 2'!$B$39)+(2*(($N$12/3)*COS($K$13)))),IF(($A11&lt;'Alternative 2'!$B$29),(($H$3*'Alternative 2'!$B$39+(($N$12/3)*COS($K$13)))),($H11*'Alternative 2'!$B$39))))</f>
        <v>1540028.9467350419</v>
      </c>
      <c r="Z11" s="78">
        <f>X11*'Alternative 2'!$K12/'Alternative 2'!$L12</f>
        <v>3763082.6469371477</v>
      </c>
      <c r="AA11" s="78">
        <f>Y11/'Alternative 2'!$M12</f>
        <v>522612.40399585199</v>
      </c>
      <c r="AB11" s="78">
        <f t="shared" si="3"/>
        <v>4.2856950509329996</v>
      </c>
      <c r="AD11" s="78">
        <f>'Alternative 2'!$B$39*$B11*$C11*COS($K$23)-($N$22/3)*$E11*SIN($K$23)-($N$22/3)*$F11*SIN($K$23)-($N$22/3)*$G11*SIN($K$23)</f>
        <v>359154.41600563843</v>
      </c>
      <c r="AE11" s="79">
        <f>IF(($A11&lt;'Alternative 2'!$B$27),(($H11*'Alternative 2'!$B$39)+(3*($N$22/3)*COS($K$23))),IF(($A11&lt;'Alternative 2'!$B$28),(($H11*'Alternative 2'!$B$39)+(2*(($N$22/3)*COS($K$23)))),IF(($A11&lt;'Alternative 2'!$B$29),(($H$3*'Alternative 2'!$B$39+(($N$22/3)*COS($K$23)))),($H11*'Alternative 2'!$B$39))))</f>
        <v>809526.31586655427</v>
      </c>
      <c r="AF11" s="78">
        <f>AD11*'Alternative 2'!$K12/'Alternative 2'!$L12</f>
        <v>6094000.1287453836</v>
      </c>
      <c r="AG11" s="78">
        <f>AE11/'Alternative 2'!$M12</f>
        <v>274714.63762408955</v>
      </c>
      <c r="AH11" s="78">
        <f t="shared" si="4"/>
        <v>6.3687147663694734</v>
      </c>
      <c r="AJ11" s="78">
        <f>'Alternative 2'!$B$39*$B11*$C11*COS($K$33)-($N$32/3)*$E11*SIN($K$33)-($N$32/3)*$F11*SIN($K$33)-($N$32/3)*$G11*SIN($K$33)</f>
        <v>368414.4134180604</v>
      </c>
      <c r="AK11" s="79">
        <f>IF(($A11&lt;'Alternative 2'!$B$27),(($H11*'Alternative 2'!$B$39)+(3*($N$32/3)*COS($K$33))),IF(($A11&lt;'Alternative 2'!$B$28),(($H11*'Alternative 2'!$B$39)+(2*(($N$32/3)*COS($K$33)))),IF(($A11&lt;'Alternative 2'!$B$29),(($H$3*'Alternative 2'!$B$39+(($N$32/3)*COS($K$33)))),($H11*'Alternative 2'!$B$39))))</f>
        <v>565231.71015292418</v>
      </c>
      <c r="AL11" s="78">
        <f>AJ11*'Alternative 2'!$K12/'Alternative 2'!$L12</f>
        <v>6251120.3614605386</v>
      </c>
      <c r="AM11" s="78">
        <f>AK11/'Alternative 2'!$M12</f>
        <v>191812.69513405362</v>
      </c>
      <c r="AN11" s="78">
        <f t="shared" si="5"/>
        <v>6.4429330565945921</v>
      </c>
      <c r="AP11" s="78">
        <f>'Alternative 2'!$B$39*$B11*$C11*COS($K$43)-($N$42/3)*$E11*SIN($K$43)-($N$42/3)*$F11*SIN($K$43)-($N$42/3)*$G11*SIN($K$43)</f>
        <v>337344.11022678809</v>
      </c>
      <c r="AQ11" s="79">
        <f>IF(($A11&lt;'Alternative 2'!$B$27),(($H11*'Alternative 2'!$B$39)+(3*($N$42/3)*COS($K$43))),IF(($A11&lt;'Alternative 2'!$B$28),(($H11*'Alternative 2'!$B$39)+(2*(($N$42/3)*COS($K$43)))),IF(($A11&lt;'Alternative 2'!$B$29),(($H$3*'Alternative 2'!$B$39+(($N$42/3)*COS($K$43)))),($H11*'Alternative 2'!$B$39))))</f>
        <v>436173.0903645471</v>
      </c>
      <c r="AR11" s="78">
        <f>AP11*'Alternative 2'!$K12/'Alternative 2'!$L12</f>
        <v>5723930.8763539465</v>
      </c>
      <c r="AS11" s="78">
        <f>AQ11/'Alternative 2'!$M12</f>
        <v>148016.35241790948</v>
      </c>
      <c r="AT11" s="78">
        <f t="shared" si="6"/>
        <v>5.8719472287718562</v>
      </c>
      <c r="AV11" s="78">
        <f>'Alternative 2'!$B$39*$B11*$C11*COS($K$53)-($N$52/3)*$E11*SIN($K$53)-($N$52/3)*$F11*SIN($K$53)-($N$52/3)*$G11*SIN($K$53)</f>
        <v>283452.97270215664</v>
      </c>
      <c r="AW11" s="79">
        <f>IF(($A11&lt;'Alternative 2'!$B$27),(($H11*'Alternative 2'!$B$39)+(3*($N$52/3)*COS($K$53))),IF(($A11&lt;'Alternative 2'!$B$28),(($H11*'Alternative 2'!$B$39)+(2*(($N$52/3)*COS($K$53)))),IF(($A11&lt;'Alternative 2'!$B$29),(($H$3*'Alternative 2'!$B$39+(($N$52/3)*COS($K$53)))),($H11*'Alternative 2'!$B$39))))</f>
        <v>355094.45604240592</v>
      </c>
      <c r="AX11" s="78">
        <f>AV11*'Alternative 2'!$K12/'Alternative 2'!$L12</f>
        <v>4809525.8617482409</v>
      </c>
      <c r="AY11" s="78">
        <f>AW11/'Alternative 2'!$M12</f>
        <v>120502.12933422813</v>
      </c>
      <c r="AZ11" s="78">
        <f t="shared" si="7"/>
        <v>4.9300279910824694</v>
      </c>
      <c r="BB11" s="78">
        <f>'Alternative 2'!$B$39*$B11*$C11*COS($K$63)-($N$62/3)*$E11*SIN($K$63)-($N$62/3)*$F11*SIN($K$63)-($N$62/3)*$G11*SIN($K$63)</f>
        <v>213837.78172995278</v>
      </c>
      <c r="BC11" s="79">
        <f>IF(($A11&lt;'Alternative 2'!$B$27),(($H11*'Alternative 2'!$B$39)+(3*($N$62/3)*COS($K$63))),IF(($A11&lt;'Alternative 2'!$B$28),(($H11*'Alternative 2'!$B$39)+(2*(($N$62/3)*COS($K$63)))),IF(($A11&lt;'Alternative 2'!$B$29),(($H$3*'Alternative 2'!$B$39+(($N$62/3)*COS($K$63)))),($H11*'Alternative 2'!$B$39))))</f>
        <v>301001.99743014335</v>
      </c>
      <c r="BD11" s="78">
        <f>BB11*'Alternative 2'!$K12/'Alternative 2'!$L12</f>
        <v>3628320.8873937433</v>
      </c>
      <c r="BE11" s="78">
        <f>BC11/'Alternative 2'!$M12</f>
        <v>102145.72772675604</v>
      </c>
      <c r="BF11" s="78">
        <f t="shared" si="8"/>
        <v>3.7304666151204993</v>
      </c>
      <c r="BH11" s="78">
        <f>'Alternative 2'!$B$39*$B11*$C11*COS($K$73)-($N$72/3)*$E11*SIN($K$73)-($N$72/3)*$F11*SIN($K$73)-($N$72/3)*$G11*SIN($K$73)</f>
        <v>132930.32546918961</v>
      </c>
      <c r="BI11" s="79">
        <f>IF(($A11&lt;'Alternative 2'!$B$27),(($H11*'Alternative 2'!$B$39)+(3*($N$72/3)*COS($K$73))),IF(($A11&lt;'Alternative 2'!$B$28),(($H11*'Alternative 2'!$B$39)+(2*(($N$72/3)*COS($K$73)))),IF(($A11&lt;'Alternative 2'!$B$29),(($H$3*'Alternative 2'!$B$39+(($N$72/3)*COS($K$73)))),($H11*'Alternative 2'!$B$39))))</f>
        <v>265585.58904011251</v>
      </c>
      <c r="BJ11" s="78">
        <f>BH11*'Alternative 2'!$K12/'Alternative 2'!$L12</f>
        <v>2255512.9059326109</v>
      </c>
      <c r="BK11" s="78">
        <f>BI11/'Alternative 2'!$M12</f>
        <v>90127.087188308215</v>
      </c>
      <c r="BL11" s="78">
        <f t="shared" si="9"/>
        <v>2.3456399931209191</v>
      </c>
      <c r="BN11" s="78">
        <f>'Alternative 2'!$B$39*$B11*$C11*COS($K$83)-($N$82/3)*$E11*SIN($K$83)-($N$82/3)*$F11*SIN($K$83)-($N$82/3)*$G11*SIN($K$83)</f>
        <v>44296.571554003109</v>
      </c>
      <c r="BO11" s="79">
        <f>IF(($A11&lt;'Alternative 2'!$B$27),(($H11*'Alternative 2'!$B$39)+(3*($N$82/3)*COS($K$83))),IF(($A11&lt;'Alternative 2'!$B$28),(($H11*'Alternative 2'!$B$39)+(2*(($N$82/3)*COS($K$83)))),IF(($A11&lt;'Alternative 2'!$B$29),(($H$3*'Alternative 2'!$B$39+(($N$82/3)*COS($K$83)))),($H11*'Alternative 2'!$B$39))))</f>
        <v>245162.11080029071</v>
      </c>
      <c r="BP11" s="78">
        <f>BN11*'Alternative 2'!$K12/'Alternative 2'!$L12</f>
        <v>751607.94556076452</v>
      </c>
      <c r="BQ11" s="78">
        <f>BO11/'Alternative 2'!$M12</f>
        <v>83196.33235834293</v>
      </c>
      <c r="BR11" s="78">
        <f t="shared" si="10"/>
        <v>0.8348042779191075</v>
      </c>
      <c r="BT11" s="78">
        <f>'Alternative 2'!$B$39*$B11*$C11*COS($K$93)-($K$92/3)*$E11*SIN($K$93)-($K$92/3)*$F11*SIN($K$93)-($K$92/3)*$G11*SIN($K$93)</f>
        <v>-20.711240456795188</v>
      </c>
      <c r="BU11" s="79">
        <f>IF(($A11&lt;'Alternative 2'!$B$27),(($H11*'Alternative 2'!$B$39)+(3*($N$92/3)*COS($K$93))),IF(($A11&lt;'Alternative 2'!$B$28),(($H11*'Alternative 2'!$B$39)+(2*(($N$92/3)*COS($K$93)))),IF(($A11&lt;'Alternative 2'!$B$29),(($H$3*'Alternative 2'!$B$39+(($N$92/3)*COS($K$93)))),($H11*'Alternative 2'!$B$39))))</f>
        <v>238093.26070834234</v>
      </c>
      <c r="BV11" s="78">
        <f>BT11*'Alternative 2'!$K12/'Alternative 2'!$L12</f>
        <v>-351.42071595245272</v>
      </c>
      <c r="BW11" s="78">
        <f>BU11/'Alternative 2'!$M12</f>
        <v>80797.501642938834</v>
      </c>
      <c r="BX11" s="78">
        <f t="shared" si="11"/>
        <v>8.044608092698638E-2</v>
      </c>
      <c r="BZ11" s="77">
        <v>150</v>
      </c>
      <c r="CA11" s="77">
        <v>-150</v>
      </c>
    </row>
    <row r="12" spans="1:79" ht="15" customHeight="1" x14ac:dyDescent="0.25">
      <c r="A12" s="13">
        <f>IF('Alternative 2'!F13&gt;0,'Alternative 2'!F13,"x")</f>
        <v>10</v>
      </c>
      <c r="B12" s="13">
        <f t="shared" si="17"/>
        <v>27</v>
      </c>
      <c r="C12" s="13">
        <f t="shared" si="12"/>
        <v>13.5</v>
      </c>
      <c r="D12" s="13">
        <f t="shared" si="13"/>
        <v>10</v>
      </c>
      <c r="E12" s="74">
        <f>IF($A12&lt;='Alternative 2'!$B$27, IF($A12='Alternative 2'!$B$27,0,E13+1),0)</f>
        <v>6</v>
      </c>
      <c r="F12" s="74">
        <f>IF($A12&lt;=('Alternative 2'!$B$28), IF($A12=ROUNDDOWN('Alternative 2'!$B$28,0),0,F13+1),0)</f>
        <v>12</v>
      </c>
      <c r="G12" s="74">
        <f>IF($A12&lt;=('Alternative 2'!$B$29), IF($A12=ROUNDDOWN('Alternative 2'!$B$29,0),0,G13+1),0)</f>
        <v>19</v>
      </c>
      <c r="H12" s="13">
        <f t="shared" si="14"/>
        <v>27</v>
      </c>
      <c r="J12" s="77">
        <f t="shared" si="15"/>
        <v>9</v>
      </c>
      <c r="K12" s="77">
        <f t="shared" si="16"/>
        <v>0.15707963267948966</v>
      </c>
      <c r="L12" s="78">
        <f>'Alternative 2'!$B$27*SIN(K12)+'Alternative 2'!$B$28*SIN(K12)+'Alternative 2'!$B$29*SIN(K12)</f>
        <v>10.637543622735699</v>
      </c>
      <c r="M12" s="77">
        <f>(('Alternative 2'!$B$27)*(((('Alternative 2'!$B$28-'Alternative 2'!$B$27)/2)+'Alternative 2'!$B$27)*'Alternative 2'!$B$39)*COS('Alternative 2-Tilt Up'!K12))+(('Alternative 2'!$B$28)*((('Alternative 2'!$B$28-'Alternative 2'!$B$27)/2)+(('Alternative 2'!$B$29-'Alternative 2'!$B$28)/2))*('Alternative 2'!$B$39)*COS('Alternative 2-Tilt Up'!K12))+(('Alternative 2'!$B$29)*((('Alternative 2'!$B$12-'Alternative 2'!$B$29+(('Alternative 2'!$B$29-'Alternative 2'!$B$28)/2)*('Alternative 2'!$B$39)*COS('Alternative 2-Tilt Up'!K12)))))</f>
        <v>4687682.3121888591</v>
      </c>
      <c r="N12" s="82">
        <f t="shared" si="0"/>
        <v>1322020.1425552347</v>
      </c>
      <c r="O12" s="77">
        <f>(((('Alternative 2'!$B$28-'Alternative 2'!$B$27)/2)+'Alternative 2'!$B$27)*('Alternative 2'!$B$39)*COS('Alternative 2-Tilt Up'!K12))+(((('Alternative 2'!$B$28-'Alternative 2'!$B$27)/2)+(('Alternative 2'!$B$29-'Alternative 2'!$B$28)/2))*('Alternative 2'!$B$39)*COS('Alternative 2-Tilt Up'!K12))+(((('Alternative 2'!$B$12-'Alternative 2'!$B$29)+(('Alternative 2'!$B$29-'Alternative 2'!$B$28)/2))*('Alternative 2'!$B$39)*COS('Alternative 2-Tilt Up'!K12)))</f>
        <v>302351.0625975962</v>
      </c>
      <c r="P12" s="77">
        <f t="shared" si="1"/>
        <v>1305743.8808337273</v>
      </c>
      <c r="R12" s="78">
        <f>('Alternative 2'!$B$39*$B12*$C12*COS($K$5))-(($N$5/3)*$E12*SIN($K$5))-(($N$5/3)*$F12*SIN($K$5))-(($N$5/3)*$G12*SIN($K$5))</f>
        <v>516705.51035480108</v>
      </c>
      <c r="S12" s="79">
        <f>IF(($A12&lt;'Alternative 2'!$B$27),(($H12*'Alternative 2'!$B$39)+(3*($N$5/3)*COS($K$5))),IF(($A12&lt;'Alternative 2'!$B$28),(($H12*'Alternative 2'!$B$39)+(2*(($N$5/3)*COS($K$5)))),IF(($A12&lt;'Alternative 2'!$B$29),(($H$3*'Alternative 2'!$B$39+(($N$5/3)*COS($K$5)))),($H12*'Alternative 2'!$B$39))))</f>
        <v>6222005.5611925349</v>
      </c>
      <c r="T12" s="78">
        <f>R12*'Alternative 2'!$K13/'Alternative 2'!$L13</f>
        <v>8950123.2173660677</v>
      </c>
      <c r="U12" s="78">
        <f>S12/'Alternative 2'!$M13</f>
        <v>2155489.4282325506</v>
      </c>
      <c r="V12" s="78">
        <f t="shared" si="2"/>
        <v>11.105612645598619</v>
      </c>
      <c r="X12" s="78">
        <f>'Alternative 2'!$B$39*$B12*$C12*COS($K$13)-($N$12/3)*$E12*SIN($K$13)-($N$12/3)*$F12*SIN($K$13)-($N$12/3)*$G12*SIN($K$13)</f>
        <v>221057.43847577181</v>
      </c>
      <c r="Y12" s="79">
        <f>IF(($A12&lt;'Alternative 2'!$B$27),(($H12*'Alternative 2'!$B$39)+(3*($N$12/3)*COS($K$13))),IF(($A12&lt;'Alternative 2'!$B$28),(($H12*'Alternative 2'!$B$39)+(2*(($N$12/3)*COS($K$13)))),IF(($A12&lt;'Alternative 2'!$B$29),(($H$3*'Alternative 2'!$B$39+(($N$12/3)*COS($K$13)))),($H12*'Alternative 2'!$B$39))))</f>
        <v>1531525.6159954583</v>
      </c>
      <c r="Z12" s="78">
        <f>X12*'Alternative 2'!$K13/'Alternative 2'!$L13</f>
        <v>3829050.1510520475</v>
      </c>
      <c r="AA12" s="78">
        <f>Y12/'Alternative 2'!$M13</f>
        <v>530566.42940589669</v>
      </c>
      <c r="AB12" s="78">
        <f t="shared" si="3"/>
        <v>4.3596165804579448</v>
      </c>
      <c r="AD12" s="78">
        <f>'Alternative 2'!$B$39*$B12*$C12*COS($K$23)-($N$22/3)*$E12*SIN($K$23)-($N$22/3)*$F12*SIN($K$23)-($N$22/3)*$G12*SIN($K$23)</f>
        <v>347399.81738658366</v>
      </c>
      <c r="AE12" s="79">
        <f>IF(($A12&lt;'Alternative 2'!$B$27),(($H12*'Alternative 2'!$B$39)+(3*($N$22/3)*COS($K$23))),IF(($A12&lt;'Alternative 2'!$B$28),(($H12*'Alternative 2'!$B$39)+(2*(($N$22/3)*COS($K$23)))),IF(($A12&lt;'Alternative 2'!$B$29),(($H$3*'Alternative 2'!$B$39+(($N$22/3)*COS($K$23)))),($H12*'Alternative 2'!$B$39))))</f>
        <v>801022.98512697057</v>
      </c>
      <c r="AF12" s="78">
        <f>AD12*'Alternative 2'!$K13/'Alternative 2'!$L13</f>
        <v>6017491.7994688731</v>
      </c>
      <c r="AG12" s="78">
        <f>AE12/'Alternative 2'!$M13</f>
        <v>277498.39810196799</v>
      </c>
      <c r="AH12" s="78">
        <f t="shared" si="4"/>
        <v>6.2949901975708409</v>
      </c>
      <c r="AJ12" s="78">
        <f>'Alternative 2'!$B$39*$B12*$C12*COS($K$33)-($N$32/3)*$E12*SIN($K$33)-($N$32/3)*$F12*SIN($K$33)-($N$32/3)*$G12*SIN($K$33)</f>
        <v>354775.1232425007</v>
      </c>
      <c r="AK12" s="79">
        <f>IF(($A12&lt;'Alternative 2'!$B$27),(($H12*'Alternative 2'!$B$39)+(3*($N$32/3)*COS($K$33))),IF(($A12&lt;'Alternative 2'!$B$28),(($H12*'Alternative 2'!$B$39)+(2*(($N$32/3)*COS($K$33)))),IF(($A12&lt;'Alternative 2'!$B$29),(($H$3*'Alternative 2'!$B$39+(($N$32/3)*COS($K$33)))),($H12*'Alternative 2'!$B$39))))</f>
        <v>556728.37941334047</v>
      </c>
      <c r="AL12" s="78">
        <f>AJ12*'Alternative 2'!$K13/'Alternative 2'!$L13</f>
        <v>6145243.2843154212</v>
      </c>
      <c r="AM12" s="78">
        <f>AK12/'Alternative 2'!$M13</f>
        <v>192867.41620856005</v>
      </c>
      <c r="AN12" s="78">
        <f t="shared" si="5"/>
        <v>6.3381107005239805</v>
      </c>
      <c r="AP12" s="78">
        <f>'Alternative 2'!$B$39*$B12*$C12*COS($K$43)-($N$42/3)*$E12*SIN($K$43)-($N$42/3)*$F12*SIN($K$43)-($N$42/3)*$G12*SIN($K$43)</f>
        <v>324419.76755579421</v>
      </c>
      <c r="AQ12" s="79">
        <f>IF(($A12&lt;'Alternative 2'!$B$27),(($H12*'Alternative 2'!$B$39)+(3*($N$42/3)*COS($K$43))),IF(($A12&lt;'Alternative 2'!$B$28),(($H12*'Alternative 2'!$B$39)+(2*(($N$42/3)*COS($K$43)))),IF(($A12&lt;'Alternative 2'!$B$29),(($H$3*'Alternative 2'!$B$39+(($N$42/3)*COS($K$43)))),($H12*'Alternative 2'!$B$39))))</f>
        <v>427669.75962496339</v>
      </c>
      <c r="AR12" s="78">
        <f>AP12*'Alternative 2'!$K13/'Alternative 2'!$L13</f>
        <v>5619442.4785209522</v>
      </c>
      <c r="AS12" s="78">
        <f>AQ12/'Alternative 2'!$M13</f>
        <v>148157.63769097012</v>
      </c>
      <c r="AT12" s="78">
        <f t="shared" si="6"/>
        <v>5.7676001162119217</v>
      </c>
      <c r="AV12" s="78">
        <f>'Alternative 2'!$B$39*$B12*$C12*COS($K$53)-($N$52/3)*$E12*SIN($K$53)-($N$52/3)*$F12*SIN($K$53)-($N$52/3)*$G12*SIN($K$53)</f>
        <v>272579.08746638929</v>
      </c>
      <c r="AW12" s="79">
        <f>IF(($A12&lt;'Alternative 2'!$B$27),(($H12*'Alternative 2'!$B$39)+(3*($N$52/3)*COS($K$53))),IF(($A12&lt;'Alternative 2'!$B$28),(($H12*'Alternative 2'!$B$39)+(2*(($N$52/3)*COS($K$53)))),IF(($A12&lt;'Alternative 2'!$B$29),(($H$3*'Alternative 2'!$B$39+(($N$52/3)*COS($K$53)))),($H12*'Alternative 2'!$B$39))))</f>
        <v>346591.12530282221</v>
      </c>
      <c r="AX12" s="78">
        <f>AV12*'Alternative 2'!$K13/'Alternative 2'!$L13</f>
        <v>4721483.2635057438</v>
      </c>
      <c r="AY12" s="78">
        <f>AW12/'Alternative 2'!$M13</f>
        <v>120069.56585976909</v>
      </c>
      <c r="AZ12" s="78">
        <f t="shared" si="7"/>
        <v>4.8415528293655132</v>
      </c>
      <c r="BB12" s="78">
        <f>'Alternative 2'!$B$39*$B12*$C12*COS($K$63)-($N$62/3)*$E12*SIN($K$63)-($N$62/3)*$F12*SIN($K$63)-($N$62/3)*$G12*SIN($K$63)</f>
        <v>205878.11230281054</v>
      </c>
      <c r="BC12" s="79">
        <f>IF(($A12&lt;'Alternative 2'!$B$27),(($H12*'Alternative 2'!$B$39)+(3*($N$62/3)*COS($K$63))),IF(($A12&lt;'Alternative 2'!$B$28),(($H12*'Alternative 2'!$B$39)+(2*(($N$62/3)*COS($K$63)))),IF(($A12&lt;'Alternative 2'!$B$29),(($H$3*'Alternative 2'!$B$39+(($N$62/3)*COS($K$63)))),($H12*'Alternative 2'!$B$39))))</f>
        <v>292498.66669055965</v>
      </c>
      <c r="BD12" s="78">
        <f>BB12*'Alternative 2'!$K13/'Alternative 2'!$L13</f>
        <v>3566121.1965856906</v>
      </c>
      <c r="BE12" s="78">
        <f>BC12/'Alternative 2'!$M13</f>
        <v>101330.31506046708</v>
      </c>
      <c r="BF12" s="78">
        <f t="shared" si="8"/>
        <v>3.6674515116461577</v>
      </c>
      <c r="BH12" s="78">
        <f>'Alternative 2'!$B$39*$B12*$C12*COS($K$73)-($N$72/3)*$E12*SIN($K$73)-($N$72/3)*$F12*SIN($K$73)-($N$72/3)*$G12*SIN($K$73)</f>
        <v>128486.34081576642</v>
      </c>
      <c r="BI12" s="79">
        <f>IF(($A12&lt;'Alternative 2'!$B$27),(($H12*'Alternative 2'!$B$39)+(3*($N$72/3)*COS($K$73))),IF(($A12&lt;'Alternative 2'!$B$28),(($H12*'Alternative 2'!$B$39)+(2*(($N$72/3)*COS($K$73)))),IF(($A12&lt;'Alternative 2'!$B$29),(($H$3*'Alternative 2'!$B$39+(($N$72/3)*COS($K$73)))),($H12*'Alternative 2'!$B$39))))</f>
        <v>257082.2583005288</v>
      </c>
      <c r="BJ12" s="78">
        <f>BH12*'Alternative 2'!$K13/'Alternative 2'!$L13</f>
        <v>2225578.3207343058</v>
      </c>
      <c r="BK12" s="78">
        <f>BI12/'Alternative 2'!$M13</f>
        <v>89061.008464725863</v>
      </c>
      <c r="BL12" s="78">
        <f t="shared" si="9"/>
        <v>2.3146393291990313</v>
      </c>
      <c r="BN12" s="78">
        <f>'Alternative 2'!$B$39*$B12*$C12*COS($K$83)-($N$82/3)*$E12*SIN($K$83)-($N$82/3)*$F12*SIN($K$83)-($N$82/3)*$G12*SIN($K$83)</f>
        <v>43779.845672805706</v>
      </c>
      <c r="BO12" s="79">
        <f>IF(($A12&lt;'Alternative 2'!$B$27),(($H12*'Alternative 2'!$B$39)+(3*($N$82/3)*COS($K$83))),IF(($A12&lt;'Alternative 2'!$B$28),(($H12*'Alternative 2'!$B$39)+(2*(($N$82/3)*COS($K$83)))),IF(($A12&lt;'Alternative 2'!$B$29),(($H$3*'Alternative 2'!$B$39+(($N$82/3)*COS($K$83)))),($H12*'Alternative 2'!$B$39))))</f>
        <v>236658.78006070704</v>
      </c>
      <c r="BP12" s="78">
        <f>BN12*'Alternative 2'!$K13/'Alternative 2'!$L13</f>
        <v>758333.33563604578</v>
      </c>
      <c r="BQ12" s="78">
        <f>BO12/'Alternative 2'!$M13</f>
        <v>81985.702761328866</v>
      </c>
      <c r="BR12" s="78">
        <f t="shared" si="10"/>
        <v>0.84031903839737465</v>
      </c>
      <c r="BT12" s="78">
        <f>'Alternative 2'!$B$39*$B12*$C12*COS($K$93)-($K$92/3)*$E12*SIN($K$93)-($K$92/3)*$F12*SIN($K$93)-($K$92/3)*$G12*SIN($K$93)</f>
        <v>-19.15789742253456</v>
      </c>
      <c r="BU12" s="79">
        <f>IF(($A12&lt;'Alternative 2'!$B$27),(($H12*'Alternative 2'!$B$39)+(3*($N$92/3)*COS($K$93))),IF(($A12&lt;'Alternative 2'!$B$28),(($H12*'Alternative 2'!$B$39)+(2*(($N$92/3)*COS($K$93)))),IF(($A12&lt;'Alternative 2'!$B$29),(($H$3*'Alternative 2'!$B$39+(($N$92/3)*COS($K$93)))),($H12*'Alternative 2'!$B$39))))</f>
        <v>229589.92996875866</v>
      </c>
      <c r="BV12" s="78">
        <f>BT12*'Alternative 2'!$K13/'Alternative 2'!$L13</f>
        <v>-331.84384350692443</v>
      </c>
      <c r="BW12" s="78">
        <f>BU12/'Alternative 2'!$M13</f>
        <v>79536.840976635271</v>
      </c>
      <c r="BX12" s="78">
        <f t="shared" si="11"/>
        <v>7.9204997133128341E-2</v>
      </c>
      <c r="BZ12" s="77">
        <v>150</v>
      </c>
      <c r="CA12" s="77">
        <v>-150</v>
      </c>
    </row>
    <row r="13" spans="1:79" ht="15" customHeight="1" x14ac:dyDescent="0.25">
      <c r="A13" s="13">
        <f>IF('Alternative 2'!F14&gt;0,'Alternative 2'!F14,"x")</f>
        <v>11</v>
      </c>
      <c r="B13" s="13">
        <f t="shared" si="17"/>
        <v>26</v>
      </c>
      <c r="C13" s="13">
        <f t="shared" si="12"/>
        <v>13</v>
      </c>
      <c r="D13" s="13">
        <f t="shared" si="13"/>
        <v>11</v>
      </c>
      <c r="E13" s="74">
        <f>IF($A13&lt;='Alternative 2'!$B$27, IF($A13='Alternative 2'!$B$27,0,E14+1),0)</f>
        <v>5</v>
      </c>
      <c r="F13" s="74">
        <f>IF($A13&lt;=('Alternative 2'!$B$28), IF($A13=ROUNDDOWN('Alternative 2'!$B$28,0),0,F14+1),0)</f>
        <v>11</v>
      </c>
      <c r="G13" s="74">
        <f>IF($A13&lt;=('Alternative 2'!$B$29), IF($A13=ROUNDDOWN('Alternative 2'!$B$29,0),0,G14+1),0)</f>
        <v>18</v>
      </c>
      <c r="H13" s="13">
        <f t="shared" si="14"/>
        <v>26</v>
      </c>
      <c r="J13" s="77">
        <f t="shared" si="15"/>
        <v>10</v>
      </c>
      <c r="K13" s="82">
        <f t="shared" si="16"/>
        <v>0.17453292519943295</v>
      </c>
      <c r="L13" s="78">
        <f>'Alternative 2'!$B$27*SIN(K13)+'Alternative 2'!$B$28*SIN(K13)+'Alternative 2'!$B$29*SIN(K13)</f>
        <v>11.808076081351263</v>
      </c>
      <c r="M13" s="77">
        <f>(('Alternative 2'!$B$27)*(((('Alternative 2'!$B$28-'Alternative 2'!$B$27)/2)+'Alternative 2'!$B$27)*'Alternative 2'!$B$39)*COS('Alternative 2-Tilt Up'!K13))+(('Alternative 2'!$B$28)*((('Alternative 2'!$B$28-'Alternative 2'!$B$27)/2)+(('Alternative 2'!$B$29-'Alternative 2'!$B$28)/2))*('Alternative 2'!$B$39)*COS('Alternative 2-Tilt Up'!K13))+(('Alternative 2'!$B$29)*((('Alternative 2'!$B$12-'Alternative 2'!$B$29+(('Alternative 2'!$B$29-'Alternative 2'!$B$28)/2)*('Alternative 2'!$B$39)*COS('Alternative 2-Tilt Up'!K13)))))</f>
        <v>4674011.2832076354</v>
      </c>
      <c r="N13" s="77">
        <f t="shared" si="0"/>
        <v>1187495.2153948424</v>
      </c>
      <c r="O13" s="77">
        <f>(((('Alternative 2'!$B$28-'Alternative 2'!$B$27)/2)+'Alternative 2'!$B$27)*('Alternative 2'!$B$39)*COS('Alternative 2-Tilt Up'!K13))+(((('Alternative 2'!$B$28-'Alternative 2'!$B$27)/2)+(('Alternative 2'!$B$29-'Alternative 2'!$B$28)/2))*('Alternative 2'!$B$39)*COS('Alternative 2-Tilt Up'!K13))+(((('Alternative 2'!$B$12-'Alternative 2'!$B$29)+(('Alternative 2'!$B$29-'Alternative 2'!$B$28)/2))*('Alternative 2'!$B$39)*COS('Alternative 2-Tilt Up'!K13)))</f>
        <v>301469.25739568454</v>
      </c>
      <c r="P13" s="82">
        <f t="shared" si="1"/>
        <v>1169454.4947857428</v>
      </c>
      <c r="R13" s="78">
        <f>('Alternative 2'!$B$39*$B13*$C13*COS($K$5))-(($N$5/3)*$E13*SIN($K$5))-(($N$5/3)*$F13*SIN($K$5))-(($N$5/3)*$G13*SIN($K$5))</f>
        <v>500764.28069490311</v>
      </c>
      <c r="S13" s="79">
        <f>IF(($A13&lt;'Alternative 2'!$B$27),(($H13*'Alternative 2'!$B$39)+(3*($N$5/3)*COS($K$5))),IF(($A13&lt;'Alternative 2'!$B$28),(($H13*'Alternative 2'!$B$39)+(2*(($N$5/3)*COS($K$5)))),IF(($A13&lt;'Alternative 2'!$B$29),(($H$3*'Alternative 2'!$B$39+(($N$5/3)*COS($K$5)))),($H13*'Alternative 2'!$B$39))))</f>
        <v>6213502.230452951</v>
      </c>
      <c r="T13" s="78">
        <f>R13*'Alternative 2'!$K14/'Alternative 2'!$L14</f>
        <v>8856812.0215863641</v>
      </c>
      <c r="U13" s="78">
        <f>S13/'Alternative 2'!$M14</f>
        <v>2197911.1059179436</v>
      </c>
      <c r="V13" s="78">
        <f t="shared" si="2"/>
        <v>11.054723127504309</v>
      </c>
      <c r="X13" s="78">
        <f>'Alternative 2'!$B$39*$B13*$C13*COS($K$13)-($N$12/3)*$E13*SIN($K$13)-($N$12/3)*$F13*SIN($K$13)-($N$12/3)*$G13*SIN($K$13)</f>
        <v>228708.95704208501</v>
      </c>
      <c r="Y13" s="79">
        <f>IF(($A13&lt;'Alternative 2'!$B$27),(($H13*'Alternative 2'!$B$39)+(3*($N$12/3)*COS($K$13))),IF(($A13&lt;'Alternative 2'!$B$28),(($H13*'Alternative 2'!$B$39)+(2*(($N$12/3)*COS($K$13)))),IF(($A13&lt;'Alternative 2'!$B$29),(($H$3*'Alternative 2'!$B$39+(($N$12/3)*COS($K$13)))),($H13*'Alternative 2'!$B$39))))</f>
        <v>1523022.2852558745</v>
      </c>
      <c r="Z13" s="78">
        <f>X13*'Alternative 2'!$K14/'Alternative 2'!$L14</f>
        <v>4045081.3252172824</v>
      </c>
      <c r="AA13" s="78">
        <f>Y13/'Alternative 2'!$M14</f>
        <v>538740.869668987</v>
      </c>
      <c r="AB13" s="78">
        <f t="shared" si="3"/>
        <v>4.5838221948862694</v>
      </c>
      <c r="AD13" s="78">
        <f>'Alternative 2'!$B$39*$B13*$C13*COS($K$23)-($N$22/3)*$E13*SIN($K$23)-($N$22/3)*$F13*SIN($K$23)-($N$22/3)*$G13*SIN($K$23)</f>
        <v>343635.73591561825</v>
      </c>
      <c r="AE13" s="79">
        <f>IF(($A13&lt;'Alternative 2'!$B$27),(($H13*'Alternative 2'!$B$39)+(3*($N$22/3)*COS($K$23))),IF(($A13&lt;'Alternative 2'!$B$28),(($H13*'Alternative 2'!$B$39)+(2*(($N$22/3)*COS($K$23)))),IF(($A13&lt;'Alternative 2'!$B$29),(($H$3*'Alternative 2'!$B$39+(($N$22/3)*COS($K$23)))),($H13*'Alternative 2'!$B$39))))</f>
        <v>792519.65438738698</v>
      </c>
      <c r="AF13" s="78">
        <f>AD13*'Alternative 2'!$K14/'Alternative 2'!$L14</f>
        <v>6077744.0289484747</v>
      </c>
      <c r="AG13" s="78">
        <f>AE13/'Alternative 2'!$M14</f>
        <v>280339.12042376597</v>
      </c>
      <c r="AH13" s="78">
        <f t="shared" si="4"/>
        <v>6.3580831493722405</v>
      </c>
      <c r="AJ13" s="78">
        <f>'Alternative 2'!$B$39*$B13*$C13*COS($K$33)-($N$32/3)*$E13*SIN($K$33)-($N$32/3)*$F13*SIN($K$33)-($N$32/3)*$G13*SIN($K$33)</f>
        <v>348499.9335042024</v>
      </c>
      <c r="AK13" s="79">
        <f>IF(($A13&lt;'Alternative 2'!$B$27),(($H13*'Alternative 2'!$B$39)+(3*($N$32/3)*COS($K$33))),IF(($A13&lt;'Alternative 2'!$B$28),(($H13*'Alternative 2'!$B$39)+(2*(($N$32/3)*COS($K$33)))),IF(($A13&lt;'Alternative 2'!$B$29),(($H$3*'Alternative 2'!$B$39+(($N$32/3)*COS($K$33)))),($H13*'Alternative 2'!$B$39))))</f>
        <v>548225.04867375689</v>
      </c>
      <c r="AL13" s="78">
        <f>AJ13*'Alternative 2'!$K14/'Alternative 2'!$L14</f>
        <v>6163775.0925422283</v>
      </c>
      <c r="AM13" s="78">
        <f>AK13/'Alternative 2'!$M14</f>
        <v>193924.43719049206</v>
      </c>
      <c r="AN13" s="78">
        <f t="shared" si="5"/>
        <v>6.3576995297327201</v>
      </c>
      <c r="AP13" s="78">
        <f>'Alternative 2'!$B$39*$B13*$C13*COS($K$43)-($N$42/3)*$E13*SIN($K$43)-($N$42/3)*$F13*SIN($K$43)-($N$42/3)*$G13*SIN($K$43)</f>
        <v>318009.35414586158</v>
      </c>
      <c r="AQ13" s="79">
        <f>IF(($A13&lt;'Alternative 2'!$B$27),(($H13*'Alternative 2'!$B$39)+(3*($N$42/3)*COS($K$43))),IF(($A13&lt;'Alternative 2'!$B$28),(($H13*'Alternative 2'!$B$39)+(2*(($N$42/3)*COS($K$43)))),IF(($A13&lt;'Alternative 2'!$B$29),(($H$3*'Alternative 2'!$B$39+(($N$42/3)*COS($K$43)))),($H13*'Alternative 2'!$B$39))))</f>
        <v>419166.42888537981</v>
      </c>
      <c r="AR13" s="78">
        <f>AP13*'Alternative 2'!$K14/'Alternative 2'!$L14</f>
        <v>5624500.7468733583</v>
      </c>
      <c r="AS13" s="78">
        <f>AQ13/'Alternative 2'!$M14</f>
        <v>148272.3454672326</v>
      </c>
      <c r="AT13" s="78">
        <f t="shared" si="6"/>
        <v>5.7727730923405902</v>
      </c>
      <c r="AV13" s="78">
        <f>'Alternative 2'!$B$39*$B13*$C13*COS($K$53)-($N$52/3)*$E13*SIN($K$53)-($N$52/3)*$F13*SIN($K$53)-($N$52/3)*$G13*SIN($K$53)</f>
        <v>267171.03787109395</v>
      </c>
      <c r="AW13" s="79">
        <f>IF(($A13&lt;'Alternative 2'!$B$27),(($H13*'Alternative 2'!$B$39)+(3*($N$52/3)*COS($K$53))),IF(($A13&lt;'Alternative 2'!$B$28),(($H13*'Alternative 2'!$B$39)+(2*(($N$52/3)*COS($K$53)))),IF(($A13&lt;'Alternative 2'!$B$29),(($H$3*'Alternative 2'!$B$39+(($N$52/3)*COS($K$53)))),($H13*'Alternative 2'!$B$39))))</f>
        <v>338087.79456323857</v>
      </c>
      <c r="AX13" s="78">
        <f>AV13*'Alternative 2'!$K14/'Alternative 2'!$L14</f>
        <v>4725344.3411593856</v>
      </c>
      <c r="AY13" s="78">
        <f>AW13/'Alternative 2'!$M14</f>
        <v>119592.28320606507</v>
      </c>
      <c r="AZ13" s="78">
        <f t="shared" si="7"/>
        <v>4.8449366243654506</v>
      </c>
      <c r="BB13" s="78">
        <f>'Alternative 2'!$B$39*$B13*$C13*COS($K$63)-($N$62/3)*$E13*SIN($K$63)-($N$62/3)*$F13*SIN($K$63)-($N$62/3)*$G13*SIN($K$63)</f>
        <v>202170.10824546067</v>
      </c>
      <c r="BC13" s="79">
        <f>IF(($A13&lt;'Alternative 2'!$B$27),(($H13*'Alternative 2'!$B$39)+(3*($N$62/3)*COS($K$63))),IF(($A13&lt;'Alternative 2'!$B$28),(($H13*'Alternative 2'!$B$39)+(2*(($N$62/3)*COS($K$63)))),IF(($A13&lt;'Alternative 2'!$B$29),(($H$3*'Alternative 2'!$B$39+(($N$62/3)*COS($K$63)))),($H13*'Alternative 2'!$B$39))))</f>
        <v>283995.335950976</v>
      </c>
      <c r="BD13" s="78">
        <f>BB13*'Alternative 2'!$K14/'Alternative 2'!$L14</f>
        <v>3575699.6138563394</v>
      </c>
      <c r="BE13" s="78">
        <f>BC13/'Alternative 2'!$M14</f>
        <v>100458.07980180689</v>
      </c>
      <c r="BF13" s="78">
        <f t="shared" si="8"/>
        <v>3.6761576936581459</v>
      </c>
      <c r="BH13" s="78">
        <f>'Alternative 2'!$B$39*$B13*$C13*COS($K$73)-($N$72/3)*$E13*SIN($K$73)-($N$72/3)*$F13*SIN($K$73)-($N$72/3)*$G13*SIN($K$73)</f>
        <v>126950.66656064143</v>
      </c>
      <c r="BI13" s="79">
        <f>IF(($A13&lt;'Alternative 2'!$B$27),(($H13*'Alternative 2'!$B$39)+(3*($N$72/3)*COS($K$73))),IF(($A13&lt;'Alternative 2'!$B$28),(($H13*'Alternative 2'!$B$39)+(2*(($N$72/3)*COS($K$73)))),IF(($A13&lt;'Alternative 2'!$B$29),(($H$3*'Alternative 2'!$B$39+(($N$72/3)*COS($K$73)))),($H13*'Alternative 2'!$B$39))))</f>
        <v>248578.92756094516</v>
      </c>
      <c r="BJ13" s="78">
        <f>BH13*'Alternative 2'!$K14/'Alternative 2'!$L14</f>
        <v>2245324.2635085881</v>
      </c>
      <c r="BK13" s="78">
        <f>BI13/'Alternative 2'!$M14</f>
        <v>87930.182579743821</v>
      </c>
      <c r="BL13" s="78">
        <f t="shared" si="9"/>
        <v>2.3332544460883318</v>
      </c>
      <c r="BN13" s="78">
        <f>'Alternative 2'!$B$39*$B13*$C13*COS($K$83)-($N$82/3)*$E13*SIN($K$83)-($N$82/3)*$F13*SIN($K$83)-($N$82/3)*$G13*SIN($K$83)</f>
        <v>44739.707678636478</v>
      </c>
      <c r="BO13" s="79">
        <f>IF(($A13&lt;'Alternative 2'!$B$27),(($H13*'Alternative 2'!$B$39)+(3*($N$82/3)*COS($K$83))),IF(($A13&lt;'Alternative 2'!$B$28),(($H13*'Alternative 2'!$B$39)+(2*(($N$82/3)*COS($K$83)))),IF(($A13&lt;'Alternative 2'!$B$29),(($H$3*'Alternative 2'!$B$39+(($N$82/3)*COS($K$83)))),($H13*'Alternative 2'!$B$39))))</f>
        <v>228155.44932112339</v>
      </c>
      <c r="BP13" s="78">
        <f>BN13*'Alternative 2'!$K14/'Alternative 2'!$L14</f>
        <v>791292.82196512795</v>
      </c>
      <c r="BQ13" s="78">
        <f>BO13/'Alternative 2'!$M14</f>
        <v>80705.756164513354</v>
      </c>
      <c r="BR13" s="78">
        <f t="shared" si="10"/>
        <v>0.87199857812964121</v>
      </c>
      <c r="BT13" s="78">
        <f>'Alternative 2'!$B$39*$B13*$C13*COS($K$93)-($K$92/3)*$E13*SIN($K$93)-($K$92/3)*$F13*SIN($K$93)-($K$92/3)*$G13*SIN($K$93)</f>
        <v>-17.60455438827341</v>
      </c>
      <c r="BU13" s="79">
        <f>IF(($A13&lt;'Alternative 2'!$B$27),(($H13*'Alternative 2'!$B$39)+(3*($N$92/3)*COS($K$93))),IF(($A13&lt;'Alternative 2'!$B$28),(($H13*'Alternative 2'!$B$39)+(2*(($N$92/3)*COS($K$93)))),IF(($A13&lt;'Alternative 2'!$B$29),(($H$3*'Alternative 2'!$B$39+(($N$92/3)*COS($K$93)))),($H13*'Alternative 2'!$B$39))))</f>
        <v>221086.59922917502</v>
      </c>
      <c r="BV13" s="78">
        <f>BT13*'Alternative 2'!$K14/'Alternative 2'!$L14</f>
        <v>-311.36451810093712</v>
      </c>
      <c r="BW13" s="78">
        <f>BU13/'Alternative 2'!$M14</f>
        <v>78205.28162585212</v>
      </c>
      <c r="BX13" s="78">
        <f t="shared" si="11"/>
        <v>7.789391710775119E-2</v>
      </c>
      <c r="BZ13" s="77">
        <v>150</v>
      </c>
      <c r="CA13" s="77">
        <v>-150</v>
      </c>
    </row>
    <row r="14" spans="1:79" ht="15" customHeight="1" x14ac:dyDescent="0.25">
      <c r="A14" s="13">
        <f>IF('Alternative 2'!F15&gt;0,'Alternative 2'!F15,"x")</f>
        <v>12</v>
      </c>
      <c r="B14" s="13">
        <f t="shared" si="17"/>
        <v>25</v>
      </c>
      <c r="C14" s="13">
        <f t="shared" si="12"/>
        <v>12.5</v>
      </c>
      <c r="D14" s="13">
        <f t="shared" si="13"/>
        <v>12</v>
      </c>
      <c r="E14" s="74">
        <f>IF($A14&lt;='Alternative 2'!$B$27, IF($A14='Alternative 2'!$B$27,0,E15+1),0)</f>
        <v>4</v>
      </c>
      <c r="F14" s="74">
        <f>IF($A14&lt;=('Alternative 2'!$B$28), IF($A14=ROUNDDOWN('Alternative 2'!$B$28,0),0,F15+1),0)</f>
        <v>10</v>
      </c>
      <c r="G14" s="74">
        <f>IF($A14&lt;=('Alternative 2'!$B$29), IF($A14=ROUNDDOWN('Alternative 2'!$B$29,0),0,G15+1),0)</f>
        <v>17</v>
      </c>
      <c r="H14" s="13">
        <f t="shared" si="14"/>
        <v>25</v>
      </c>
      <c r="J14" s="77">
        <f t="shared" si="15"/>
        <v>11</v>
      </c>
      <c r="K14" s="77">
        <f t="shared" si="16"/>
        <v>0.19198621771937624</v>
      </c>
      <c r="L14" s="78">
        <f>'Alternative 2'!$B$27*SIN(K14)+'Alternative 2'!$B$28*SIN(K14)+'Alternative 2'!$B$29*SIN(K14)</f>
        <v>12.975011685605047</v>
      </c>
      <c r="M14" s="77">
        <f>(('Alternative 2'!$B$27)*(((('Alternative 2'!$B$28-'Alternative 2'!$B$27)/2)+'Alternative 2'!$B$27)*'Alternative 2'!$B$39)*COS('Alternative 2-Tilt Up'!K14))+(('Alternative 2'!$B$28)*((('Alternative 2'!$B$28-'Alternative 2'!$B$27)/2)+(('Alternative 2'!$B$29-'Alternative 2'!$B$28)/2))*('Alternative 2'!$B$39)*COS('Alternative 2-Tilt Up'!K14))+(('Alternative 2'!$B$29)*((('Alternative 2'!$B$12-'Alternative 2'!$B$29+(('Alternative 2'!$B$29-'Alternative 2'!$B$28)/2)*('Alternative 2'!$B$39)*COS('Alternative 2-Tilt Up'!K14)))))</f>
        <v>4658916.5647025108</v>
      </c>
      <c r="N14" s="77">
        <f t="shared" si="0"/>
        <v>1077205.1719701996</v>
      </c>
      <c r="O14" s="77">
        <f>(((('Alternative 2'!$B$28-'Alternative 2'!$B$27)/2)+'Alternative 2'!$B$27)*('Alternative 2'!$B$39)*COS('Alternative 2-Tilt Up'!K14))+(((('Alternative 2'!$B$28-'Alternative 2'!$B$27)/2)+(('Alternative 2'!$B$29-'Alternative 2'!$B$28)/2))*('Alternative 2'!$B$39)*COS('Alternative 2-Tilt Up'!K14))+(((('Alternative 2'!$B$12-'Alternative 2'!$B$29)+(('Alternative 2'!$B$29-'Alternative 2'!$B$28)/2))*('Alternative 2'!$B$39)*COS('Alternative 2-Tilt Up'!K14)))</f>
        <v>300495.62173757196</v>
      </c>
      <c r="P14" s="77">
        <f t="shared" si="1"/>
        <v>1057413.8789563635</v>
      </c>
      <c r="R14" s="78">
        <f>('Alternative 2'!$B$39*$B14*$C14*COS($K$5))-(($N$5/3)*$E14*SIN($K$5))-(($N$5/3)*$F14*SIN($K$5))-(($N$5/3)*$G14*SIN($K$5))</f>
        <v>493321.20177525491</v>
      </c>
      <c r="S14" s="79">
        <f>IF(($A14&lt;'Alternative 2'!$B$27),(($H14*'Alternative 2'!$B$39)+(3*($N$5/3)*COS($K$5))),IF(($A14&lt;'Alternative 2'!$B$28),(($H14*'Alternative 2'!$B$39)+(2*(($N$5/3)*COS($K$5)))),IF(($A14&lt;'Alternative 2'!$B$29),(($H$3*'Alternative 2'!$B$39+(($N$5/3)*COS($K$5)))),($H14*'Alternative 2'!$B$39))))</f>
        <v>6204998.8997133682</v>
      </c>
      <c r="T14" s="78">
        <f>R14*'Alternative 2'!$K15/'Alternative 2'!$L15</f>
        <v>8911021.4235530607</v>
      </c>
      <c r="U14" s="78">
        <f>S14/'Alternative 2'!$M15</f>
        <v>2241656.1513549397</v>
      </c>
      <c r="V14" s="78">
        <f t="shared" si="2"/>
        <v>11.152677574907999</v>
      </c>
      <c r="X14" s="78">
        <f>'Alternative 2'!$B$39*$B14*$C14*COS($K$13)-($N$12/3)*$E14*SIN($K$13)-($N$12/3)*$F14*SIN($K$13)-($N$12/3)*$G14*SIN($K$13)</f>
        <v>244734.62164716725</v>
      </c>
      <c r="Y14" s="79">
        <f>IF(($A14&lt;'Alternative 2'!$B$27),(($H14*'Alternative 2'!$B$39)+(3*($N$12/3)*COS($K$13))),IF(($A14&lt;'Alternative 2'!$B$28),(($H14*'Alternative 2'!$B$39)+(2*(($N$12/3)*COS($K$13)))),IF(($A14&lt;'Alternative 2'!$B$29),(($H$3*'Alternative 2'!$B$39+(($N$12/3)*COS($K$13)))),($H14*'Alternative 2'!$B$39))))</f>
        <v>1514518.9545162909</v>
      </c>
      <c r="Z14" s="78">
        <f>X14*'Alternative 2'!$K15/'Alternative 2'!$L15</f>
        <v>4420721.1219285792</v>
      </c>
      <c r="AA14" s="78">
        <f>Y14/'Alternative 2'!$M15</f>
        <v>547144.45330391999</v>
      </c>
      <c r="AB14" s="78">
        <f t="shared" si="3"/>
        <v>4.9678655752324996</v>
      </c>
      <c r="AD14" s="78">
        <f>'Alternative 2'!$B$39*$B14*$C14*COS($K$23)-($N$22/3)*$E14*SIN($K$23)-($N$22/3)*$F14*SIN($K$23)-($N$22/3)*$G14*SIN($K$23)</f>
        <v>347862.17159274127</v>
      </c>
      <c r="AE14" s="79">
        <f>IF(($A14&lt;'Alternative 2'!$B$27),(($H14*'Alternative 2'!$B$39)+(3*($N$22/3)*COS($K$23))),IF(($A14&lt;'Alternative 2'!$B$28),(($H14*'Alternative 2'!$B$39)+(2*(($N$22/3)*COS($K$23)))),IF(($A14&lt;'Alternative 2'!$B$29),(($H$3*'Alternative 2'!$B$39+(($N$22/3)*COS($K$23)))),($H14*'Alternative 2'!$B$39))))</f>
        <v>784016.32364780339</v>
      </c>
      <c r="AF14" s="78">
        <f>AD14*'Alternative 2'!$K15/'Alternative 2'!$L15</f>
        <v>6283547.6203976432</v>
      </c>
      <c r="AG14" s="78">
        <f>AE14/'Alternative 2'!$M15</f>
        <v>283238.56991319836</v>
      </c>
      <c r="AH14" s="78">
        <f t="shared" si="4"/>
        <v>6.5667861903108413</v>
      </c>
      <c r="AJ14" s="78">
        <f>'Alternative 2'!$B$39*$B14*$C14*COS($K$33)-($N$32/3)*$E14*SIN($K$33)-($N$32/3)*$F14*SIN($K$33)-($N$32/3)*$G14*SIN($K$33)</f>
        <v>349588.84420316364</v>
      </c>
      <c r="AK14" s="79">
        <f>IF(($A14&lt;'Alternative 2'!$B$27),(($H14*'Alternative 2'!$B$39)+(3*($N$32/3)*COS($K$33))),IF(($A14&lt;'Alternative 2'!$B$28),(($H14*'Alternative 2'!$B$39)+(2*(($N$32/3)*COS($K$33)))),IF(($A14&lt;'Alternative 2'!$B$29),(($H$3*'Alternative 2'!$B$39+(($N$32/3)*COS($K$33)))),($H14*'Alternative 2'!$B$39))))</f>
        <v>539721.7179341733</v>
      </c>
      <c r="AL14" s="78">
        <f>AJ14*'Alternative 2'!$K15/'Alternative 2'!$L15</f>
        <v>6314737.0697210589</v>
      </c>
      <c r="AM14" s="78">
        <f>AK14/'Alternative 2'!$M15</f>
        <v>194983.19477266687</v>
      </c>
      <c r="AN14" s="78">
        <f t="shared" si="5"/>
        <v>6.5097202644937262</v>
      </c>
      <c r="AP14" s="78">
        <f>'Alternative 2'!$B$39*$B14*$C14*COS($K$43)-($N$42/3)*$E14*SIN($K$43)-($N$42/3)*$F14*SIN($K$43)-($N$42/3)*$G14*SIN($K$43)</f>
        <v>318112.86999699008</v>
      </c>
      <c r="AQ14" s="79">
        <f>IF(($A14&lt;'Alternative 2'!$B$27),(($H14*'Alternative 2'!$B$39)+(3*($N$42/3)*COS($K$43))),IF(($A14&lt;'Alternative 2'!$B$28),(($H14*'Alternative 2'!$B$39)+(2*(($N$42/3)*COS($K$43)))),IF(($A14&lt;'Alternative 2'!$B$29),(($H$3*'Alternative 2'!$B$39+(($N$42/3)*COS($K$43)))),($H14*'Alternative 2'!$B$39))))</f>
        <v>410663.0981457961</v>
      </c>
      <c r="AR14" s="78">
        <f>AP14*'Alternative 2'!$K15/'Alternative 2'!$L15</f>
        <v>5746176.3034919249</v>
      </c>
      <c r="AS14" s="78">
        <f>AQ14/'Alternative 2'!$M15</f>
        <v>148358.68224497599</v>
      </c>
      <c r="AT14" s="78">
        <f t="shared" si="6"/>
        <v>5.8945349857369012</v>
      </c>
      <c r="AV14" s="78">
        <f>'Alternative 2'!$B$39*$B14*$C14*COS($K$53)-($N$52/3)*$E14*SIN($K$53)-($N$52/3)*$F14*SIN($K$53)-($N$52/3)*$G14*SIN($K$53)</f>
        <v>267228.82391626935</v>
      </c>
      <c r="AW14" s="79">
        <f>IF(($A14&lt;'Alternative 2'!$B$27),(($H14*'Alternative 2'!$B$39)+(3*($N$52/3)*COS($K$53))),IF(($A14&lt;'Alternative 2'!$B$28),(($H14*'Alternative 2'!$B$39)+(2*(($N$52/3)*COS($K$53)))),IF(($A14&lt;'Alternative 2'!$B$29),(($H$3*'Alternative 2'!$B$39+(($N$52/3)*COS($K$53)))),($H14*'Alternative 2'!$B$39))))</f>
        <v>329584.46382365492</v>
      </c>
      <c r="AX14" s="78">
        <f>AV14*'Alternative 2'!$K15/'Alternative 2'!$L15</f>
        <v>4827041.2184587568</v>
      </c>
      <c r="AY14" s="78">
        <f>AW14/'Alternative 2'!$M15</f>
        <v>119067.7150249687</v>
      </c>
      <c r="AZ14" s="78">
        <f t="shared" si="7"/>
        <v>4.9461089334837256</v>
      </c>
      <c r="BB14" s="78">
        <f>'Alternative 2'!$B$39*$B14*$C14*COS($K$63)-($N$62/3)*$E14*SIN($K$63)-($N$62/3)*$F14*SIN($K$63)-($N$62/3)*$G14*SIN($K$63)</f>
        <v>202713.76955790236</v>
      </c>
      <c r="BC14" s="79">
        <f>IF(($A14&lt;'Alternative 2'!$B$27),(($H14*'Alternative 2'!$B$39)+(3*($N$62/3)*COS($K$63))),IF(($A14&lt;'Alternative 2'!$B$28),(($H14*'Alternative 2'!$B$39)+(2*(($N$62/3)*COS($K$63)))),IF(($A14&lt;'Alternative 2'!$B$29),(($H$3*'Alternative 2'!$B$39+(($N$62/3)*COS($K$63)))),($H14*'Alternative 2'!$B$39))))</f>
        <v>275492.00521139236</v>
      </c>
      <c r="BD14" s="78">
        <f>BB14*'Alternative 2'!$K15/'Alternative 2'!$L15</f>
        <v>3661684.7945704386</v>
      </c>
      <c r="BE14" s="78">
        <f>BC14/'Alternative 2'!$M15</f>
        <v>99525.939990054161</v>
      </c>
      <c r="BF14" s="78">
        <f t="shared" si="8"/>
        <v>3.761210734560493</v>
      </c>
      <c r="BH14" s="78">
        <f>'Alternative 2'!$B$39*$B14*$C14*COS($K$73)-($N$72/3)*$E14*SIN($K$73)-($N$72/3)*$F14*SIN($K$73)-($N$72/3)*$G14*SIN($K$73)</f>
        <v>128323.30270381423</v>
      </c>
      <c r="BI14" s="79">
        <f>IF(($A14&lt;'Alternative 2'!$B$27),(($H14*'Alternative 2'!$B$39)+(3*($N$72/3)*COS($K$73))),IF(($A14&lt;'Alternative 2'!$B$28),(($H14*'Alternative 2'!$B$39)+(2*(($N$72/3)*COS($K$73)))),IF(($A14&lt;'Alternative 2'!$B$29),(($H$3*'Alternative 2'!$B$39+(($N$72/3)*COS($K$73)))),($H14*'Alternative 2'!$B$39))))</f>
        <v>240075.59682136151</v>
      </c>
      <c r="BJ14" s="78">
        <f>BH14*'Alternative 2'!$K15/'Alternative 2'!$L15</f>
        <v>2317945.5807288005</v>
      </c>
      <c r="BK14" s="78">
        <f>BI14/'Alternative 2'!$M15</f>
        <v>86731.189981302552</v>
      </c>
      <c r="BL14" s="78">
        <f t="shared" si="9"/>
        <v>2.4046767707101031</v>
      </c>
      <c r="BN14" s="78">
        <f>'Alternative 2'!$B$39*$B14*$C14*COS($K$83)-($N$82/3)*$E14*SIN($K$83)-($N$82/3)*$F14*SIN($K$83)-($N$82/3)*$G14*SIN($K$83)</f>
        <v>47176.157571494987</v>
      </c>
      <c r="BO14" s="79">
        <f>IF(($A14&lt;'Alternative 2'!$B$27),(($H14*'Alternative 2'!$B$39)+(3*($N$82/3)*COS($K$83))),IF(($A14&lt;'Alternative 2'!$B$28),(($H14*'Alternative 2'!$B$39)+(2*(($N$82/3)*COS($K$83)))),IF(($A14&lt;'Alternative 2'!$B$29),(($H$3*'Alternative 2'!$B$39+(($N$82/3)*COS($K$83)))),($H14*'Alternative 2'!$B$39))))</f>
        <v>219652.11858153975</v>
      </c>
      <c r="BP14" s="78">
        <f>BN14*'Alternative 2'!$K15/'Alternative 2'!$L15</f>
        <v>852158.28812487388</v>
      </c>
      <c r="BQ14" s="78">
        <f>BO14/'Alternative 2'!$M15</f>
        <v>79352.878338012</v>
      </c>
      <c r="BR14" s="78">
        <f t="shared" si="10"/>
        <v>0.9315111664628859</v>
      </c>
      <c r="BT14" s="78">
        <f>'Alternative 2'!$B$39*$B14*$C14*COS($K$93)-($K$92/3)*$E14*SIN($K$93)-($K$92/3)*$F14*SIN($K$93)-($K$92/3)*$G14*SIN($K$93)</f>
        <v>-16.051211354011741</v>
      </c>
      <c r="BU14" s="79">
        <f>IF(($A14&lt;'Alternative 2'!$B$27),(($H14*'Alternative 2'!$B$39)+(3*($N$92/3)*COS($K$93))),IF(($A14&lt;'Alternative 2'!$B$28),(($H14*'Alternative 2'!$B$39)+(2*(($N$92/3)*COS($K$93)))),IF(($A14&lt;'Alternative 2'!$B$29),(($H$3*'Alternative 2'!$B$39+(($N$92/3)*COS($K$93)))),($H14*'Alternative 2'!$B$39))))</f>
        <v>212583.26848959137</v>
      </c>
      <c r="BV14" s="78">
        <f>BT14*'Alternative 2'!$K15/'Alternative 2'!$L15</f>
        <v>-289.93825470071516</v>
      </c>
      <c r="BW14" s="78">
        <f>BU14/'Alternative 2'!$M15</f>
        <v>76799.141980000073</v>
      </c>
      <c r="BX14" s="78">
        <f t="shared" si="11"/>
        <v>7.650920372529936E-2</v>
      </c>
      <c r="BZ14" s="77">
        <v>150</v>
      </c>
      <c r="CA14" s="77">
        <v>-150</v>
      </c>
    </row>
    <row r="15" spans="1:79" ht="15" customHeight="1" x14ac:dyDescent="0.25">
      <c r="A15" s="13">
        <f>IF('Alternative 2'!F16&gt;0,'Alternative 2'!F16,"x")</f>
        <v>13</v>
      </c>
      <c r="B15" s="13">
        <f t="shared" si="17"/>
        <v>24</v>
      </c>
      <c r="C15" s="13">
        <f t="shared" si="12"/>
        <v>12</v>
      </c>
      <c r="D15" s="13">
        <f t="shared" si="13"/>
        <v>13</v>
      </c>
      <c r="E15" s="74">
        <f>IF($A15&lt;='Alternative 2'!$B$27, IF($A15='Alternative 2'!$B$27,0,E16+1),0)</f>
        <v>3</v>
      </c>
      <c r="F15" s="74">
        <f>IF($A15&lt;=('Alternative 2'!$B$28), IF($A15=ROUNDDOWN('Alternative 2'!$B$28,0),0,F16+1),0)</f>
        <v>9</v>
      </c>
      <c r="G15" s="74">
        <f>IF($A15&lt;=('Alternative 2'!$B$29), IF($A15=ROUNDDOWN('Alternative 2'!$B$29,0),0,G16+1),0)</f>
        <v>16</v>
      </c>
      <c r="H15" s="13">
        <f t="shared" si="14"/>
        <v>24</v>
      </c>
      <c r="J15" s="77">
        <f t="shared" si="15"/>
        <v>12</v>
      </c>
      <c r="K15" s="77">
        <f t="shared" si="16"/>
        <v>0.20943951023931953</v>
      </c>
      <c r="L15" s="78">
        <f>'Alternative 2'!$B$27*SIN(K15)+'Alternative 2'!$B$28*SIN(K15)+'Alternative 2'!$B$29*SIN(K15)</f>
        <v>14.137994975607633</v>
      </c>
      <c r="M15" s="77">
        <f>(('Alternative 2'!$B$27)*(((('Alternative 2'!$B$28-'Alternative 2'!$B$27)/2)+'Alternative 2'!$B$27)*'Alternative 2'!$B$39)*COS('Alternative 2-Tilt Up'!K15))+(('Alternative 2'!$B$28)*((('Alternative 2'!$B$28-'Alternative 2'!$B$27)/2)+(('Alternative 2'!$B$29-'Alternative 2'!$B$28)/2))*('Alternative 2'!$B$39)*COS('Alternative 2-Tilt Up'!K15))+(('Alternative 2'!$B$29)*((('Alternative 2'!$B$12-'Alternative 2'!$B$29+(('Alternative 2'!$B$29-'Alternative 2'!$B$28)/2)*('Alternative 2'!$B$39)*COS('Alternative 2-Tilt Up'!K15)))))</f>
        <v>4642402.7546709683</v>
      </c>
      <c r="N15" s="77">
        <f t="shared" si="0"/>
        <v>985090.76343863469</v>
      </c>
      <c r="O15" s="77">
        <f>(((('Alternative 2'!$B$28-'Alternative 2'!$B$27)/2)+'Alternative 2'!$B$27)*('Alternative 2'!$B$39)*COS('Alternative 2-Tilt Up'!K15))+(((('Alternative 2'!$B$28-'Alternative 2'!$B$27)/2)+(('Alternative 2'!$B$29-'Alternative 2'!$B$28)/2))*('Alternative 2'!$B$39)*COS('Alternative 2-Tilt Up'!K15))+(((('Alternative 2'!$B$12-'Alternative 2'!$B$29)+(('Alternative 2'!$B$29-'Alternative 2'!$B$28)/2))*('Alternative 2'!$B$39)*COS('Alternative 2-Tilt Up'!K15)))</f>
        <v>299430.45220211166</v>
      </c>
      <c r="P15" s="77">
        <f t="shared" si="1"/>
        <v>963564.16676253348</v>
      </c>
      <c r="R15" s="78">
        <f>('Alternative 2'!$B$39*$B15*$C15*COS($K$5))-(($N$5/3)*$E15*SIN($K$5))-(($N$5/3)*$F15*SIN($K$5))-(($N$5/3)*$G15*SIN($K$5))</f>
        <v>494376.27359585627</v>
      </c>
      <c r="S15" s="79">
        <f>IF(($A15&lt;'Alternative 2'!$B$27),(($H15*'Alternative 2'!$B$39)+(3*($N$5/3)*COS($K$5))),IF(($A15&lt;'Alternative 2'!$B$28),(($H15*'Alternative 2'!$B$39)+(2*(($N$5/3)*COS($K$5)))),IF(($A15&lt;'Alternative 2'!$B$29),(($H$3*'Alternative 2'!$B$39+(($N$5/3)*COS($K$5)))),($H15*'Alternative 2'!$B$39))))</f>
        <v>6196495.5689737843</v>
      </c>
      <c r="T15" s="78">
        <f>R15*'Alternative 2'!$K16/'Alternative 2'!$L16</f>
        <v>9122343.9607528448</v>
      </c>
      <c r="U15" s="78">
        <f>S15/'Alternative 2'!$M16</f>
        <v>2286780.857884889</v>
      </c>
      <c r="V15" s="78">
        <f t="shared" si="2"/>
        <v>11.409124818637734</v>
      </c>
      <c r="X15" s="78">
        <f>'Alternative 2'!$B$39*$B15*$C15*COS($K$13)-($N$12/3)*$E15*SIN($K$13)-($N$12/3)*$F15*SIN($K$13)-($N$12/3)*$G15*SIN($K$13)</f>
        <v>269134.43229101854</v>
      </c>
      <c r="Y15" s="79">
        <f>IF(($A15&lt;'Alternative 2'!$B$27),(($H15*'Alternative 2'!$B$39)+(3*($N$12/3)*COS($K$13))),IF(($A15&lt;'Alternative 2'!$B$28),(($H15*'Alternative 2'!$B$39)+(2*(($N$12/3)*COS($K$13)))),IF(($A15&lt;'Alternative 2'!$B$29),(($H$3*'Alternative 2'!$B$39+(($N$12/3)*COS($K$13)))),($H15*'Alternative 2'!$B$39))))</f>
        <v>1506015.6237767073</v>
      </c>
      <c r="Z15" s="78">
        <f>X15*'Alternative 2'!$K16/'Alternative 2'!$L16</f>
        <v>4966130.0393385161</v>
      </c>
      <c r="AA15" s="78">
        <f>Y15/'Alternative 2'!$M16</f>
        <v>555786.35727137327</v>
      </c>
      <c r="AB15" s="78">
        <f t="shared" si="3"/>
        <v>5.521916396609889</v>
      </c>
      <c r="AD15" s="78">
        <f>'Alternative 2'!$B$39*$B15*$C15*COS($K$23)-($N$22/3)*$E15*SIN($K$23)-($N$22/3)*$F15*SIN($K$23)-($N$22/3)*$G15*SIN($K$23)</f>
        <v>360079.12441795366</v>
      </c>
      <c r="AE15" s="79">
        <f>IF(($A15&lt;'Alternative 2'!$B$27),(($H15*'Alternative 2'!$B$39)+(3*($N$22/3)*COS($K$23))),IF(($A15&lt;'Alternative 2'!$B$28),(($H15*'Alternative 2'!$B$39)+(2*(($N$22/3)*COS($K$23)))),IF(($A15&lt;'Alternative 2'!$B$29),(($H$3*'Alternative 2'!$B$39+(($N$22/3)*COS($K$23)))),($H15*'Alternative 2'!$B$39))))</f>
        <v>775512.99290821969</v>
      </c>
      <c r="AF15" s="78">
        <f>AD15*'Alternative 2'!$K16/'Alternative 2'!$L16</f>
        <v>6644262.2784776464</v>
      </c>
      <c r="AG15" s="78">
        <f>AE15/'Alternative 2'!$M16</f>
        <v>286198.58555264614</v>
      </c>
      <c r="AH15" s="78">
        <f t="shared" si="4"/>
        <v>6.9304608640302918</v>
      </c>
      <c r="AJ15" s="78">
        <f>'Alternative 2'!$B$39*$B15*$C15*COS($K$33)-($N$32/3)*$E15*SIN($K$33)-($N$32/3)*$F15*SIN($K$33)-($N$32/3)*$G15*SIN($K$33)</f>
        <v>358041.85533938603</v>
      </c>
      <c r="AK15" s="79">
        <f>IF(($A15&lt;'Alternative 2'!$B$27),(($H15*'Alternative 2'!$B$39)+(3*($N$32/3)*COS($K$33))),IF(($A15&lt;'Alternative 2'!$B$28),(($H15*'Alternative 2'!$B$39)+(2*(($N$32/3)*COS($K$33)))),IF(($A15&lt;'Alternative 2'!$B$29),(($H$3*'Alternative 2'!$B$39+(($N$32/3)*COS($K$33)))),($H15*'Alternative 2'!$B$39))))</f>
        <v>531218.3871945896</v>
      </c>
      <c r="AL15" s="78">
        <f>AJ15*'Alternative 2'!$K16/'Alternative 2'!$L16</f>
        <v>6606670.1239429563</v>
      </c>
      <c r="AM15" s="78">
        <f>AK15/'Alternative 2'!$M16</f>
        <v>196043.0739716083</v>
      </c>
      <c r="AN15" s="78">
        <f t="shared" si="5"/>
        <v>6.8027131979145654</v>
      </c>
      <c r="AP15" s="78">
        <f>'Alternative 2'!$B$39*$B15*$C15*COS($K$43)-($N$42/3)*$E15*SIN($K$43)-($N$42/3)*$F15*SIN($K$43)-($N$42/3)*$G15*SIN($K$43)</f>
        <v>324730.31510917912</v>
      </c>
      <c r="AQ15" s="79">
        <f>IF(($A15&lt;'Alternative 2'!$B$27),(($H15*'Alternative 2'!$B$39)+(3*($N$42/3)*COS($K$43))),IF(($A15&lt;'Alternative 2'!$B$28),(($H15*'Alternative 2'!$B$39)+(2*(($N$42/3)*COS($K$43)))),IF(($A15&lt;'Alternative 2'!$B$29),(($H$3*'Alternative 2'!$B$39+(($N$42/3)*COS($K$43)))),($H15*'Alternative 2'!$B$39))))</f>
        <v>402159.76740621252</v>
      </c>
      <c r="AR15" s="78">
        <f>AP15*'Alternative 2'!$K16/'Alternative 2'!$L16</f>
        <v>5991997.9722392932</v>
      </c>
      <c r="AS15" s="78">
        <f>AQ15/'Alternative 2'!$M16</f>
        <v>148414.73663286612</v>
      </c>
      <c r="AT15" s="78">
        <f t="shared" si="6"/>
        <v>6.1404127088721587</v>
      </c>
      <c r="AV15" s="78">
        <f>'Alternative 2'!$B$39*$B15*$C15*COS($K$53)-($N$52/3)*$E15*SIN($K$53)-($N$52/3)*$F15*SIN($K$53)-($N$52/3)*$G15*SIN($K$53)</f>
        <v>272752.44560191571</v>
      </c>
      <c r="AW15" s="79">
        <f>IF(($A15&lt;'Alternative 2'!$B$27),(($H15*'Alternative 2'!$B$39)+(3*($N$52/3)*COS($K$53))),IF(($A15&lt;'Alternative 2'!$B$28),(($H15*'Alternative 2'!$B$39)+(2*(($N$52/3)*COS($K$53)))),IF(($A15&lt;'Alternative 2'!$B$29),(($H$3*'Alternative 2'!$B$39+(($N$52/3)*COS($K$53)))),($H15*'Alternative 2'!$B$39))))</f>
        <v>321081.13308407128</v>
      </c>
      <c r="AX15" s="78">
        <f>AV15*'Alternative 2'!$K16/'Alternative 2'!$L16</f>
        <v>5032890.4476334471</v>
      </c>
      <c r="AY15" s="78">
        <f>AW15/'Alternative 2'!$M16</f>
        <v>118493.13548145475</v>
      </c>
      <c r="AZ15" s="78">
        <f t="shared" si="7"/>
        <v>5.1513835831149013</v>
      </c>
      <c r="BB15" s="78">
        <f>'Alternative 2'!$B$39*$B15*$C15*COS($K$63)-($N$62/3)*$E15*SIN($K$63)-($N$62/3)*$F15*SIN($K$63)-($N$62/3)*$G15*SIN($K$63)</f>
        <v>207509.09624013607</v>
      </c>
      <c r="BC15" s="79">
        <f>IF(($A15&lt;'Alternative 2'!$B$27),(($H15*'Alternative 2'!$B$39)+(3*($N$62/3)*COS($K$63))),IF(($A15&lt;'Alternative 2'!$B$28),(($H15*'Alternative 2'!$B$39)+(2*(($N$62/3)*COS($K$63)))),IF(($A15&lt;'Alternative 2'!$B$29),(($H$3*'Alternative 2'!$B$39+(($N$62/3)*COS($K$63)))),($H15*'Alternative 2'!$B$39))))</f>
        <v>266988.67447180871</v>
      </c>
      <c r="BD15" s="78">
        <f>BB15*'Alternative 2'!$K16/'Alternative 2'!$L16</f>
        <v>3829005.2577137928</v>
      </c>
      <c r="BE15" s="78">
        <f>BC15/'Alternative 2'!$M16</f>
        <v>98530.62642555972</v>
      </c>
      <c r="BF15" s="78">
        <f t="shared" si="8"/>
        <v>3.9275358841393526</v>
      </c>
      <c r="BH15" s="78">
        <f>'Alternative 2'!$B$39*$B15*$C15*COS($K$73)-($N$72/3)*$E15*SIN($K$73)-($N$72/3)*$F15*SIN($K$73)-($N$72/3)*$G15*SIN($K$73)</f>
        <v>132604.24924528506</v>
      </c>
      <c r="BI15" s="79">
        <f>IF(($A15&lt;'Alternative 2'!$B$27),(($H15*'Alternative 2'!$B$39)+(3*($N$72/3)*COS($K$73))),IF(($A15&lt;'Alternative 2'!$B$28),(($H15*'Alternative 2'!$B$39)+(2*(($N$72/3)*COS($K$73)))),IF(($A15&lt;'Alternative 2'!$B$29),(($H$3*'Alternative 2'!$B$39+(($N$72/3)*COS($K$73)))),($H15*'Alternative 2'!$B$39))))</f>
        <v>231572.26608177787</v>
      </c>
      <c r="BJ15" s="78">
        <f>BH15*'Alternative 2'!$K16/'Alternative 2'!$L16</f>
        <v>2446843.905906714</v>
      </c>
      <c r="BK15" s="78">
        <f>BI15/'Alternative 2'!$M16</f>
        <v>85460.405708082602</v>
      </c>
      <c r="BL15" s="78">
        <f t="shared" si="9"/>
        <v>2.5323043116147965</v>
      </c>
      <c r="BN15" s="78">
        <f>'Alternative 2'!$B$39*$B15*$C15*COS($K$83)-($N$82/3)*$E15*SIN($K$83)-($N$82/3)*$F15*SIN($K$83)-($N$82/3)*$G15*SIN($K$83)</f>
        <v>51089.195351381495</v>
      </c>
      <c r="BO15" s="79">
        <f>IF(($A15&lt;'Alternative 2'!$B$27),(($H15*'Alternative 2'!$B$39)+(3*($N$82/3)*COS($K$83))),IF(($A15&lt;'Alternative 2'!$B$28),(($H15*'Alternative 2'!$B$39)+(2*(($N$82/3)*COS($K$83)))),IF(($A15&lt;'Alternative 2'!$B$29),(($H$3*'Alternative 2'!$B$39+(($N$82/3)*COS($K$83)))),($H15*'Alternative 2'!$B$39))))</f>
        <v>211148.7878419561</v>
      </c>
      <c r="BP15" s="78">
        <f>BN15*'Alternative 2'!$K16/'Alternative 2'!$L16</f>
        <v>942709.50602776592</v>
      </c>
      <c r="BQ15" s="78">
        <f>BO15/'Alternative 2'!$M16</f>
        <v>77923.239164447397</v>
      </c>
      <c r="BR15" s="78">
        <f t="shared" si="10"/>
        <v>1.0206327451922133</v>
      </c>
      <c r="BT15" s="78">
        <f>'Alternative 2'!$B$39*$B15*$C15*COS($K$93)-($K$92/3)*$E15*SIN($K$93)-($K$92/3)*$F15*SIN($K$93)-($K$92/3)*$G15*SIN($K$93)</f>
        <v>-14.497868319749548</v>
      </c>
      <c r="BU15" s="79">
        <f>IF(($A15&lt;'Alternative 2'!$B$27),(($H15*'Alternative 2'!$B$39)+(3*($N$92/3)*COS($K$93))),IF(($A15&lt;'Alternative 2'!$B$28),(($H15*'Alternative 2'!$B$39)+(2*(($N$92/3)*COS($K$93)))),IF(($A15&lt;'Alternative 2'!$B$29),(($H$3*'Alternative 2'!$B$39+(($N$92/3)*COS($K$93)))),($H15*'Alternative 2'!$B$39))))</f>
        <v>204079.93775000772</v>
      </c>
      <c r="BV15" s="78">
        <f>BT15*'Alternative 2'!$K16/'Alternative 2'!$L16</f>
        <v>-267.51797886355081</v>
      </c>
      <c r="BW15" s="78">
        <f>BU15/'Alternative 2'!$M16</f>
        <v>75314.520914334542</v>
      </c>
      <c r="BX15" s="78">
        <f t="shared" si="11"/>
        <v>7.504700293547098E-2</v>
      </c>
      <c r="BZ15" s="77">
        <v>150</v>
      </c>
      <c r="CA15" s="77">
        <v>-150</v>
      </c>
    </row>
    <row r="16" spans="1:79" ht="15" customHeight="1" x14ac:dyDescent="0.25">
      <c r="A16" s="13">
        <f>IF('Alternative 2'!F17&gt;0,'Alternative 2'!F17,"x")</f>
        <v>14</v>
      </c>
      <c r="B16" s="13">
        <f t="shared" si="17"/>
        <v>23</v>
      </c>
      <c r="C16" s="13">
        <f t="shared" si="12"/>
        <v>11.5</v>
      </c>
      <c r="D16" s="13">
        <f t="shared" si="13"/>
        <v>14</v>
      </c>
      <c r="E16" s="74">
        <f>IF($A16&lt;='Alternative 2'!$B$27, IF($A16='Alternative 2'!$B$27,0,E17+1),0)</f>
        <v>2</v>
      </c>
      <c r="F16" s="74">
        <f>IF($A16&lt;=('Alternative 2'!$B$28), IF($A16=ROUNDDOWN('Alternative 2'!$B$28,0),0,F17+1),0)</f>
        <v>8</v>
      </c>
      <c r="G16" s="74">
        <f>IF($A16&lt;=('Alternative 2'!$B$29), IF($A16=ROUNDDOWN('Alternative 2'!$B$29,0),0,G17+1),0)</f>
        <v>15</v>
      </c>
      <c r="H16" s="13">
        <f t="shared" si="14"/>
        <v>23</v>
      </c>
      <c r="J16" s="77">
        <f t="shared" si="15"/>
        <v>13</v>
      </c>
      <c r="K16" s="77">
        <f t="shared" si="16"/>
        <v>0.22689280275926285</v>
      </c>
      <c r="L16" s="78">
        <f>'Alternative 2'!$B$27*SIN(K16)+'Alternative 2'!$B$28*SIN(K16)+'Alternative 2'!$B$29*SIN(K16)</f>
        <v>15.29667169538282</v>
      </c>
      <c r="M16" s="77">
        <f>(('Alternative 2'!$B$27)*(((('Alternative 2'!$B$28-'Alternative 2'!$B$27)/2)+'Alternative 2'!$B$27)*'Alternative 2'!$B$39)*COS('Alternative 2-Tilt Up'!K16))+(('Alternative 2'!$B$28)*((('Alternative 2'!$B$28-'Alternative 2'!$B$27)/2)+(('Alternative 2'!$B$29-'Alternative 2'!$B$28)/2))*('Alternative 2'!$B$39)*COS('Alternative 2-Tilt Up'!K16))+(('Alternative 2'!$B$29)*((('Alternative 2'!$B$12-'Alternative 2'!$B$29+(('Alternative 2'!$B$29-'Alternative 2'!$B$28)/2)*('Alternative 2'!$B$39)*COS('Alternative 2-Tilt Up'!K16)))))</f>
        <v>4624474.8833795153</v>
      </c>
      <c r="N16" s="77">
        <f t="shared" si="0"/>
        <v>906957.07709580578</v>
      </c>
      <c r="O16" s="77">
        <f>(((('Alternative 2'!$B$28-'Alternative 2'!$B$27)/2)+'Alternative 2'!$B$27)*('Alternative 2'!$B$39)*COS('Alternative 2-Tilt Up'!K16))+(((('Alternative 2'!$B$28-'Alternative 2'!$B$27)/2)+(('Alternative 2'!$B$29-'Alternative 2'!$B$28)/2))*('Alternative 2'!$B$39)*COS('Alternative 2-Tilt Up'!K16))+(((('Alternative 2'!$B$12-'Alternative 2'!$B$29)+(('Alternative 2'!$B$29-'Alternative 2'!$B$28)/2))*('Alternative 2'!$B$39)*COS('Alternative 2-Tilt Up'!K16)))</f>
        <v>298274.07325026265</v>
      </c>
      <c r="P16" s="77">
        <f t="shared" si="1"/>
        <v>883711.82596726785</v>
      </c>
      <c r="R16" s="78">
        <f>('Alternative 2'!$B$39*$B16*$C16*COS($K$5))-(($N$5/3)*$E16*SIN($K$5))-(($N$5/3)*$F16*SIN($K$5))-(($N$5/3)*$G16*SIN($K$5))</f>
        <v>503929.49615670624</v>
      </c>
      <c r="S16" s="79">
        <f>IF(($A16&lt;'Alternative 2'!$B$27),(($H16*'Alternative 2'!$B$39)+(3*($N$5/3)*COS($K$5))),IF(($A16&lt;'Alternative 2'!$B$28),(($H16*'Alternative 2'!$B$39)+(2*(($N$5/3)*COS($K$5)))),IF(($A16&lt;'Alternative 2'!$B$29),(($H$3*'Alternative 2'!$B$39+(($N$5/3)*COS($K$5)))),($H16*'Alternative 2'!$B$39))))</f>
        <v>6187992.2382342005</v>
      </c>
      <c r="T16" s="78">
        <f>R16*'Alternative 2'!$K17/'Alternative 2'!$L17</f>
        <v>9500999.8853864241</v>
      </c>
      <c r="U16" s="78">
        <f>S16/'Alternative 2'!$M17</f>
        <v>2333344.5592010361</v>
      </c>
      <c r="V16" s="78">
        <f t="shared" si="2"/>
        <v>11.83434444458746</v>
      </c>
      <c r="X16" s="78">
        <f>'Alternative 2'!$B$39*$B16*$C16*COS($K$13)-($N$12/3)*$E16*SIN($K$13)-($N$12/3)*$F16*SIN($K$13)-($N$12/3)*$G16*SIN($K$13)</f>
        <v>301908.38897363818</v>
      </c>
      <c r="Y16" s="79">
        <f>IF(($A16&lt;'Alternative 2'!$B$27),(($H16*'Alternative 2'!$B$39)+(3*($N$12/3)*COS($K$13))),IF(($A16&lt;'Alternative 2'!$B$28),(($H16*'Alternative 2'!$B$39)+(2*(($N$12/3)*COS($K$13)))),IF(($A16&lt;'Alternative 2'!$B$29),(($H$3*'Alternative 2'!$B$39+(($N$12/3)*COS($K$13)))),($H16*'Alternative 2'!$B$39))))</f>
        <v>1497512.2930371237</v>
      </c>
      <c r="Z16" s="78">
        <f>X16*'Alternative 2'!$K17/'Alternative 2'!$L17</f>
        <v>5692128.7420408195</v>
      </c>
      <c r="AA16" s="78">
        <f>Y16/'Alternative 2'!$M17</f>
        <v>564676.2353231305</v>
      </c>
      <c r="AB16" s="78">
        <f t="shared" si="3"/>
        <v>6.2568049773639496</v>
      </c>
      <c r="AD16" s="78">
        <f>'Alternative 2'!$B$39*$B16*$C16*COS($K$23)-($N$22/3)*$E16*SIN($K$23)-($N$22/3)*$F16*SIN($K$23)-($N$22/3)*$G16*SIN($K$23)</f>
        <v>380286.59439125424</v>
      </c>
      <c r="AE16" s="79">
        <f>IF(($A16&lt;'Alternative 2'!$B$27),(($H16*'Alternative 2'!$B$39)+(3*($N$22/3)*COS($K$23))),IF(($A16&lt;'Alternative 2'!$B$28),(($H16*'Alternative 2'!$B$39)+(2*(($N$22/3)*COS($K$23)))),IF(($A16&lt;'Alternative 2'!$B$29),(($H$3*'Alternative 2'!$B$39+(($N$22/3)*COS($K$23)))),($H16*'Alternative 2'!$B$39))))</f>
        <v>767009.66216863599</v>
      </c>
      <c r="AF16" s="78">
        <f>AD16*'Alternative 2'!$K17/'Alternative 2'!$L17</f>
        <v>7169857.9211599445</v>
      </c>
      <c r="AG16" s="78">
        <f>AE16/'Alternative 2'!$M17</f>
        <v>289221.08386265818</v>
      </c>
      <c r="AH16" s="78">
        <f t="shared" si="4"/>
        <v>7.4590790050226028</v>
      </c>
      <c r="AJ16" s="78">
        <f>'Alternative 2'!$B$39*$B16*$C16*COS($K$33)-($N$32/3)*$E16*SIN($K$33)-($N$32/3)*$F16*SIN($K$33)-($N$32/3)*$G16*SIN($K$33)</f>
        <v>373858.9669128689</v>
      </c>
      <c r="AK16" s="79">
        <f>IF(($A16&lt;'Alternative 2'!$B$27),(($H16*'Alternative 2'!$B$39)+(3*($N$32/3)*COS($K$33))),IF(($A16&lt;'Alternative 2'!$B$28),(($H16*'Alternative 2'!$B$39)+(2*(($N$32/3)*COS($K$33)))),IF(($A16&lt;'Alternative 2'!$B$29),(($H$3*'Alternative 2'!$B$39+(($N$32/3)*COS($K$33)))),($H16*'Alternative 2'!$B$39))))</f>
        <v>522715.05645500589</v>
      </c>
      <c r="AL16" s="78">
        <f>AJ16*'Alternative 2'!$K17/'Alternative 2'!$L17</f>
        <v>7048672.540265996</v>
      </c>
      <c r="AM16" s="78">
        <f>AK16/'Alternative 2'!$M17</f>
        <v>197103.40382388642</v>
      </c>
      <c r="AN16" s="78">
        <f t="shared" si="5"/>
        <v>7.2457759440898819</v>
      </c>
      <c r="AP16" s="78">
        <f>'Alternative 2'!$B$39*$B16*$C16*COS($K$43)-($N$42/3)*$E16*SIN($K$43)-($N$42/3)*$F16*SIN($K$43)-($N$42/3)*$G16*SIN($K$43)</f>
        <v>337861.68948242895</v>
      </c>
      <c r="AQ16" s="79">
        <f>IF(($A16&lt;'Alternative 2'!$B$27),(($H16*'Alternative 2'!$B$39)+(3*($N$42/3)*COS($K$43))),IF(($A16&lt;'Alternative 2'!$B$28),(($H16*'Alternative 2'!$B$39)+(2*(($N$42/3)*COS($K$43)))),IF(($A16&lt;'Alternative 2'!$B$29),(($H$3*'Alternative 2'!$B$39+(($N$42/3)*COS($K$43)))),($H16*'Alternative 2'!$B$39))))</f>
        <v>393656.43666662881</v>
      </c>
      <c r="AR16" s="78">
        <f>AP16*'Alternative 2'!$K17/'Alternative 2'!$L17</f>
        <v>6369986.0745019866</v>
      </c>
      <c r="AS16" s="78">
        <f>AQ16/'Alternative 2'!$M17</f>
        <v>148438.47072320475</v>
      </c>
      <c r="AT16" s="78">
        <f t="shared" si="6"/>
        <v>6.5184245452251908</v>
      </c>
      <c r="AV16" s="78">
        <f>'Alternative 2'!$B$39*$B16*$C16*COS($K$53)-($N$52/3)*$E16*SIN($K$53)-($N$52/3)*$F16*SIN($K$53)-($N$52/3)*$G16*SIN($K$53)</f>
        <v>283741.90292803303</v>
      </c>
      <c r="AW16" s="79">
        <f>IF(($A16&lt;'Alternative 2'!$B$27),(($H16*'Alternative 2'!$B$39)+(3*($N$52/3)*COS($K$53))),IF(($A16&lt;'Alternative 2'!$B$28),(($H16*'Alternative 2'!$B$39)+(2*(($N$52/3)*COS($K$53)))),IF(($A16&lt;'Alternative 2'!$B$29),(($H$3*'Alternative 2'!$B$39+(($N$52/3)*COS($K$53)))),($H16*'Alternative 2'!$B$39))))</f>
        <v>312577.80234448763</v>
      </c>
      <c r="AX16" s="78">
        <f>AV16*'Alternative 2'!$K17/'Alternative 2'!$L17</f>
        <v>5349620.9445145251</v>
      </c>
      <c r="AY16" s="78">
        <f>AW16/'Alternative 2'!$M17</f>
        <v>117865.64791096993</v>
      </c>
      <c r="AZ16" s="78">
        <f t="shared" si="7"/>
        <v>5.4674865924254954</v>
      </c>
      <c r="BB16" s="78">
        <f>'Alternative 2'!$B$39*$B16*$C16*COS($K$63)-($N$62/3)*$E16*SIN($K$63)-($N$62/3)*$F16*SIN($K$63)-($N$62/3)*$G16*SIN($K$63)</f>
        <v>216556.08829216112</v>
      </c>
      <c r="BC16" s="79">
        <f>IF(($A16&lt;'Alternative 2'!$B$27),(($H16*'Alternative 2'!$B$39)+(3*($N$62/3)*COS($K$63))),IF(($A16&lt;'Alternative 2'!$B$28),(($H16*'Alternative 2'!$B$39)+(2*(($N$62/3)*COS($K$63)))),IF(($A16&lt;'Alternative 2'!$B$29),(($H$3*'Alternative 2'!$B$39+(($N$62/3)*COS($K$63)))),($H16*'Alternative 2'!$B$39))))</f>
        <v>258485.34373222507</v>
      </c>
      <c r="BD16" s="78">
        <f>BB16*'Alternative 2'!$K17/'Alternative 2'!$L17</f>
        <v>4082911.172565572</v>
      </c>
      <c r="BE16" s="78">
        <f>BC16/'Alternative 2'!$M17</f>
        <v>97468.669515155547</v>
      </c>
      <c r="BF16" s="78">
        <f t="shared" si="8"/>
        <v>4.1803798420807281</v>
      </c>
      <c r="BH16" s="78">
        <f>'Alternative 2'!$B$39*$B16*$C16*COS($K$73)-($N$72/3)*$E16*SIN($K$73)-($N$72/3)*$F16*SIN($K$73)-($N$72/3)*$G16*SIN($K$73)</f>
        <v>139793.50618505391</v>
      </c>
      <c r="BI16" s="79">
        <f>IF(($A16&lt;'Alternative 2'!$B$27),(($H16*'Alternative 2'!$B$39)+(3*($N$72/3)*COS($K$73))),IF(($A16&lt;'Alternative 2'!$B$28),(($H16*'Alternative 2'!$B$39)+(2*(($N$72/3)*COS($K$73)))),IF(($A16&lt;'Alternative 2'!$B$29),(($H$3*'Alternative 2'!$B$39+(($N$72/3)*COS($K$73)))),($H16*'Alternative 2'!$B$39))))</f>
        <v>223068.93534219419</v>
      </c>
      <c r="BJ16" s="78">
        <f>BH16*'Alternative 2'!$K17/'Alternative 2'!$L17</f>
        <v>2635642.6769449152</v>
      </c>
      <c r="BK16" s="78">
        <f>BI16/'Alternative 2'!$M17</f>
        <v>84113.985048566406</v>
      </c>
      <c r="BL16" s="78">
        <f t="shared" si="9"/>
        <v>2.7197566619934817</v>
      </c>
      <c r="BN16" s="78">
        <f>'Alternative 2'!$B$39*$B16*$C16*COS($K$83)-($N$82/3)*$E16*SIN($K$83)-($N$82/3)*$F16*SIN($K$83)-($N$82/3)*$G16*SIN($K$83)</f>
        <v>56478.821018295828</v>
      </c>
      <c r="BO16" s="79">
        <f>IF(($A16&lt;'Alternative 2'!$B$27),(($H16*'Alternative 2'!$B$39)+(3*($N$82/3)*COS($K$83))),IF(($A16&lt;'Alternative 2'!$B$28),(($H16*'Alternative 2'!$B$39)+(2*(($N$82/3)*COS($K$83)))),IF(($A16&lt;'Alternative 2'!$B$29),(($H$3*'Alternative 2'!$B$39+(($N$82/3)*COS($K$83)))),($H16*'Alternative 2'!$B$39))))</f>
        <v>202645.45710237243</v>
      </c>
      <c r="BP16" s="78">
        <f>BN16*'Alternative 2'!$K17/'Alternative 2'!$L17</f>
        <v>1064841.9592702738</v>
      </c>
      <c r="BQ16" s="78">
        <f>BO16/'Alternative 2'!$M17</f>
        <v>76412.777613883576</v>
      </c>
      <c r="BR16" s="78">
        <f t="shared" si="10"/>
        <v>1.1412547368841575</v>
      </c>
      <c r="BT16" s="78">
        <f>'Alternative 2'!$B$39*$B16*$C16*COS($K$93)-($K$92/3)*$E16*SIN($K$93)-($K$92/3)*$F16*SIN($K$93)-($K$92/3)*$G16*SIN($K$93)</f>
        <v>-12.944525285486835</v>
      </c>
      <c r="BU16" s="79">
        <f>IF(($A16&lt;'Alternative 2'!$B$27),(($H16*'Alternative 2'!$B$39)+(3*($N$92/3)*COS($K$93))),IF(($A16&lt;'Alternative 2'!$B$28),(($H16*'Alternative 2'!$B$39)+(2*(($N$92/3)*COS($K$93)))),IF(($A16&lt;'Alternative 2'!$B$29),(($H$3*'Alternative 2'!$B$39+(($N$92/3)*COS($K$93)))),($H16*'Alternative 2'!$B$39))))</f>
        <v>195576.60701042405</v>
      </c>
      <c r="BV16" s="78">
        <f>BT16*'Alternative 2'!$K17/'Alternative 2'!$L17</f>
        <v>-244.05384918279785</v>
      </c>
      <c r="BW16" s="78">
        <f>BU16/'Alternative 2'!$M17</f>
        <v>73747.282528103984</v>
      </c>
      <c r="BX16" s="78">
        <f t="shared" si="11"/>
        <v>7.3503228678921173E-2</v>
      </c>
      <c r="BZ16" s="77">
        <v>150</v>
      </c>
      <c r="CA16" s="77">
        <v>-150</v>
      </c>
    </row>
    <row r="17" spans="1:79" ht="15" customHeight="1" x14ac:dyDescent="0.25">
      <c r="A17" s="13">
        <f>IF('Alternative 2'!F18&gt;0,'Alternative 2'!F18,"x")</f>
        <v>15</v>
      </c>
      <c r="B17" s="13">
        <f t="shared" si="17"/>
        <v>22</v>
      </c>
      <c r="C17" s="13">
        <f t="shared" si="12"/>
        <v>11</v>
      </c>
      <c r="D17" s="13">
        <f t="shared" si="13"/>
        <v>15</v>
      </c>
      <c r="E17" s="74">
        <f>IF($A17&lt;='Alternative 2'!$B$27, IF($A17='Alternative 2'!$B$27,0,E18+1),0)</f>
        <v>1</v>
      </c>
      <c r="F17" s="74">
        <f>IF($A17&lt;=('Alternative 2'!$B$28), IF($A17=ROUNDDOWN('Alternative 2'!$B$28,0),0,F18+1),0)</f>
        <v>7</v>
      </c>
      <c r="G17" s="74">
        <f>IF($A17&lt;=('Alternative 2'!$B$29), IF($A17=ROUNDDOWN('Alternative 2'!$B$29,0),0,G18+1),0)</f>
        <v>14</v>
      </c>
      <c r="H17" s="13">
        <f t="shared" si="14"/>
        <v>22</v>
      </c>
      <c r="J17" s="77">
        <f t="shared" si="15"/>
        <v>14</v>
      </c>
      <c r="K17" s="77">
        <f t="shared" si="16"/>
        <v>0.24434609527920614</v>
      </c>
      <c r="L17" s="78">
        <f>'Alternative 2'!$B$27*SIN(K17)+'Alternative 2'!$B$28*SIN(K17)+'Alternative 2'!$B$29*SIN(K17)</f>
        <v>16.450688900777408</v>
      </c>
      <c r="M17" s="77">
        <f>(('Alternative 2'!$B$27)*(((('Alternative 2'!$B$28-'Alternative 2'!$B$27)/2)+'Alternative 2'!$B$27)*'Alternative 2'!$B$39)*COS('Alternative 2-Tilt Up'!K17))+(('Alternative 2'!$B$28)*((('Alternative 2'!$B$28-'Alternative 2'!$B$27)/2)+(('Alternative 2'!$B$29-'Alternative 2'!$B$28)/2))*('Alternative 2'!$B$39)*COS('Alternative 2-Tilt Up'!K17))+(('Alternative 2'!$B$29)*((('Alternative 2'!$B$12-'Alternative 2'!$B$29+(('Alternative 2'!$B$29-'Alternative 2'!$B$28)/2)*('Alternative 2'!$B$39)*COS('Alternative 2-Tilt Up'!K17)))))</f>
        <v>4605138.4118314199</v>
      </c>
      <c r="N17" s="77">
        <f t="shared" si="0"/>
        <v>839807.70159974194</v>
      </c>
      <c r="O17" s="77">
        <f>(((('Alternative 2'!$B$28-'Alternative 2'!$B$27)/2)+'Alternative 2'!$B$27)*('Alternative 2'!$B$39)*COS('Alternative 2-Tilt Up'!K17))+(((('Alternative 2'!$B$28-'Alternative 2'!$B$27)/2)+(('Alternative 2'!$B$29-'Alternative 2'!$B$28)/2))*('Alternative 2'!$B$39)*COS('Alternative 2-Tilt Up'!K17))+(((('Alternative 2'!$B$12-'Alternative 2'!$B$29)+(('Alternative 2'!$B$29-'Alternative 2'!$B$28)/2))*('Alternative 2'!$B$39)*COS('Alternative 2-Tilt Up'!K17)))</f>
        <v>297026.83712625579</v>
      </c>
      <c r="P17" s="77">
        <f t="shared" si="1"/>
        <v>814861.82375589688</v>
      </c>
      <c r="R17" s="78">
        <f>('Alternative 2'!$B$39*$B17*$C17*COS($K$5))-(($N$5/3)*$E17*SIN($K$5))-(($N$5/3)*$F17*SIN($K$5))-(($N$5/3)*$G17*SIN($K$5))</f>
        <v>521980.86945780611</v>
      </c>
      <c r="S17" s="79">
        <f>IF(($A17&lt;'Alternative 2'!$B$27),(($H17*'Alternative 2'!$B$39)+(3*($N$5/3)*COS($K$5))),IF(($A17&lt;'Alternative 2'!$B$28),(($H17*'Alternative 2'!$B$39)+(2*(($N$5/3)*COS($K$5)))),IF(($A17&lt;'Alternative 2'!$B$29),(($H$3*'Alternative 2'!$B$39+(($N$5/3)*COS($K$5)))),($H17*'Alternative 2'!$B$39))))</f>
        <v>6179488.9074946167</v>
      </c>
      <c r="T17" s="78">
        <f>R17*'Alternative 2'!$K18/'Alternative 2'!$L18</f>
        <v>10057883.254877776</v>
      </c>
      <c r="U17" s="78">
        <f>S17/'Alternative 2'!$M18</f>
        <v>2381409.8290467546</v>
      </c>
      <c r="V17" s="78">
        <f t="shared" si="2"/>
        <v>12.439293083924531</v>
      </c>
      <c r="X17" s="78">
        <f>'Alternative 2'!$B$39*$B17*$C17*COS($K$13)-($N$12/3)*$E17*SIN($K$13)-($N$12/3)*$F17*SIN($K$13)-($N$12/3)*$G17*SIN($K$13)</f>
        <v>343056.49169502757</v>
      </c>
      <c r="Y17" s="79">
        <f>IF(($A17&lt;'Alternative 2'!$B$27),(($H17*'Alternative 2'!$B$39)+(3*($N$12/3)*COS($K$13))),IF(($A17&lt;'Alternative 2'!$B$28),(($H17*'Alternative 2'!$B$39)+(2*(($N$12/3)*COS($K$13)))),IF(($A17&lt;'Alternative 2'!$B$29),(($H$3*'Alternative 2'!$B$39+(($N$12/3)*COS($K$13)))),($H17*'Alternative 2'!$B$39))))</f>
        <v>1489008.9622975399</v>
      </c>
      <c r="Z17" s="78">
        <f>X17*'Alternative 2'!$K18/'Alternative 2'!$L18</f>
        <v>6610246.361864889</v>
      </c>
      <c r="AA17" s="78">
        <f>Y17/'Alternative 2'!$M18</f>
        <v>573824.24848331336</v>
      </c>
      <c r="AB17" s="78">
        <f t="shared" si="3"/>
        <v>7.1840706103482024</v>
      </c>
      <c r="AD17" s="78">
        <f>'Alternative 2'!$B$39*$B17*$C17*COS($K$23)-($N$22/3)*$E17*SIN($K$23)-($N$22/3)*$F17*SIN($K$23)-($N$22/3)*$G17*SIN($K$23)</f>
        <v>408484.58151264361</v>
      </c>
      <c r="AE17" s="79">
        <f>IF(($A17&lt;'Alternative 2'!$B$27),(($H17*'Alternative 2'!$B$39)+(3*($N$22/3)*COS($K$23))),IF(($A17&lt;'Alternative 2'!$B$28),(($H17*'Alternative 2'!$B$39)+(2*(($N$22/3)*COS($K$23)))),IF(($A17&lt;'Alternative 2'!$B$29),(($H$3*'Alternative 2'!$B$39+(($N$22/3)*COS($K$23)))),($H17*'Alternative 2'!$B$39))))</f>
        <v>758506.3314290524</v>
      </c>
      <c r="AF17" s="78">
        <f>AD17*'Alternative 2'!$K18/'Alternative 2'!$L18</f>
        <v>7870959.4022849156</v>
      </c>
      <c r="AG17" s="78">
        <f>AE17/'Alternative 2'!$M18</f>
        <v>292308.06302906439</v>
      </c>
      <c r="AH17" s="78">
        <f t="shared" si="4"/>
        <v>8.1632674653139805</v>
      </c>
      <c r="AJ17" s="78">
        <f>'Alternative 2'!$B$39*$B17*$C17*COS($K$33)-($N$32/3)*$E17*SIN($K$33)-($N$32/3)*$F17*SIN($K$33)-($N$32/3)*$G17*SIN($K$33)</f>
        <v>397040.17892361211</v>
      </c>
      <c r="AK17" s="79">
        <f>IF(($A17&lt;'Alternative 2'!$B$27),(($H17*'Alternative 2'!$B$39)+(3*($N$32/3)*COS($K$33))),IF(($A17&lt;'Alternative 2'!$B$28),(($H17*'Alternative 2'!$B$39)+(2*(($N$32/3)*COS($K$33)))),IF(($A17&lt;'Alternative 2'!$B$29),(($H$3*'Alternative 2'!$B$39+(($N$32/3)*COS($K$33)))),($H17*'Alternative 2'!$B$39))))</f>
        <v>514211.7257154223</v>
      </c>
      <c r="AL17" s="78">
        <f>AJ17*'Alternative 2'!$K18/'Alternative 2'!$L18</f>
        <v>7650440.8509405656</v>
      </c>
      <c r="AM17" s="78">
        <f>AK17/'Alternative 2'!$M18</f>
        <v>198163.45269988937</v>
      </c>
      <c r="AN17" s="78">
        <f t="shared" si="5"/>
        <v>7.8486043036404549</v>
      </c>
      <c r="AP17" s="78">
        <f>'Alternative 2'!$B$39*$B17*$C17*COS($K$43)-($N$42/3)*$E17*SIN($K$43)-($N$42/3)*$F17*SIN($K$43)-($N$42/3)*$G17*SIN($K$43)</f>
        <v>357506.99311673979</v>
      </c>
      <c r="AQ17" s="79">
        <f>IF(($A17&lt;'Alternative 2'!$B$27),(($H17*'Alternative 2'!$B$39)+(3*($N$42/3)*COS($K$43))),IF(($A17&lt;'Alternative 2'!$B$28),(($H17*'Alternative 2'!$B$39)+(2*(($N$42/3)*COS($K$43)))),IF(($A17&lt;'Alternative 2'!$B$29),(($H$3*'Alternative 2'!$B$39+(($N$42/3)*COS($K$43)))),($H17*'Alternative 2'!$B$39))))</f>
        <v>385153.10592704517</v>
      </c>
      <c r="AR17" s="78">
        <f>AP17*'Alternative 2'!$K18/'Alternative 2'!$L18</f>
        <v>6888688.4749350417</v>
      </c>
      <c r="AS17" s="78">
        <f>AQ17/'Alternative 2'!$M18</f>
        <v>148427.71074969362</v>
      </c>
      <c r="AT17" s="78">
        <f t="shared" si="6"/>
        <v>7.0371161856847353</v>
      </c>
      <c r="AV17" s="78">
        <f>'Alternative 2'!$B$39*$B17*$C17*COS($K$53)-($N$52/3)*$E17*SIN($K$53)-($N$52/3)*$F17*SIN($K$53)-($N$52/3)*$G17*SIN($K$53)</f>
        <v>300197.19589462189</v>
      </c>
      <c r="AW17" s="79">
        <f>IF(($A17&lt;'Alternative 2'!$B$27),(($H17*'Alternative 2'!$B$39)+(3*($N$52/3)*COS($K$53))),IF(($A17&lt;'Alternative 2'!$B$28),(($H17*'Alternative 2'!$B$39)+(2*(($N$52/3)*COS($K$53)))),IF(($A17&lt;'Alternative 2'!$B$29),(($H$3*'Alternative 2'!$B$39+(($N$52/3)*COS($K$53)))),($H17*'Alternative 2'!$B$39))))</f>
        <v>304074.47160490399</v>
      </c>
      <c r="AX17" s="78">
        <f>AV17*'Alternative 2'!$K18/'Alternative 2'!$L18</f>
        <v>5784404.2309176</v>
      </c>
      <c r="AY17" s="78">
        <f>AW17/'Alternative 2'!$M18</f>
        <v>117182.17255214766</v>
      </c>
      <c r="AZ17" s="78">
        <f t="shared" si="7"/>
        <v>5.9015864034697483</v>
      </c>
      <c r="BB17" s="78">
        <f>'Alternative 2'!$B$39*$B17*$C17*COS($K$63)-($N$62/3)*$E17*SIN($K$63)-($N$62/3)*$F17*SIN($K$63)-($N$62/3)*$G17*SIN($K$63)</f>
        <v>229854.74571397819</v>
      </c>
      <c r="BC17" s="79">
        <f>IF(($A17&lt;'Alternative 2'!$B$27),(($H17*'Alternative 2'!$B$39)+(3*($N$62/3)*COS($K$63))),IF(($A17&lt;'Alternative 2'!$B$28),(($H17*'Alternative 2'!$B$39)+(2*(($N$62/3)*COS($K$63)))),IF(($A17&lt;'Alternative 2'!$B$29),(($H$3*'Alternative 2'!$B$39+(($N$62/3)*COS($K$63)))),($H17*'Alternative 2'!$B$39))))</f>
        <v>249982.01299264142</v>
      </c>
      <c r="BD17" s="78">
        <f>BB17*'Alternative 2'!$K18/'Alternative 2'!$L18</f>
        <v>4428997.9446415082</v>
      </c>
      <c r="BE17" s="78">
        <f>BC17/'Alternative 2'!$M18</f>
        <v>96336.385053392602</v>
      </c>
      <c r="BF17" s="78">
        <f t="shared" si="8"/>
        <v>4.5253343296949007</v>
      </c>
      <c r="BH17" s="78">
        <f>'Alternative 2'!$B$39*$B17*$C17*COS($K$73)-($N$72/3)*$E17*SIN($K$73)-($N$72/3)*$F17*SIN($K$73)-($N$72/3)*$G17*SIN($K$73)</f>
        <v>149891.07352312066</v>
      </c>
      <c r="BI17" s="79">
        <f>IF(($A17&lt;'Alternative 2'!$B$27),(($H17*'Alternative 2'!$B$39)+(3*($N$72/3)*COS($K$73))),IF(($A17&lt;'Alternative 2'!$B$28),(($H17*'Alternative 2'!$B$39)+(2*(($N$72/3)*COS($K$73)))),IF(($A17&lt;'Alternative 2'!$B$29),(($H$3*'Alternative 2'!$B$39+(($N$72/3)*COS($K$73)))),($H17*'Alternative 2'!$B$39))))</f>
        <v>214565.60460261055</v>
      </c>
      <c r="BJ17" s="78">
        <f>BH17*'Alternative 2'!$K18/'Alternative 2'!$L18</f>
        <v>2888203.393373047</v>
      </c>
      <c r="BK17" s="78">
        <f>BI17/'Alternative 2'!$M18</f>
        <v>82687.848044569284</v>
      </c>
      <c r="BL17" s="78">
        <f t="shared" si="9"/>
        <v>2.9708912414176161</v>
      </c>
      <c r="BN17" s="78">
        <f>'Alternative 2'!$B$39*$B17*$C17*COS($K$83)-($N$82/3)*$E17*SIN($K$83)-($N$82/3)*$F17*SIN($K$83)-($N$82/3)*$G17*SIN($K$83)</f>
        <v>63345.034572238073</v>
      </c>
      <c r="BO17" s="79">
        <f>IF(($A17&lt;'Alternative 2'!$B$27),(($H17*'Alternative 2'!$B$39)+(3*($N$82/3)*COS($K$83))),IF(($A17&lt;'Alternative 2'!$B$28),(($H17*'Alternative 2'!$B$39)+(2*(($N$82/3)*COS($K$83)))),IF(($A17&lt;'Alternative 2'!$B$29),(($H$3*'Alternative 2'!$B$39+(($N$82/3)*COS($K$83)))),($H17*'Alternative 2'!$B$39))))</f>
        <v>194142.12636278878</v>
      </c>
      <c r="BP17" s="78">
        <f>BN17*'Alternative 2'!$K18/'Alternative 2'!$L18</f>
        <v>1220575.3118223578</v>
      </c>
      <c r="BQ17" s="78">
        <f>BO17/'Alternative 2'!$M18</f>
        <v>74817.185510545401</v>
      </c>
      <c r="BR17" s="78">
        <f t="shared" si="10"/>
        <v>1.2953924973329034</v>
      </c>
      <c r="BT17" s="78">
        <f>'Alternative 2'!$B$39*$B17*$C17*COS($K$93)-($K$92/3)*$E17*SIN($K$93)-($K$92/3)*$F17*SIN($K$93)-($K$92/3)*$G17*SIN($K$93)</f>
        <v>-11.391182251223603</v>
      </c>
      <c r="BU17" s="79">
        <f>IF(($A17&lt;'Alternative 2'!$B$27),(($H17*'Alternative 2'!$B$39)+(3*($N$92/3)*COS($K$93))),IF(($A17&lt;'Alternative 2'!$B$28),(($H17*'Alternative 2'!$B$39)+(2*(($N$92/3)*COS($K$93)))),IF(($A17&lt;'Alternative 2'!$B$29),(($H$3*'Alternative 2'!$B$39+(($N$92/3)*COS($K$93)))),($H17*'Alternative 2'!$B$39))))</f>
        <v>187073.2762708404</v>
      </c>
      <c r="BV17" s="78">
        <f>BT17*'Alternative 2'!$K18/'Alternative 2'!$L18</f>
        <v>-219.49306559232832</v>
      </c>
      <c r="BW17" s="78">
        <f>BU17/'Alternative 2'!$M18</f>
        <v>72093.0396562487</v>
      </c>
      <c r="BX17" s="78">
        <f t="shared" si="11"/>
        <v>7.1873546590656381E-2</v>
      </c>
      <c r="BZ17" s="77">
        <v>150</v>
      </c>
      <c r="CA17" s="77">
        <v>-150</v>
      </c>
    </row>
    <row r="18" spans="1:79" ht="15" customHeight="1" x14ac:dyDescent="0.25">
      <c r="A18" s="13">
        <f>IF('Alternative 2'!F19&gt;0,'Alternative 2'!F19,"x")</f>
        <v>16</v>
      </c>
      <c r="B18" s="13">
        <f t="shared" si="17"/>
        <v>21</v>
      </c>
      <c r="C18" s="13">
        <f t="shared" si="12"/>
        <v>10.5</v>
      </c>
      <c r="D18" s="13">
        <f t="shared" si="13"/>
        <v>16</v>
      </c>
      <c r="E18" s="74">
        <f>IF($A18&lt;='Alternative 2'!$B$27, IF($A18='Alternative 2'!$B$27,0,E19+1),0)</f>
        <v>0</v>
      </c>
      <c r="F18" s="74">
        <f>IF($A18&lt;=('Alternative 2'!$B$28), IF($A18=ROUNDDOWN('Alternative 2'!$B$28,0),0,F19+1),0)</f>
        <v>6</v>
      </c>
      <c r="G18" s="74">
        <f>IF($A18&lt;=('Alternative 2'!$B$29), IF($A18=ROUNDDOWN('Alternative 2'!$B$29,0),0,G19+1),0)</f>
        <v>13</v>
      </c>
      <c r="H18" s="13">
        <f t="shared" si="14"/>
        <v>21</v>
      </c>
      <c r="J18" s="77">
        <f t="shared" si="15"/>
        <v>15</v>
      </c>
      <c r="K18" s="77">
        <f t="shared" si="16"/>
        <v>0.26179938779914941</v>
      </c>
      <c r="L18" s="78">
        <f>'Alternative 2'!$B$27*SIN(K18)+'Alternative 2'!$B$28*SIN(K18)+'Alternative 2'!$B$29*SIN(K18)</f>
        <v>17.59969506697141</v>
      </c>
      <c r="M18" s="77">
        <f>(('Alternative 2'!$B$27)*(((('Alternative 2'!$B$28-'Alternative 2'!$B$27)/2)+'Alternative 2'!$B$27)*'Alternative 2'!$B$39)*COS('Alternative 2-Tilt Up'!K18))+(('Alternative 2'!$B$28)*((('Alternative 2'!$B$28-'Alternative 2'!$B$27)/2)+(('Alternative 2'!$B$29-'Alternative 2'!$B$28)/2))*('Alternative 2'!$B$39)*COS('Alternative 2-Tilt Up'!K18))+(('Alternative 2'!$B$29)*((('Alternative 2'!$B$12-'Alternative 2'!$B$29+(('Alternative 2'!$B$29-'Alternative 2'!$B$28)/2)*('Alternative 2'!$B$39)*COS('Alternative 2-Tilt Up'!K18)))))</f>
        <v>4584399.2301032301</v>
      </c>
      <c r="N18" s="77">
        <f t="shared" si="0"/>
        <v>781445.22606642905</v>
      </c>
      <c r="O18" s="77">
        <f>(((('Alternative 2'!$B$28-'Alternative 2'!$B$27)/2)+'Alternative 2'!$B$27)*('Alternative 2'!$B$39)*COS('Alternative 2-Tilt Up'!K18))+(((('Alternative 2'!$B$28-'Alternative 2'!$B$27)/2)+(('Alternative 2'!$B$29-'Alternative 2'!$B$28)/2))*('Alternative 2'!$B$39)*COS('Alternative 2-Tilt Up'!K18))+(((('Alternative 2'!$B$12-'Alternative 2'!$B$29)+(('Alternative 2'!$B$29-'Alternative 2'!$B$28)/2))*('Alternative 2'!$B$39)*COS('Alternative 2-Tilt Up'!K18)))</f>
        <v>295689.12375029671</v>
      </c>
      <c r="P18" s="77">
        <f t="shared" si="1"/>
        <v>754818.12568786321</v>
      </c>
      <c r="R18" s="78">
        <f>('Alternative 2'!$B$39*$B18*$C18*COS($K$5))-(($N$5/3)*$E18*SIN($K$5))-(($N$5/3)*$F18*SIN($K$5))-(($N$5/3)*$G18*SIN($K$5))</f>
        <v>548530.39349915553</v>
      </c>
      <c r="S18" s="79">
        <f>IF(($A18&lt;'Alternative 2'!$B$27),(($H18*'Alternative 2'!$B$39)+(3*($N$5/3)*COS($K$5))),IF(($A18&lt;'Alternative 2'!$B$28),(($H18*'Alternative 2'!$B$39)+(2*(($N$5/3)*COS($K$5)))),IF(($A18&lt;'Alternative 2'!$B$29),(($H$3*'Alternative 2'!$B$39+(($N$5/3)*COS($K$5)))),($H18*'Alternative 2'!$B$39))))</f>
        <v>4173513.6996804415</v>
      </c>
      <c r="T18" s="78">
        <f>R18*'Alternative 2'!$K19/'Alternative 2'!$L19</f>
        <v>10804611.870247368</v>
      </c>
      <c r="U18" s="78">
        <f>S18/'Alternative 2'!$M19</f>
        <v>1644144.1762862515</v>
      </c>
      <c r="V18" s="78">
        <f t="shared" si="2"/>
        <v>12.448756046533619</v>
      </c>
      <c r="X18" s="78">
        <f>'Alternative 2'!$B$39*$B18*$C18*COS($K$13)-($N$12/3)*$E18*SIN($K$13)-($N$12/3)*$F18*SIN($K$13)-($N$12/3)*$G18*SIN($K$13)</f>
        <v>392578.74045518576</v>
      </c>
      <c r="Y18" s="79">
        <f>IF(($A18&lt;'Alternative 2'!$B$27),(($H18*'Alternative 2'!$B$39)+(3*($N$12/3)*COS($K$13))),IF(($A18&lt;'Alternative 2'!$B$28),(($H18*'Alternative 2'!$B$39)+(2*(($N$12/3)*COS($K$13)))),IF(($A18&lt;'Alternative 2'!$B$29),(($H$3*'Alternative 2'!$B$39+(($N$12/3)*COS($K$13)))),($H18*'Alternative 2'!$B$39))))</f>
        <v>1046527.0695490565</v>
      </c>
      <c r="Z18" s="78">
        <f>X18*'Alternative 2'!$K19/'Alternative 2'!$L19</f>
        <v>7732772.8224332044</v>
      </c>
      <c r="AA18" s="78">
        <f>Y18/'Alternative 2'!$M19</f>
        <v>412276.4439126543</v>
      </c>
      <c r="AB18" s="78">
        <f t="shared" si="3"/>
        <v>8.1450492663458594</v>
      </c>
      <c r="AD18" s="78">
        <f>'Alternative 2'!$B$39*$B18*$C18*COS($K$23)-($N$22/3)*$E18*SIN($K$23)-($N$22/3)*$F18*SIN($K$23)-($N$22/3)*$G18*SIN($K$23)</f>
        <v>444673.08578212198</v>
      </c>
      <c r="AE18" s="79">
        <f>IF(($A18&lt;'Alternative 2'!$B$27),(($H18*'Alternative 2'!$B$39)+(3*($N$22/3)*COS($K$23))),IF(($A18&lt;'Alternative 2'!$B$28),(($H18*'Alternative 2'!$B$39)+(2*(($N$22/3)*COS($K$23)))),IF(($A18&lt;'Alternative 2'!$B$29),(($H$3*'Alternative 2'!$B$39+(($N$22/3)*COS($K$23)))),($H18*'Alternative 2'!$B$39))))</f>
        <v>559525.31563673145</v>
      </c>
      <c r="AF18" s="78">
        <f>AD18*'Alternative 2'!$K19/'Alternative 2'!$L19</f>
        <v>8758894.9636360276</v>
      </c>
      <c r="AG18" s="78">
        <f>AE18/'Alternative 2'!$M19</f>
        <v>220423.45021157994</v>
      </c>
      <c r="AH18" s="78">
        <f t="shared" si="4"/>
        <v>8.9793184138476079</v>
      </c>
      <c r="AJ18" s="78">
        <f>'Alternative 2'!$B$39*$B18*$C18*COS($K$33)-($N$32/3)*$E18*SIN($K$33)-($N$32/3)*$F18*SIN($K$33)-($N$32/3)*$G18*SIN($K$33)</f>
        <v>427585.49137161614</v>
      </c>
      <c r="AK18" s="79">
        <f>IF(($A18&lt;'Alternative 2'!$B$27),(($H18*'Alternative 2'!$B$39)+(3*($N$32/3)*COS($K$33))),IF(($A18&lt;'Alternative 2'!$B$28),(($H18*'Alternative 2'!$B$39)+(2*(($N$32/3)*COS($K$33)))),IF(($A18&lt;'Alternative 2'!$B$29),(($H$3*'Alternative 2'!$B$39+(($N$32/3)*COS($K$33)))),($H18*'Alternative 2'!$B$39))))</f>
        <v>396662.245160978</v>
      </c>
      <c r="AL18" s="78">
        <f>AJ18*'Alternative 2'!$K19/'Alternative 2'!$L19</f>
        <v>8422314.1148995068</v>
      </c>
      <c r="AM18" s="78">
        <f>AK18/'Alternative 2'!$M19</f>
        <v>156263.99414574506</v>
      </c>
      <c r="AN18" s="78">
        <f t="shared" si="5"/>
        <v>8.5785781090452531</v>
      </c>
      <c r="AP18" s="78">
        <f>'Alternative 2'!$B$39*$B18*$C18*COS($K$43)-($N$42/3)*$E18*SIN($K$43)-($N$42/3)*$F18*SIN($K$43)-($N$42/3)*$G18*SIN($K$43)</f>
        <v>383666.22601211141</v>
      </c>
      <c r="AQ18" s="79">
        <f>IF(($A18&lt;'Alternative 2'!$B$27),(($H18*'Alternative 2'!$B$39)+(3*($N$42/3)*COS($K$43))),IF(($A18&lt;'Alternative 2'!$B$28),(($H18*'Alternative 2'!$B$39)+(2*(($N$42/3)*COS($K$43)))),IF(($A18&lt;'Alternative 2'!$B$29),(($H$3*'Alternative 2'!$B$39+(($N$42/3)*COS($K$43)))),($H18*'Alternative 2'!$B$39))))</f>
        <v>310623.16530205996</v>
      </c>
      <c r="AR18" s="78">
        <f>AP18*'Alternative 2'!$K19/'Alternative 2'!$L19</f>
        <v>7557219.6343389135</v>
      </c>
      <c r="AS18" s="78">
        <f>AQ18/'Alternative 2'!$M19</f>
        <v>122369.13665578421</v>
      </c>
      <c r="AT18" s="78">
        <f t="shared" si="6"/>
        <v>7.6795887709946973</v>
      </c>
      <c r="AV18" s="78">
        <f>'Alternative 2'!$B$39*$B18*$C18*COS($K$53)-($N$52/3)*$E18*SIN($K$53)-($N$52/3)*$F18*SIN($K$53)-($N$52/3)*$G18*SIN($K$53)</f>
        <v>322118.32450168137</v>
      </c>
      <c r="AW18" s="79">
        <f>IF(($A18&lt;'Alternative 2'!$B$27),(($H18*'Alternative 2'!$B$39)+(3*($N$52/3)*COS($K$53))),IF(($A18&lt;'Alternative 2'!$B$28),(($H18*'Alternative 2'!$B$39)+(2*(($N$52/3)*COS($K$53)))),IF(($A18&lt;'Alternative 2'!$B$29),(($H$3*'Alternative 2'!$B$39+(($N$52/3)*COS($K$53)))),($H18*'Alternative 2'!$B$39))))</f>
        <v>256570.74242063245</v>
      </c>
      <c r="AX18" s="78">
        <f>AV18*'Alternative 2'!$K19/'Alternative 2'!$L19</f>
        <v>6344887.2000206104</v>
      </c>
      <c r="AY18" s="78">
        <f>AW18/'Alternative 2'!$M19</f>
        <v>101075.33419349317</v>
      </c>
      <c r="AZ18" s="78">
        <f t="shared" si="7"/>
        <v>6.4459625342141038</v>
      </c>
      <c r="BB18" s="78">
        <f>'Alternative 2'!$B$39*$B18*$C18*COS($K$63)-($N$62/3)*$E18*SIN($K$63)-($N$62/3)*$F18*SIN($K$63)-($N$62/3)*$G18*SIN($K$63)</f>
        <v>247405.06850558735</v>
      </c>
      <c r="BC18" s="79">
        <f>IF(($A18&lt;'Alternative 2'!$B$27),(($H18*'Alternative 2'!$B$39)+(3*($N$62/3)*COS($K$63))),IF(($A18&lt;'Alternative 2'!$B$28),(($H18*'Alternative 2'!$B$39)+(2*(($N$62/3)*COS($K$63)))),IF(($A18&lt;'Alternative 2'!$B$29),(($H$3*'Alternative 2'!$B$39+(($N$62/3)*COS($K$63)))),($H18*'Alternative 2'!$B$39))))</f>
        <v>220509.10334579076</v>
      </c>
      <c r="BD18" s="78">
        <f>BB18*'Alternative 2'!$K19/'Alternative 2'!$L19</f>
        <v>4873231.769132494</v>
      </c>
      <c r="BE18" s="78">
        <f>BC18/'Alternative 2'!$M19</f>
        <v>86868.951241694682</v>
      </c>
      <c r="BF18" s="78">
        <f t="shared" si="8"/>
        <v>4.9601007203741885</v>
      </c>
      <c r="BH18" s="78">
        <f>'Alternative 2'!$B$39*$B18*$C18*COS($K$73)-($N$72/3)*$E18*SIN($K$73)-($N$72/3)*$F18*SIN($K$73)-($N$72/3)*$G18*SIN($K$73)</f>
        <v>162896.95125948539</v>
      </c>
      <c r="BI18" s="79">
        <f>IF(($A18&lt;'Alternative 2'!$B$27),(($H18*'Alternative 2'!$B$39)+(3*($N$72/3)*COS($K$73))),IF(($A18&lt;'Alternative 2'!$B$28),(($H18*'Alternative 2'!$B$39)+(2*(($N$72/3)*COS($K$73)))),IF(($A18&lt;'Alternative 2'!$B$29),(($H$3*'Alternative 2'!$B$39+(($N$72/3)*COS($K$73)))),($H18*'Alternative 2'!$B$39))))</f>
        <v>196898.16441910353</v>
      </c>
      <c r="BJ18" s="78">
        <f>BH18*'Alternative 2'!$K19/'Alternative 2'!$L19</f>
        <v>3208643.2293711226</v>
      </c>
      <c r="BK18" s="78">
        <f>BI18/'Alternative 2'!$M19</f>
        <v>77567.487169362648</v>
      </c>
      <c r="BL18" s="78">
        <f t="shared" si="9"/>
        <v>3.2862107165404852</v>
      </c>
      <c r="BN18" s="78">
        <f>'Alternative 2'!$B$39*$B18*$C18*COS($K$83)-($N$82/3)*$E18*SIN($K$83)-($N$82/3)*$F18*SIN($K$83)-($N$82/3)*$G18*SIN($K$83)</f>
        <v>71687.836013208173</v>
      </c>
      <c r="BO18" s="79">
        <f>IF(($A18&lt;'Alternative 2'!$B$27),(($H18*'Alternative 2'!$B$39)+(3*($N$82/3)*COS($K$83))),IF(($A18&lt;'Alternative 2'!$B$28),(($H18*'Alternative 2'!$B$39)+(2*(($N$82/3)*COS($K$83)))),IF(($A18&lt;'Alternative 2'!$B$29),(($H$3*'Alternative 2'!$B$39+(($N$82/3)*COS($K$83)))),($H18*'Alternative 2'!$B$39))))</f>
        <v>183282.51225922233</v>
      </c>
      <c r="BP18" s="78">
        <f>BN18*'Alternative 2'!$K19/'Alternative 2'!$L19</f>
        <v>1412062.5823477698</v>
      </c>
      <c r="BQ18" s="78">
        <f>BO18/'Alternative 2'!$M19</f>
        <v>72203.638667626074</v>
      </c>
      <c r="BR18" s="78">
        <f t="shared" si="10"/>
        <v>1.4842662210153958</v>
      </c>
      <c r="BT18" s="78">
        <f>'Alternative 2'!$B$39*$B18*$C18*COS($K$93)-($K$92/3)*$E18*SIN($K$93)-($K$92/3)*$F18*SIN($K$93)-($K$92/3)*$G18*SIN($K$93)</f>
        <v>-9.8378392169598481</v>
      </c>
      <c r="BU18" s="79">
        <f>IF(($A18&lt;'Alternative 2'!$B$27),(($H18*'Alternative 2'!$B$39)+(3*($N$92/3)*COS($K$93))),IF(($A18&lt;'Alternative 2'!$B$28),(($H18*'Alternative 2'!$B$39)+(2*(($N$92/3)*COS($K$93)))),IF(($A18&lt;'Alternative 2'!$B$29),(($H$3*'Alternative 2'!$B$39+(($N$92/3)*COS($K$93)))),($H18*'Alternative 2'!$B$39))))</f>
        <v>178569.94553125676</v>
      </c>
      <c r="BV18" s="78">
        <f>BT18*'Alternative 2'!$K19/'Alternative 2'!$L19</f>
        <v>-193.77966224092759</v>
      </c>
      <c r="BW18" s="78">
        <f>BU18/'Alternative 2'!$M19</f>
        <v>70347.136042095401</v>
      </c>
      <c r="BX18" s="78">
        <f t="shared" si="11"/>
        <v>7.0153356379854481E-2</v>
      </c>
      <c r="BZ18" s="77">
        <v>150</v>
      </c>
      <c r="CA18" s="77">
        <v>-150</v>
      </c>
    </row>
    <row r="19" spans="1:79" ht="15" customHeight="1" x14ac:dyDescent="0.25">
      <c r="A19" s="13">
        <f>IF('Alternative 2'!F20&gt;0,'Alternative 2'!F20,"x")</f>
        <v>17</v>
      </c>
      <c r="B19" s="13">
        <f t="shared" si="17"/>
        <v>20</v>
      </c>
      <c r="C19" s="13">
        <f t="shared" si="12"/>
        <v>10</v>
      </c>
      <c r="D19" s="13">
        <f t="shared" si="13"/>
        <v>17</v>
      </c>
      <c r="E19" s="74">
        <f>IF($A19&lt;='Alternative 2'!$B$27, IF($A19='Alternative 2'!$B$27,0,E20+1),0)</f>
        <v>0</v>
      </c>
      <c r="F19" s="74">
        <f>IF($A19&lt;=('Alternative 2'!$B$28), IF($A19=ROUNDDOWN('Alternative 2'!$B$28,0),0,F20+1),0)</f>
        <v>5</v>
      </c>
      <c r="G19" s="74">
        <f>IF($A19&lt;=('Alternative 2'!$B$29), IF($A19=ROUNDDOWN('Alternative 2'!$B$29,0),0,G20+1),0)</f>
        <v>12</v>
      </c>
      <c r="H19" s="13">
        <f t="shared" si="14"/>
        <v>20</v>
      </c>
      <c r="J19" s="77">
        <f t="shared" si="15"/>
        <v>16</v>
      </c>
      <c r="K19" s="77">
        <f t="shared" si="16"/>
        <v>0.27925268031909273</v>
      </c>
      <c r="L19" s="78">
        <f>'Alternative 2'!$B$27*SIN(K19)+'Alternative 2'!$B$28*SIN(K19)+'Alternative 2'!$B$29*SIN(K19)</f>
        <v>18.743340195555945</v>
      </c>
      <c r="M19" s="77">
        <f>(('Alternative 2'!$B$27)*(((('Alternative 2'!$B$28-'Alternative 2'!$B$27)/2)+'Alternative 2'!$B$27)*'Alternative 2'!$B$39)*COS('Alternative 2-Tilt Up'!K19))+(('Alternative 2'!$B$28)*((('Alternative 2'!$B$28-'Alternative 2'!$B$27)/2)+(('Alternative 2'!$B$29-'Alternative 2'!$B$28)/2))*('Alternative 2'!$B$39)*COS('Alternative 2-Tilt Up'!K19))+(('Alternative 2'!$B$29)*((('Alternative 2'!$B$12-'Alternative 2'!$B$29+(('Alternative 2'!$B$29-'Alternative 2'!$B$28)/2)*('Alternative 2'!$B$39)*COS('Alternative 2-Tilt Up'!K19)))))</f>
        <v>4562263.6555506075</v>
      </c>
      <c r="N19" s="77">
        <f t="shared" si="0"/>
        <v>730221.55196740059</v>
      </c>
      <c r="O19" s="77">
        <f>(((('Alternative 2'!$B$28-'Alternative 2'!$B$27)/2)+'Alternative 2'!$B$27)*('Alternative 2'!$B$39)*COS('Alternative 2-Tilt Up'!K19))+(((('Alternative 2'!$B$28-'Alternative 2'!$B$27)/2)+(('Alternative 2'!$B$29-'Alternative 2'!$B$28)/2))*('Alternative 2'!$B$39)*COS('Alternative 2-Tilt Up'!K19))+(((('Alternative 2'!$B$12-'Alternative 2'!$B$29)+(('Alternative 2'!$B$29-'Alternative 2'!$B$28)/2))*('Alternative 2'!$B$39)*COS('Alternative 2-Tilt Up'!K19)))</f>
        <v>294261.34060283843</v>
      </c>
      <c r="P19" s="77">
        <f t="shared" si="1"/>
        <v>701934.00745489472</v>
      </c>
      <c r="R19" s="78">
        <f>('Alternative 2'!$B$39*$B19*$C19*COS($K$5))-(($N$5/3)*$E19*SIN($K$5))-(($N$5/3)*$F19*SIN($K$5))-(($N$5/3)*$G19*SIN($K$5))</f>
        <v>513824.81329518347</v>
      </c>
      <c r="S19" s="79">
        <f>IF(($A19&lt;'Alternative 2'!$B$27),(($H19*'Alternative 2'!$B$39)+(3*($N$5/3)*COS($K$5))),IF(($A19&lt;'Alternative 2'!$B$28),(($H19*'Alternative 2'!$B$39)+(2*(($N$5/3)*COS($K$5)))),IF(($A19&lt;'Alternative 2'!$B$29),(($H$3*'Alternative 2'!$B$39+(($N$5/3)*COS($K$5)))),($H19*'Alternative 2'!$B$39))))</f>
        <v>4165010.3689408577</v>
      </c>
      <c r="T19" s="78">
        <f>R19*'Alternative 2'!$K20/'Alternative 2'!$L20</f>
        <v>10348712.725972049</v>
      </c>
      <c r="U19" s="78">
        <f>S19/'Alternative 2'!$M20</f>
        <v>1677710.1274108815</v>
      </c>
      <c r="V19" s="78">
        <f t="shared" si="2"/>
        <v>12.026422853382931</v>
      </c>
      <c r="X19" s="78">
        <f>'Alternative 2'!$B$39*$B19*$C19*COS($K$13)-($N$12/3)*$E19*SIN($K$13)-($N$12/3)*$F19*SIN($K$13)-($N$12/3)*$G19*SIN($K$13)</f>
        <v>373953.00572288211</v>
      </c>
      <c r="Y19" s="79">
        <f>IF(($A19&lt;'Alternative 2'!$B$27),(($H19*'Alternative 2'!$B$39)+(3*($N$12/3)*COS($K$13))),IF(($A19&lt;'Alternative 2'!$B$28),(($H19*'Alternative 2'!$B$39)+(2*(($N$12/3)*COS($K$13)))),IF(($A19&lt;'Alternative 2'!$B$29),(($H$3*'Alternative 2'!$B$39+(($N$12/3)*COS($K$13)))),($H19*'Alternative 2'!$B$39))))</f>
        <v>1038023.7388094729</v>
      </c>
      <c r="Z19" s="78">
        <f>X19*'Alternative 2'!$K20/'Alternative 2'!$L20</f>
        <v>7531618.0322663393</v>
      </c>
      <c r="AA19" s="78">
        <f>Y19/'Alternative 2'!$M20</f>
        <v>418126.91562072054</v>
      </c>
      <c r="AB19" s="78">
        <f t="shared" si="3"/>
        <v>7.9497449478870603</v>
      </c>
      <c r="AD19" s="78">
        <f>'Alternative 2'!$B$39*$B19*$C19*COS($K$23)-($N$22/3)*$E19*SIN($K$23)-($N$22/3)*$F19*SIN($K$23)-($N$22/3)*$G19*SIN($K$23)</f>
        <v>419523.89954856026</v>
      </c>
      <c r="AE19" s="79">
        <f>IF(($A19&lt;'Alternative 2'!$B$27),(($H19*'Alternative 2'!$B$39)+(3*($N$22/3)*COS($K$23))),IF(($A19&lt;'Alternative 2'!$B$28),(($H19*'Alternative 2'!$B$39)+(2*(($N$22/3)*COS($K$23)))),IF(($A19&lt;'Alternative 2'!$B$29),(($H$3*'Alternative 2'!$B$39+(($N$22/3)*COS($K$23)))),($H19*'Alternative 2'!$B$39))))</f>
        <v>551021.98489714775</v>
      </c>
      <c r="AF19" s="78">
        <f>AD19*'Alternative 2'!$K20/'Alternative 2'!$L20</f>
        <v>8449440.7544570453</v>
      </c>
      <c r="AG19" s="78">
        <f>AE19/'Alternative 2'!$M20</f>
        <v>221957.47011383192</v>
      </c>
      <c r="AH19" s="78">
        <f t="shared" si="4"/>
        <v>8.6713982245708774</v>
      </c>
      <c r="AJ19" s="78">
        <f>'Alternative 2'!$B$39*$B19*$C19*COS($K$33)-($N$32/3)*$E19*SIN($K$33)-($N$32/3)*$F19*SIN($K$33)-($N$32/3)*$G19*SIN($K$33)</f>
        <v>402537.08030717843</v>
      </c>
      <c r="AK19" s="79">
        <f>IF(($A19&lt;'Alternative 2'!$B$27),(($H19*'Alternative 2'!$B$39)+(3*($N$32/3)*COS($K$33))),IF(($A19&lt;'Alternative 2'!$B$28),(($H19*'Alternative 2'!$B$39)+(2*(($N$32/3)*COS($K$33)))),IF(($A19&lt;'Alternative 2'!$B$29),(($H$3*'Alternative 2'!$B$39+(($N$32/3)*COS($K$33)))),($H19*'Alternative 2'!$B$39))))</f>
        <v>388158.91442139435</v>
      </c>
      <c r="AL19" s="78">
        <f>AJ19*'Alternative 2'!$K20/'Alternative 2'!$L20</f>
        <v>8107316.9256568868</v>
      </c>
      <c r="AM19" s="78">
        <f>AK19/'Alternative 2'!$M20</f>
        <v>156354.50673204171</v>
      </c>
      <c r="AN19" s="78">
        <f t="shared" si="5"/>
        <v>8.2636714323889287</v>
      </c>
      <c r="AP19" s="78">
        <f>'Alternative 2'!$B$39*$B19*$C19*COS($K$43)-($N$42/3)*$E19*SIN($K$43)-($N$42/3)*$F19*SIN($K$43)-($N$42/3)*$G19*SIN($K$43)</f>
        <v>360936.48416581715</v>
      </c>
      <c r="AQ19" s="79">
        <f>IF(($A19&lt;'Alternative 2'!$B$27),(($H19*'Alternative 2'!$B$39)+(3*($N$42/3)*COS($K$43))),IF(($A19&lt;'Alternative 2'!$B$28),(($H19*'Alternative 2'!$B$39)+(2*(($N$42/3)*COS($K$43)))),IF(($A19&lt;'Alternative 2'!$B$29),(($H$3*'Alternative 2'!$B$39+(($N$42/3)*COS($K$43)))),($H19*'Alternative 2'!$B$39))))</f>
        <v>302119.83456247626</v>
      </c>
      <c r="AR19" s="78">
        <f>AP19*'Alternative 2'!$K20/'Alternative 2'!$L20</f>
        <v>7269458.1699941717</v>
      </c>
      <c r="AS19" s="78">
        <f>AQ19/'Alternative 2'!$M20</f>
        <v>121697.05744719693</v>
      </c>
      <c r="AT19" s="78">
        <f t="shared" si="6"/>
        <v>7.3911552274413683</v>
      </c>
      <c r="AV19" s="78">
        <f>'Alternative 2'!$B$39*$B19*$C19*COS($K$53)-($N$52/3)*$E19*SIN($K$53)-($N$52/3)*$F19*SIN($K$53)-($N$52/3)*$G19*SIN($K$53)</f>
        <v>303026.42379014951</v>
      </c>
      <c r="AW19" s="79">
        <f>IF(($A19&lt;'Alternative 2'!$B$27),(($H19*'Alternative 2'!$B$39)+(3*($N$52/3)*COS($K$53))),IF(($A19&lt;'Alternative 2'!$B$28),(($H19*'Alternative 2'!$B$39)+(2*(($N$52/3)*COS($K$53)))),IF(($A19&lt;'Alternative 2'!$B$29),(($H$3*'Alternative 2'!$B$39+(($N$52/3)*COS($K$53)))),($H19*'Alternative 2'!$B$39))))</f>
        <v>248067.4116810488</v>
      </c>
      <c r="AX19" s="78">
        <f>AV19*'Alternative 2'!$K20/'Alternative 2'!$L20</f>
        <v>6103117.8857868435</v>
      </c>
      <c r="AY19" s="78">
        <f>AW19/'Alternative 2'!$M20</f>
        <v>99924.171128470407</v>
      </c>
      <c r="AZ19" s="78">
        <f t="shared" si="7"/>
        <v>6.2030420569153142</v>
      </c>
      <c r="BB19" s="78">
        <f>'Alternative 2'!$B$39*$B19*$C19*COS($K$63)-($N$62/3)*$E19*SIN($K$63)-($N$62/3)*$F19*SIN($K$63)-($N$62/3)*$G19*SIN($K$63)</f>
        <v>232886.6805862771</v>
      </c>
      <c r="BC19" s="79">
        <f>IF(($A19&lt;'Alternative 2'!$B$27),(($H19*'Alternative 2'!$B$39)+(3*($N$62/3)*COS($K$63))),IF(($A19&lt;'Alternative 2'!$B$28),(($H19*'Alternative 2'!$B$39)+(2*(($N$62/3)*COS($K$63)))),IF(($A19&lt;'Alternative 2'!$B$29),(($H$3*'Alternative 2'!$B$39+(($N$62/3)*COS($K$63)))),($H19*'Alternative 2'!$B$39))))</f>
        <v>212005.77260620709</v>
      </c>
      <c r="BD19" s="78">
        <f>BB19*'Alternative 2'!$K20/'Alternative 2'!$L20</f>
        <v>4690465.1015910478</v>
      </c>
      <c r="BE19" s="78">
        <f>BC19/'Alternative 2'!$M20</f>
        <v>85398.162372750783</v>
      </c>
      <c r="BF19" s="78">
        <f t="shared" si="8"/>
        <v>4.7758632639637986</v>
      </c>
      <c r="BH19" s="78">
        <f>'Alternative 2'!$B$39*$B19*$C19*COS($K$73)-($N$72/3)*$E19*SIN($K$73)-($N$72/3)*$F19*SIN($K$73)-($N$72/3)*$G19*SIN($K$73)</f>
        <v>153632.95562755765</v>
      </c>
      <c r="BI19" s="79">
        <f>IF(($A19&lt;'Alternative 2'!$B$27),(($H19*'Alternative 2'!$B$39)+(3*($N$72/3)*COS($K$73))),IF(($A19&lt;'Alternative 2'!$B$28),(($H19*'Alternative 2'!$B$39)+(2*(($N$72/3)*COS($K$73)))),IF(($A19&lt;'Alternative 2'!$B$29),(($H$3*'Alternative 2'!$B$39+(($N$72/3)*COS($K$73)))),($H19*'Alternative 2'!$B$39))))</f>
        <v>188394.83367951986</v>
      </c>
      <c r="BJ19" s="78">
        <f>BH19*'Alternative 2'!$K20/'Alternative 2'!$L20</f>
        <v>3094251.7408520579</v>
      </c>
      <c r="BK19" s="78">
        <f>BI19/'Alternative 2'!$M20</f>
        <v>75887.42702131487</v>
      </c>
      <c r="BL19" s="78">
        <f t="shared" si="9"/>
        <v>3.1701391678733728</v>
      </c>
      <c r="BN19" s="78">
        <f>'Alternative 2'!$B$39*$B19*$C19*COS($K$83)-($N$82/3)*$E19*SIN($K$83)-($N$82/3)*$F19*SIN($K$83)-($N$82/3)*$G19*SIN($K$83)</f>
        <v>68144.078337182902</v>
      </c>
      <c r="BO19" s="79">
        <f>IF(($A19&lt;'Alternative 2'!$B$27),(($H19*'Alternative 2'!$B$39)+(3*($N$82/3)*COS($K$83))),IF(($A19&lt;'Alternative 2'!$B$28),(($H19*'Alternative 2'!$B$39)+(2*(($N$82/3)*COS($K$83)))),IF(($A19&lt;'Alternative 2'!$B$29),(($H$3*'Alternative 2'!$B$39+(($N$82/3)*COS($K$83)))),($H19*'Alternative 2'!$B$39))))</f>
        <v>174779.18151963869</v>
      </c>
      <c r="BP19" s="78">
        <f>BN19*'Alternative 2'!$K20/'Alternative 2'!$L20</f>
        <v>1372459.002447034</v>
      </c>
      <c r="BQ19" s="78">
        <f>BO19/'Alternative 2'!$M20</f>
        <v>70402.898653683122</v>
      </c>
      <c r="BR19" s="78">
        <f t="shared" si="10"/>
        <v>1.4428619011007171</v>
      </c>
      <c r="BT19" s="78">
        <f>'Alternative 2'!$B$39*$B19*$C19*COS($K$93)-($K$92/3)*$E19*SIN($K$93)-($K$92/3)*$F19*SIN($K$93)-($K$92/3)*$G19*SIN($K$93)</f>
        <v>-8.802277194120558</v>
      </c>
      <c r="BU19" s="79">
        <f>IF(($A19&lt;'Alternative 2'!$B$27),(($H19*'Alternative 2'!$B$39)+(3*($N$92/3)*COS($K$93))),IF(($A19&lt;'Alternative 2'!$B$28),(($H19*'Alternative 2'!$B$39)+(2*(($N$92/3)*COS($K$93)))),IF(($A19&lt;'Alternative 2'!$B$29),(($H$3*'Alternative 2'!$B$39+(($N$92/3)*COS($K$93)))),($H19*'Alternative 2'!$B$39))))</f>
        <v>170066.61479167308</v>
      </c>
      <c r="BV19" s="78">
        <f>BT19*'Alternative 2'!$K20/'Alternative 2'!$L20</f>
        <v>-177.28267623385102</v>
      </c>
      <c r="BW19" s="78">
        <f>BU19/'Alternative 2'!$M20</f>
        <v>68504.627046830443</v>
      </c>
      <c r="BX19" s="78">
        <f t="shared" si="11"/>
        <v>6.8327344370596593E-2</v>
      </c>
      <c r="BZ19" s="77">
        <v>150</v>
      </c>
      <c r="CA19" s="77">
        <v>-150</v>
      </c>
    </row>
    <row r="20" spans="1:79" ht="15" customHeight="1" x14ac:dyDescent="0.25">
      <c r="A20" s="13">
        <f>IF('Alternative 2'!F21&gt;0,'Alternative 2'!F21,"x")</f>
        <v>18</v>
      </c>
      <c r="B20" s="13">
        <f t="shared" si="17"/>
        <v>19</v>
      </c>
      <c r="C20" s="13">
        <f t="shared" si="12"/>
        <v>9.5</v>
      </c>
      <c r="D20" s="13">
        <f t="shared" si="13"/>
        <v>18</v>
      </c>
      <c r="E20" s="74">
        <f>IF($A20&lt;='Alternative 2'!$B$27, IF($A20='Alternative 2'!$B$27,0,E21+1),0)</f>
        <v>0</v>
      </c>
      <c r="F20" s="74">
        <f>IF($A20&lt;=('Alternative 2'!$B$28), IF($A20=ROUNDDOWN('Alternative 2'!$B$28,0),0,F21+1),0)</f>
        <v>4</v>
      </c>
      <c r="G20" s="74">
        <f>IF($A20&lt;=('Alternative 2'!$B$29), IF($A20=ROUNDDOWN('Alternative 2'!$B$29,0),0,G21+1),0)</f>
        <v>11</v>
      </c>
      <c r="H20" s="13">
        <f t="shared" si="14"/>
        <v>19</v>
      </c>
      <c r="J20" s="77">
        <f t="shared" si="15"/>
        <v>17</v>
      </c>
      <c r="K20" s="77">
        <f t="shared" si="16"/>
        <v>0.29670597283903605</v>
      </c>
      <c r="L20" s="78">
        <f>'Alternative 2'!$B$27*SIN(K20)+'Alternative 2'!$B$28*SIN(K20)+'Alternative 2'!$B$29*SIN(K20)</f>
        <v>19.881275921146099</v>
      </c>
      <c r="M20" s="77">
        <f>(('Alternative 2'!$B$27)*(((('Alternative 2'!$B$28-'Alternative 2'!$B$27)/2)+'Alternative 2'!$B$27)*'Alternative 2'!$B$39)*COS('Alternative 2-Tilt Up'!K20))+(('Alternative 2'!$B$28)*((('Alternative 2'!$B$28-'Alternative 2'!$B$27)/2)+(('Alternative 2'!$B$29-'Alternative 2'!$B$28)/2))*('Alternative 2'!$B$39)*COS('Alternative 2-Tilt Up'!K20))+(('Alternative 2'!$B$29)*((('Alternative 2'!$B$12-'Alternative 2'!$B$29+(('Alternative 2'!$B$29-'Alternative 2'!$B$28)/2)*('Alternative 2'!$B$39)*COS('Alternative 2-Tilt Up'!K20)))))</f>
        <v>4538738.4308839906</v>
      </c>
      <c r="N20" s="77">
        <f t="shared" si="0"/>
        <v>684876.33020421537</v>
      </c>
      <c r="O20" s="77">
        <f>(((('Alternative 2'!$B$28-'Alternative 2'!$B$27)/2)+'Alternative 2'!$B$27)*('Alternative 2'!$B$39)*COS('Alternative 2-Tilt Up'!K20))+(((('Alternative 2'!$B$28-'Alternative 2'!$B$27)/2)+(('Alternative 2'!$B$29-'Alternative 2'!$B$28)/2))*('Alternative 2'!$B$39)*COS('Alternative 2-Tilt Up'!K20))+(((('Alternative 2'!$B$12-'Alternative 2'!$B$29)+(('Alternative 2'!$B$29-'Alternative 2'!$B$28)/2))*('Alternative 2'!$B$39)*COS('Alternative 2-Tilt Up'!K20)))</f>
        <v>292743.92260045884</v>
      </c>
      <c r="P20" s="77">
        <f t="shared" si="1"/>
        <v>654950.4918208014</v>
      </c>
      <c r="R20" s="78">
        <f>('Alternative 2'!$B$39*$B20*$C20*COS($K$5))-(($N$5/3)*$E20*SIN($K$5))-(($N$5/3)*$F20*SIN($K$5))-(($N$5/3)*$G20*SIN($K$5))</f>
        <v>487617.38383146084</v>
      </c>
      <c r="S20" s="79">
        <f>IF(($A20&lt;'Alternative 2'!$B$27),(($H20*'Alternative 2'!$B$39)+(3*($N$5/3)*COS($K$5))),IF(($A20&lt;'Alternative 2'!$B$28),(($H20*'Alternative 2'!$B$39)+(2*(($N$5/3)*COS($K$5)))),IF(($A20&lt;'Alternative 2'!$B$29),(($H$3*'Alternative 2'!$B$39+(($N$5/3)*COS($K$5)))),($H20*'Alternative 2'!$B$39))))</f>
        <v>4156507.0382012739</v>
      </c>
      <c r="T20" s="78">
        <f>R20*'Alternative 2'!$K21/'Alternative 2'!$L21</f>
        <v>10044352.102200108</v>
      </c>
      <c r="U20" s="78">
        <f>S20/'Alternative 2'!$M21</f>
        <v>1712382.7707357327</v>
      </c>
      <c r="V20" s="78">
        <f t="shared" si="2"/>
        <v>11.756734872935841</v>
      </c>
      <c r="X20" s="78">
        <f>'Alternative 2'!$B$39*$B20*$C20*COS($K$13)-($N$12/3)*$E20*SIN($K$13)-($N$12/3)*$F20*SIN($K$13)-($N$12/3)*$G20*SIN($K$13)</f>
        <v>363701.41702934762</v>
      </c>
      <c r="Y20" s="79">
        <f>IF(($A20&lt;'Alternative 2'!$B$27),(($H20*'Alternative 2'!$B$39)+(3*($N$12/3)*COS($K$13))),IF(($A20&lt;'Alternative 2'!$B$28),(($H20*'Alternative 2'!$B$39)+(2*(($N$12/3)*COS($K$13)))),IF(($A20&lt;'Alternative 2'!$B$29),(($H$3*'Alternative 2'!$B$39+(($N$12/3)*COS($K$13)))),($H20*'Alternative 2'!$B$39))))</f>
        <v>1029520.4080698892</v>
      </c>
      <c r="Z20" s="78">
        <f>X20*'Alternative 2'!$K21/'Alternative 2'!$L21</f>
        <v>7491827.0222592223</v>
      </c>
      <c r="AA20" s="78">
        <f>Y20/'Alternative 2'!$M21</f>
        <v>424138.10266579204</v>
      </c>
      <c r="AB20" s="78">
        <f t="shared" si="3"/>
        <v>7.9159651249250143</v>
      </c>
      <c r="AD20" s="78">
        <f>'Alternative 2'!$B$39*$B20*$C20*COS($K$23)-($N$22/3)*$E20*SIN($K$23)-($N$22/3)*$F20*SIN($K$23)-($N$22/3)*$G20*SIN($K$23)</f>
        <v>402365.23046308709</v>
      </c>
      <c r="AE20" s="79">
        <f>IF(($A20&lt;'Alternative 2'!$B$27),(($H20*'Alternative 2'!$B$39)+(3*($N$22/3)*COS($K$23))),IF(($A20&lt;'Alternative 2'!$B$28),(($H20*'Alternative 2'!$B$39)+(2*(($N$22/3)*COS($K$23)))),IF(($A20&lt;'Alternative 2'!$B$29),(($H$3*'Alternative 2'!$B$39+(($N$22/3)*COS($K$23)))),($H20*'Alternative 2'!$B$39))))</f>
        <v>542518.65415756404</v>
      </c>
      <c r="AF20" s="78">
        <f>AD20*'Alternative 2'!$K21/'Alternative 2'!$L21</f>
        <v>8288256.6997468546</v>
      </c>
      <c r="AG20" s="78">
        <f>AE20/'Alternative 2'!$M21</f>
        <v>223504.8774473324</v>
      </c>
      <c r="AH20" s="78">
        <f t="shared" si="4"/>
        <v>8.5117615771941875</v>
      </c>
      <c r="AJ20" s="78">
        <f>'Alternative 2'!$B$39*$B20*$C20*COS($K$33)-($N$32/3)*$E20*SIN($K$33)-($N$32/3)*$F20*SIN($K$33)-($N$32/3)*$G20*SIN($K$33)</f>
        <v>384852.76968000154</v>
      </c>
      <c r="AK20" s="79">
        <f>IF(($A20&lt;'Alternative 2'!$B$27),(($H20*'Alternative 2'!$B$39)+(3*($N$32/3)*COS($K$33))),IF(($A20&lt;'Alternative 2'!$B$28),(($H20*'Alternative 2'!$B$39)+(2*(($N$32/3)*COS($K$33)))),IF(($A20&lt;'Alternative 2'!$B$29),(($H$3*'Alternative 2'!$B$39+(($N$32/3)*COS($K$33)))),($H20*'Alternative 2'!$B$39))))</f>
        <v>379655.58368181065</v>
      </c>
      <c r="AL20" s="78">
        <f>AJ20*'Alternative 2'!$K21/'Alternative 2'!$L21</f>
        <v>7927520.3353064926</v>
      </c>
      <c r="AM20" s="78">
        <f>AK20/'Alternative 2'!$M21</f>
        <v>156409.1373683053</v>
      </c>
      <c r="AN20" s="78">
        <f t="shared" si="5"/>
        <v>8.0839294726747983</v>
      </c>
      <c r="AP20" s="78">
        <f>'Alternative 2'!$B$39*$B20*$C20*COS($K$43)-($N$42/3)*$E20*SIN($K$43)-($N$42/3)*$F20*SIN($K$43)-($N$42/3)*$G20*SIN($K$43)</f>
        <v>344720.67158058402</v>
      </c>
      <c r="AQ20" s="79">
        <f>IF(($A20&lt;'Alternative 2'!$B$27),(($H20*'Alternative 2'!$B$39)+(3*($N$42/3)*COS($K$43))),IF(($A20&lt;'Alternative 2'!$B$28),(($H20*'Alternative 2'!$B$39)+(2*(($N$42/3)*COS($K$43)))),IF(($A20&lt;'Alternative 2'!$B$29),(($H$3*'Alternative 2'!$B$39+(($N$42/3)*COS($K$43)))),($H20*'Alternative 2'!$B$39))))</f>
        <v>293616.50382289261</v>
      </c>
      <c r="AR20" s="78">
        <f>AP20*'Alternative 2'!$K21/'Alternative 2'!$L21</f>
        <v>7100845.6980258981</v>
      </c>
      <c r="AS20" s="78">
        <f>AQ20/'Alternative 2'!$M21</f>
        <v>120963.06772225825</v>
      </c>
      <c r="AT20" s="78">
        <f t="shared" si="6"/>
        <v>7.2218087657481567</v>
      </c>
      <c r="AV20" s="78">
        <f>'Alternative 2'!$B$39*$B20*$C20*COS($K$53)-($N$52/3)*$E20*SIN($K$53)-($N$52/3)*$F20*SIN($K$53)-($N$52/3)*$G20*SIN($K$53)</f>
        <v>289400.35871908895</v>
      </c>
      <c r="AW20" s="79">
        <f>IF(($A20&lt;'Alternative 2'!$B$27),(($H20*'Alternative 2'!$B$39)+(3*($N$52/3)*COS($K$53))),IF(($A20&lt;'Alternative 2'!$B$28),(($H20*'Alternative 2'!$B$39)+(2*(($N$52/3)*COS($K$53)))),IF(($A20&lt;'Alternative 2'!$B$29),(($H$3*'Alternative 2'!$B$39+(($N$52/3)*COS($K$53)))),($H20*'Alternative 2'!$B$39))))</f>
        <v>239564.08094146516</v>
      </c>
      <c r="AX20" s="78">
        <f>AV20*'Alternative 2'!$K21/'Alternative 2'!$L21</f>
        <v>5961311.4664555537</v>
      </c>
      <c r="AY20" s="78">
        <f>AW20/'Alternative 2'!$M21</f>
        <v>98694.745593124346</v>
      </c>
      <c r="AZ20" s="78">
        <f t="shared" si="7"/>
        <v>6.0600062120486777</v>
      </c>
      <c r="BB20" s="78">
        <f>'Alternative 2'!$B$39*$B20*$C20*COS($K$63)-($N$62/3)*$E20*SIN($K$63)-($N$62/3)*$F20*SIN($K$63)-($N$62/3)*$G20*SIN($K$63)</f>
        <v>222619.95803675847</v>
      </c>
      <c r="BC20" s="79">
        <f>IF(($A20&lt;'Alternative 2'!$B$27),(($H20*'Alternative 2'!$B$39)+(3*($N$62/3)*COS($K$63))),IF(($A20&lt;'Alternative 2'!$B$28),(($H20*'Alternative 2'!$B$39)+(2*(($N$62/3)*COS($K$63)))),IF(($A20&lt;'Alternative 2'!$B$29),(($H$3*'Alternative 2'!$B$39+(($N$62/3)*COS($K$63)))),($H20*'Alternative 2'!$B$39))))</f>
        <v>203502.44186662344</v>
      </c>
      <c r="BD20" s="78">
        <f>BB20*'Alternative 2'!$K21/'Alternative 2'!$L21</f>
        <v>4585712.7281399118</v>
      </c>
      <c r="BE20" s="78">
        <f>BC20/'Alternative 2'!$M21</f>
        <v>83838.201656422068</v>
      </c>
      <c r="BF20" s="78">
        <f t="shared" si="8"/>
        <v>4.6695509297963333</v>
      </c>
      <c r="BH20" s="78">
        <f>'Alternative 2'!$B$39*$B20*$C20*COS($K$73)-($N$72/3)*$E20*SIN($K$73)-($N$72/3)*$F20*SIN($K$73)-($N$72/3)*$G20*SIN($K$73)</f>
        <v>147277.27039392805</v>
      </c>
      <c r="BI20" s="79">
        <f>IF(($A20&lt;'Alternative 2'!$B$27),(($H20*'Alternative 2'!$B$39)+(3*($N$72/3)*COS($K$73))),IF(($A20&lt;'Alternative 2'!$B$28),(($H20*'Alternative 2'!$B$39)+(2*(($N$72/3)*COS($K$73)))),IF(($A20&lt;'Alternative 2'!$B$29),(($H$3*'Alternative 2'!$B$39+(($N$72/3)*COS($K$73)))),($H20*'Alternative 2'!$B$39))))</f>
        <v>179891.50293993621</v>
      </c>
      <c r="BJ20" s="78">
        <f>BH20*'Alternative 2'!$K21/'Alternative 2'!$L21</f>
        <v>3033740.8171625994</v>
      </c>
      <c r="BK20" s="78">
        <f>BI20/'Alternative 2'!$M21</f>
        <v>74111.052238085147</v>
      </c>
      <c r="BL20" s="78">
        <f t="shared" si="9"/>
        <v>3.1078518694006849</v>
      </c>
      <c r="BN20" s="78">
        <f>'Alternative 2'!$B$39*$B20*$C20*COS($K$83)-($N$82/3)*$E20*SIN($K$83)-($N$82/3)*$F20*SIN($K$83)-($N$82/3)*$G20*SIN($K$83)</f>
        <v>66076.908548185544</v>
      </c>
      <c r="BO20" s="79">
        <f>IF(($A20&lt;'Alternative 2'!$B$27),(($H20*'Alternative 2'!$B$39)+(3*($N$82/3)*COS($K$83))),IF(($A20&lt;'Alternative 2'!$B$28),(($H20*'Alternative 2'!$B$39)+(2*(($N$82/3)*COS($K$83)))),IF(($A20&lt;'Alternative 2'!$B$29),(($H$3*'Alternative 2'!$B$39+(($N$82/3)*COS($K$83)))),($H20*'Alternative 2'!$B$39))))</f>
        <v>166275.85078005504</v>
      </c>
      <c r="BP20" s="78">
        <f>BN20*'Alternative 2'!$K21/'Alternative 2'!$L21</f>
        <v>1361107.6169348622</v>
      </c>
      <c r="BQ20" s="78">
        <f>BO20/'Alternative 2'!$M21</f>
        <v>68501.724993687909</v>
      </c>
      <c r="BR20" s="78">
        <f t="shared" si="10"/>
        <v>1.42960934192855</v>
      </c>
      <c r="BT20" s="78">
        <f>'Alternative 2'!$B$39*$B20*$C20*COS($K$93)-($K$92/3)*$E20*SIN($K$93)-($K$92/3)*$F20*SIN($K$93)-($K$92/3)*$G20*SIN($K$93)</f>
        <v>-7.7667151712807456</v>
      </c>
      <c r="BU20" s="79">
        <f>IF(($A20&lt;'Alternative 2'!$B$27),(($H20*'Alternative 2'!$B$39)+(3*($N$92/3)*COS($K$93))),IF(($A20&lt;'Alternative 2'!$B$28),(($H20*'Alternative 2'!$B$39)+(2*(($N$92/3)*COS($K$93)))),IF(($A20&lt;'Alternative 2'!$B$29),(($H$3*'Alternative 2'!$B$39+(($N$92/3)*COS($K$93)))),($H20*'Alternative 2'!$B$39))))</f>
        <v>161563.28405208944</v>
      </c>
      <c r="BV20" s="78">
        <f>BT20*'Alternative 2'!$K21/'Alternative 2'!$L21</f>
        <v>-159.98531726835853</v>
      </c>
      <c r="BW20" s="78">
        <f>BU20/'Alternative 2'!$M21</f>
        <v>66560.258758518743</v>
      </c>
      <c r="BX20" s="78">
        <f t="shared" si="11"/>
        <v>6.6400273441250379E-2</v>
      </c>
      <c r="BZ20" s="77">
        <v>150</v>
      </c>
      <c r="CA20" s="77">
        <v>-150</v>
      </c>
    </row>
    <row r="21" spans="1:79" ht="15" customHeight="1" x14ac:dyDescent="0.25">
      <c r="A21" s="13">
        <f>IF('Alternative 2'!F22&gt;0,'Alternative 2'!F22,"x")</f>
        <v>19</v>
      </c>
      <c r="B21" s="13">
        <f t="shared" si="17"/>
        <v>18</v>
      </c>
      <c r="C21" s="13">
        <f t="shared" si="12"/>
        <v>9</v>
      </c>
      <c r="D21" s="13">
        <f t="shared" si="13"/>
        <v>19</v>
      </c>
      <c r="E21" s="74">
        <f>IF($A21&lt;='Alternative 2'!$B$27, IF($A21='Alternative 2'!$B$27,0,E22+1),0)</f>
        <v>0</v>
      </c>
      <c r="F21" s="74">
        <f>IF($A21&lt;=('Alternative 2'!$B$28), IF($A21=ROUNDDOWN('Alternative 2'!$B$28,0),0,F22+1),0)</f>
        <v>3</v>
      </c>
      <c r="G21" s="74">
        <f>IF($A21&lt;=('Alternative 2'!$B$29), IF($A21=ROUNDDOWN('Alternative 2'!$B$29,0),0,G22+1),0)</f>
        <v>10</v>
      </c>
      <c r="H21" s="13">
        <f t="shared" si="14"/>
        <v>18</v>
      </c>
      <c r="J21" s="77">
        <f t="shared" si="15"/>
        <v>18</v>
      </c>
      <c r="K21" s="77">
        <f t="shared" si="16"/>
        <v>0.31415926535897931</v>
      </c>
      <c r="L21" s="78">
        <f>'Alternative 2'!$B$27*SIN(K21)+'Alternative 2'!$B$28*SIN(K21)+'Alternative 2'!$B$29*SIN(K21)</f>
        <v>21.013155617496423</v>
      </c>
      <c r="M21" s="77">
        <f>(('Alternative 2'!$B$27)*(((('Alternative 2'!$B$28-'Alternative 2'!$B$27)/2)+'Alternative 2'!$B$27)*'Alternative 2'!$B$39)*COS('Alternative 2-Tilt Up'!K21))+(('Alternative 2'!$B$28)*((('Alternative 2'!$B$28-'Alternative 2'!$B$27)/2)+(('Alternative 2'!$B$29-'Alternative 2'!$B$28)/2))*('Alternative 2'!$B$39)*COS('Alternative 2-Tilt Up'!K21))+(('Alternative 2'!$B$29)*((('Alternative 2'!$B$12-'Alternative 2'!$B$29+(('Alternative 2'!$B$29-'Alternative 2'!$B$28)/2)*('Alternative 2'!$B$39)*COS('Alternative 2-Tilt Up'!K21)))))</f>
        <v>4513830.7221147092</v>
      </c>
      <c r="N21" s="77">
        <f t="shared" si="0"/>
        <v>644429.25245691906</v>
      </c>
      <c r="O21" s="77">
        <f>(((('Alternative 2'!$B$28-'Alternative 2'!$B$27)/2)+'Alternative 2'!$B$27)*('Alternative 2'!$B$39)*COS('Alternative 2-Tilt Up'!K21))+(((('Alternative 2'!$B$28-'Alternative 2'!$B$27)/2)+(('Alternative 2'!$B$29-'Alternative 2'!$B$28)/2))*('Alternative 2'!$B$39)*COS('Alternative 2-Tilt Up'!K21))+(((('Alternative 2'!$B$12-'Alternative 2'!$B$29)+(('Alternative 2'!$B$29-'Alternative 2'!$B$28)/2))*('Alternative 2'!$B$39)*COS('Alternative 2-Tilt Up'!K21)))</f>
        <v>291137.33196338115</v>
      </c>
      <c r="P21" s="77">
        <f t="shared" si="1"/>
        <v>612888.63984036748</v>
      </c>
      <c r="R21" s="78">
        <f>('Alternative 2'!$B$39*$B21*$C21*COS($K$5))-(($N$5/3)*$E21*SIN($K$5))-(($N$5/3)*$F21*SIN($K$5))-(($N$5/3)*$G21*SIN($K$5))</f>
        <v>469908.10510798777</v>
      </c>
      <c r="S21" s="79">
        <f>IF(($A21&lt;'Alternative 2'!$B$27),(($H21*'Alternative 2'!$B$39)+(3*($N$5/3)*COS($K$5))),IF(($A21&lt;'Alternative 2'!$B$28),(($H21*'Alternative 2'!$B$39)+(2*(($N$5/3)*COS($K$5)))),IF(($A21&lt;'Alternative 2'!$B$29),(($H$3*'Alternative 2'!$B$39+(($N$5/3)*COS($K$5)))),($H21*'Alternative 2'!$B$39))))</f>
        <v>4148003.7074616905</v>
      </c>
      <c r="T21" s="78">
        <f>R21*'Alternative 2'!$K22/'Alternative 2'!$L22</f>
        <v>9902351.8589208238</v>
      </c>
      <c r="U21" s="78">
        <f>S21/'Alternative 2'!$M22</f>
        <v>1748212.1526816608</v>
      </c>
      <c r="V21" s="78">
        <f t="shared" si="2"/>
        <v>11.650564011602484</v>
      </c>
      <c r="X21" s="78">
        <f>'Alternative 2'!$B$39*$B21*$C21*COS($K$13)-($N$12/3)*$E21*SIN($K$13)-($N$12/3)*$F21*SIN($K$13)-($N$12/3)*$G21*SIN($K$13)</f>
        <v>361823.97437458218</v>
      </c>
      <c r="Y21" s="79">
        <f>IF(($A21&lt;'Alternative 2'!$B$27),(($H21*'Alternative 2'!$B$39)+(3*($N$12/3)*COS($K$13))),IF(($A21&lt;'Alternative 2'!$B$28),(($H21*'Alternative 2'!$B$39)+(2*(($N$12/3)*COS($K$13)))),IF(($A21&lt;'Alternative 2'!$B$29),(($H$3*'Alternative 2'!$B$39+(($N$12/3)*COS($K$13)))),($H21*'Alternative 2'!$B$39))))</f>
        <v>1021017.0773303055</v>
      </c>
      <c r="Z21" s="78">
        <f>X21*'Alternative 2'!$K22/'Alternative 2'!$L22</f>
        <v>7624699.9494228559</v>
      </c>
      <c r="AA21" s="78">
        <f>Y21/'Alternative 2'!$M22</f>
        <v>430316.50609990116</v>
      </c>
      <c r="AB21" s="78">
        <f t="shared" si="3"/>
        <v>8.0550164555227575</v>
      </c>
      <c r="AD21" s="78">
        <f>'Alternative 2'!$B$39*$B21*$C21*COS($K$23)-($N$22/3)*$E21*SIN($K$23)-($N$22/3)*$F21*SIN($K$23)-($N$22/3)*$G21*SIN($K$23)</f>
        <v>393197.07852570293</v>
      </c>
      <c r="AE21" s="79">
        <f>IF(($A21&lt;'Alternative 2'!$B$27),(($H21*'Alternative 2'!$B$39)+(3*($N$22/3)*COS($K$23))),IF(($A21&lt;'Alternative 2'!$B$28),(($H21*'Alternative 2'!$B$39)+(2*(($N$22/3)*COS($K$23)))),IF(($A21&lt;'Alternative 2'!$B$29),(($H$3*'Alternative 2'!$B$39+(($N$22/3)*COS($K$23)))),($H21*'Alternative 2'!$B$39))))</f>
        <v>534015.32341798046</v>
      </c>
      <c r="AF21" s="78">
        <f>AD21*'Alternative 2'!$K22/'Alternative 2'!$L22</f>
        <v>8285823.9284178</v>
      </c>
      <c r="AG21" s="78">
        <f>AE21/'Alternative 2'!$M22</f>
        <v>225065.39144074838</v>
      </c>
      <c r="AH21" s="78">
        <f t="shared" si="4"/>
        <v>8.5108893198585491</v>
      </c>
      <c r="AJ21" s="78">
        <f>'Alternative 2'!$B$39*$B21*$C21*COS($K$33)-($N$32/3)*$E21*SIN($K$33)-($N$32/3)*$F21*SIN($K$33)-($N$32/3)*$G21*SIN($K$33)</f>
        <v>374532.55949008523</v>
      </c>
      <c r="AK21" s="79">
        <f>IF(($A21&lt;'Alternative 2'!$B$27),(($H21*'Alternative 2'!$B$39)+(3*($N$32/3)*COS($K$33))),IF(($A21&lt;'Alternative 2'!$B$28),(($H21*'Alternative 2'!$B$39)+(2*(($N$32/3)*COS($K$33)))),IF(($A21&lt;'Alternative 2'!$B$29),(($H$3*'Alternative 2'!$B$39+(($N$32/3)*COS($K$33)))),($H21*'Alternative 2'!$B$39))))</f>
        <v>371152.25294222706</v>
      </c>
      <c r="AL21" s="78">
        <f>AJ21*'Alternative 2'!$K22/'Alternative 2'!$L22</f>
        <v>7892507.3783111805</v>
      </c>
      <c r="AM21" s="78">
        <f>AK21/'Alternative 2'!$M22</f>
        <v>156425.33730661368</v>
      </c>
      <c r="AN21" s="78">
        <f t="shared" si="5"/>
        <v>8.048932715617795</v>
      </c>
      <c r="AP21" s="78">
        <f>'Alternative 2'!$B$39*$B21*$C21*COS($K$43)-($N$42/3)*$E21*SIN($K$43)-($N$42/3)*$F21*SIN($K$43)-($N$42/3)*$G21*SIN($K$43)</f>
        <v>335018.78825641144</v>
      </c>
      <c r="AQ21" s="79">
        <f>IF(($A21&lt;'Alternative 2'!$B$27),(($H21*'Alternative 2'!$B$39)+(3*($N$42/3)*COS($K$43))),IF(($A21&lt;'Alternative 2'!$B$28),(($H21*'Alternative 2'!$B$39)+(2*(($N$42/3)*COS($K$43)))),IF(($A21&lt;'Alternative 2'!$B$29),(($H$3*'Alternative 2'!$B$39+(($N$42/3)*COS($K$43)))),($H21*'Alternative 2'!$B$39))))</f>
        <v>285113.17308330897</v>
      </c>
      <c r="AR21" s="78">
        <f>AP21*'Alternative 2'!$K22/'Alternative 2'!$L22</f>
        <v>7059835.4967763359</v>
      </c>
      <c r="AS21" s="78">
        <f>AQ21/'Alternative 2'!$M22</f>
        <v>120163.4205816278</v>
      </c>
      <c r="AT21" s="78">
        <f t="shared" si="6"/>
        <v>7.1799989173579633</v>
      </c>
      <c r="AV21" s="78">
        <f>'Alternative 2'!$B$39*$B21*$C21*COS($K$53)-($N$52/3)*$E21*SIN($K$53)-($N$52/3)*$F21*SIN($K$53)-($N$52/3)*$G21*SIN($K$53)</f>
        <v>281240.12928849919</v>
      </c>
      <c r="AW21" s="79">
        <f>IF(($A21&lt;'Alternative 2'!$B$27),(($H21*'Alternative 2'!$B$39)+(3*($N$52/3)*COS($K$53))),IF(($A21&lt;'Alternative 2'!$B$28),(($H21*'Alternative 2'!$B$39)+(2*(($N$52/3)*COS($K$53)))),IF(($A21&lt;'Alternative 2'!$B$29),(($H$3*'Alternative 2'!$B$39+(($N$52/3)*COS($K$53)))),($H21*'Alternative 2'!$B$39))))</f>
        <v>231060.75020188151</v>
      </c>
      <c r="AX21" s="78">
        <f>AV21*'Alternative 2'!$K22/'Alternative 2'!$L22</f>
        <v>5926560.29293878</v>
      </c>
      <c r="AY21" s="78">
        <f>AW21/'Alternative 2'!$M22</f>
        <v>97382.557972171591</v>
      </c>
      <c r="AZ21" s="78">
        <f t="shared" si="7"/>
        <v>6.0239428509109514</v>
      </c>
      <c r="BB21" s="78">
        <f>'Alternative 2'!$B$39*$B21*$C21*COS($K$63)-($N$62/3)*$E21*SIN($K$63)-($N$62/3)*$F21*SIN($K$63)-($N$62/3)*$G21*SIN($K$63)</f>
        <v>216604.90085703187</v>
      </c>
      <c r="BC21" s="79">
        <f>IF(($A21&lt;'Alternative 2'!$B$27),(($H21*'Alternative 2'!$B$39)+(3*($N$62/3)*COS($K$63))),IF(($A21&lt;'Alternative 2'!$B$28),(($H21*'Alternative 2'!$B$39)+(2*(($N$62/3)*COS($K$63)))),IF(($A21&lt;'Alternative 2'!$B$29),(($H$3*'Alternative 2'!$B$39+(($N$62/3)*COS($K$63)))),($H21*'Alternative 2'!$B$39))))</f>
        <v>194999.1111270398</v>
      </c>
      <c r="BD21" s="78">
        <f>BB21*'Alternative 2'!$K22/'Alternative 2'!$L22</f>
        <v>4564505.1007581139</v>
      </c>
      <c r="BE21" s="78">
        <f>BC21/'Alternative 2'!$M22</f>
        <v>82184.067295113695</v>
      </c>
      <c r="BF21" s="78">
        <f t="shared" si="8"/>
        <v>4.6466891680532276</v>
      </c>
      <c r="BH21" s="78">
        <f>'Alternative 2'!$B$39*$B21*$C21*COS($K$73)-($N$72/3)*$E21*SIN($K$73)-($N$72/3)*$F21*SIN($K$73)-($N$72/3)*$G21*SIN($K$73)</f>
        <v>143829.89555859633</v>
      </c>
      <c r="BI21" s="79">
        <f>IF(($A21&lt;'Alternative 2'!$B$27),(($H21*'Alternative 2'!$B$39)+(3*($N$72/3)*COS($K$73))),IF(($A21&lt;'Alternative 2'!$B$28),(($H21*'Alternative 2'!$B$39)+(2*(($N$72/3)*COS($K$73)))),IF(($A21&lt;'Alternative 2'!$B$29),(($H$3*'Alternative 2'!$B$39+(($N$72/3)*COS($K$73)))),($H21*'Alternative 2'!$B$39))))</f>
        <v>171388.17220035256</v>
      </c>
      <c r="BJ21" s="78">
        <f>BH21*'Alternative 2'!$K22/'Alternative 2'!$L22</f>
        <v>3030920.7655095714</v>
      </c>
      <c r="BK21" s="78">
        <f>BI21/'Alternative 2'!$M22</f>
        <v>72233.032224048642</v>
      </c>
      <c r="BL21" s="78">
        <f t="shared" si="9"/>
        <v>3.1031537977336203</v>
      </c>
      <c r="BN21" s="78">
        <f>'Alternative 2'!$B$39*$B21*$C21*COS($K$83)-($N$82/3)*$E21*SIN($K$83)-($N$82/3)*$F21*SIN($K$83)-($N$82/3)*$G21*SIN($K$83)</f>
        <v>65486.326646216068</v>
      </c>
      <c r="BO21" s="79">
        <f>IF(($A21&lt;'Alternative 2'!$B$27),(($H21*'Alternative 2'!$B$39)+(3*($N$82/3)*COS($K$83))),IF(($A21&lt;'Alternative 2'!$B$28),(($H21*'Alternative 2'!$B$39)+(2*(($N$82/3)*COS($K$83)))),IF(($A21&lt;'Alternative 2'!$B$29),(($H$3*'Alternative 2'!$B$39+(($N$82/3)*COS($K$83)))),($H21*'Alternative 2'!$B$39))))</f>
        <v>157772.5200404714</v>
      </c>
      <c r="BP21" s="78">
        <f>BN21*'Alternative 2'!$K22/'Alternative 2'!$L22</f>
        <v>1379990.3456656316</v>
      </c>
      <c r="BQ21" s="78">
        <f>BO21/'Alternative 2'!$M22</f>
        <v>66494.59748500245</v>
      </c>
      <c r="BR21" s="78">
        <f t="shared" si="10"/>
        <v>1.4464849431506339</v>
      </c>
      <c r="BT21" s="78">
        <f>'Alternative 2'!$B$39*$B21*$C21*COS($K$93)-($K$92/3)*$E21*SIN($K$93)-($K$92/3)*$F21*SIN($K$93)-($K$92/3)*$G21*SIN($K$93)</f>
        <v>-6.7311531484404128</v>
      </c>
      <c r="BU21" s="79">
        <f>IF(($A21&lt;'Alternative 2'!$B$27),(($H21*'Alternative 2'!$B$39)+(3*($N$92/3)*COS($K$93))),IF(($A21&lt;'Alternative 2'!$B$28),(($H21*'Alternative 2'!$B$39)+(2*(($N$92/3)*COS($K$93)))),IF(($A21&lt;'Alternative 2'!$B$29),(($H$3*'Alternative 2'!$B$39+(($N$92/3)*COS($K$93)))),($H21*'Alternative 2'!$B$39))))</f>
        <v>153059.95331250579</v>
      </c>
      <c r="BV21" s="78">
        <f>BT21*'Alternative 2'!$K22/'Alternative 2'!$L22</f>
        <v>-141.84528031671667</v>
      </c>
      <c r="BW21" s="78">
        <f>BU21/'Alternative 2'!$M22</f>
        <v>64508.445348895955</v>
      </c>
      <c r="BX21" s="78">
        <f t="shared" si="11"/>
        <v>6.4366600068579236E-2</v>
      </c>
      <c r="BZ21" s="77">
        <v>150</v>
      </c>
      <c r="CA21" s="77">
        <v>-150</v>
      </c>
    </row>
    <row r="22" spans="1:79" ht="15" customHeight="1" x14ac:dyDescent="0.25">
      <c r="A22" s="13">
        <f>IF('Alternative 2'!F23&gt;0,'Alternative 2'!F23,"x")</f>
        <v>20</v>
      </c>
      <c r="B22" s="13">
        <f t="shared" si="17"/>
        <v>17</v>
      </c>
      <c r="C22" s="13">
        <f t="shared" si="12"/>
        <v>8.5</v>
      </c>
      <c r="D22" s="13">
        <f t="shared" si="13"/>
        <v>20</v>
      </c>
      <c r="E22" s="74">
        <f>IF($A22&lt;='Alternative 2'!$B$27, IF($A22='Alternative 2'!$B$27,0,E23+1),0)</f>
        <v>0</v>
      </c>
      <c r="F22" s="74">
        <f>IF($A22&lt;=('Alternative 2'!$B$28), IF($A22=ROUNDDOWN('Alternative 2'!$B$28,0),0,F23+1),0)</f>
        <v>2</v>
      </c>
      <c r="G22" s="74">
        <f>IF($A22&lt;=('Alternative 2'!$B$29), IF($A22=ROUNDDOWN('Alternative 2'!$B$29,0),0,G23+1),0)</f>
        <v>9</v>
      </c>
      <c r="H22" s="13">
        <f t="shared" si="14"/>
        <v>17</v>
      </c>
      <c r="J22" s="77">
        <f t="shared" si="15"/>
        <v>19</v>
      </c>
      <c r="K22" s="77">
        <f t="shared" si="16"/>
        <v>0.33161255787892258</v>
      </c>
      <c r="L22" s="78">
        <f>'Alternative 2'!$B$27*SIN(K22)+'Alternative 2'!$B$28*SIN(K22)+'Alternative 2'!$B$29*SIN(K22)</f>
        <v>22.138634503086649</v>
      </c>
      <c r="M22" s="77">
        <f>(('Alternative 2'!$B$27)*(((('Alternative 2'!$B$28-'Alternative 2'!$B$27)/2)+'Alternative 2'!$B$27)*'Alternative 2'!$B$39)*COS('Alternative 2-Tilt Up'!K22))+(('Alternative 2'!$B$28)*((('Alternative 2'!$B$28-'Alternative 2'!$B$27)/2)+(('Alternative 2'!$B$29-'Alternative 2'!$B$28)/2))*('Alternative 2'!$B$39)*COS('Alternative 2-Tilt Up'!K22))+(('Alternative 2'!$B$29)*((('Alternative 2'!$B$12-'Alternative 2'!$B$29+(('Alternative 2'!$B$29-'Alternative 2'!$B$28)/2)*('Alternative 2'!$B$39)*COS('Alternative 2-Tilt Up'!K22)))))</f>
        <v>4487548.1163721401</v>
      </c>
      <c r="N22" s="82">
        <f t="shared" si="0"/>
        <v>608106.35575737106</v>
      </c>
      <c r="O22" s="77">
        <f>(((('Alternative 2'!$B$28-'Alternative 2'!$B$27)/2)+'Alternative 2'!$B$27)*('Alternative 2'!$B$39)*COS('Alternative 2-Tilt Up'!K22))+(((('Alternative 2'!$B$28-'Alternative 2'!$B$27)/2)+(('Alternative 2'!$B$29-'Alternative 2'!$B$28)/2))*('Alternative 2'!$B$39)*COS('Alternative 2-Tilt Up'!K22))+(((('Alternative 2'!$B$12-'Alternative 2'!$B$29)+(('Alternative 2'!$B$29-'Alternative 2'!$B$28)/2))*('Alternative 2'!$B$39)*COS('Alternative 2-Tilt Up'!K22)))</f>
        <v>289442.05807467678</v>
      </c>
      <c r="P22" s="77">
        <f t="shared" si="1"/>
        <v>574975.85530860093</v>
      </c>
      <c r="R22" s="78">
        <f>('Alternative 2'!$B$39*$B22*$C22*COS($K$5))-(($N$5/3)*$E22*SIN($K$5))-(($N$5/3)*$F22*SIN($K$5))-(($N$5/3)*$G22*SIN($K$5))</f>
        <v>460696.97712476423</v>
      </c>
      <c r="S22" s="79">
        <f>IF(($A22&lt;'Alternative 2'!$B$27),(($H22*'Alternative 2'!$B$39)+(3*($N$5/3)*COS($K$5))),IF(($A22&lt;'Alternative 2'!$B$28),(($H22*'Alternative 2'!$B$39)+(2*(($N$5/3)*COS($K$5)))),IF(($A22&lt;'Alternative 2'!$B$29),(($H$3*'Alternative 2'!$B$39+(($N$5/3)*COS($K$5)))),($H22*'Alternative 2'!$B$39))))</f>
        <v>4139500.3767221067</v>
      </c>
      <c r="T22" s="78">
        <f>R22*'Alternative 2'!$K23/'Alternative 2'!$L23</f>
        <v>9934298.1336805448</v>
      </c>
      <c r="U22" s="78">
        <f>S22/'Alternative 2'!$M23</f>
        <v>1785251.201511838</v>
      </c>
      <c r="V22" s="78">
        <f t="shared" si="2"/>
        <v>11.719549335192383</v>
      </c>
      <c r="X22" s="78">
        <f>'Alternative 2'!$B$39*$B22*$C22*COS($K$13)-($N$12/3)*$E22*SIN($K$13)-($N$12/3)*$F22*SIN($K$13)-($N$12/3)*$G22*SIN($K$13)</f>
        <v>368320.67775858566</v>
      </c>
      <c r="Y22" s="79">
        <f>IF(($A22&lt;'Alternative 2'!$B$27),(($H22*'Alternative 2'!$B$39)+(3*($N$12/3)*COS($K$13))),IF(($A22&lt;'Alternative 2'!$B$28),(($H22*'Alternative 2'!$B$39)+(2*(($N$12/3)*COS($K$13)))),IF(($A22&lt;'Alternative 2'!$B$29),(($H$3*'Alternative 2'!$B$39+(($N$12/3)*COS($K$13)))),($H22*'Alternative 2'!$B$39))))</f>
        <v>1012513.7465907219</v>
      </c>
      <c r="Z22" s="78">
        <f>X22*'Alternative 2'!$K23/'Alternative 2'!$L23</f>
        <v>7942329.9985364405</v>
      </c>
      <c r="AA22" s="78">
        <f>Y22/'Alternative 2'!$M23</f>
        <v>436668.97406582511</v>
      </c>
      <c r="AB22" s="78">
        <f t="shared" si="3"/>
        <v>8.3789989726022664</v>
      </c>
      <c r="AD22" s="78">
        <f>'Alternative 2'!$B$39*$B22*$C22*COS($K$23)-($N$22/3)*$E22*SIN($K$23)-($N$22/3)*$F22*SIN($K$23)-($N$22/3)*$G22*SIN($K$23)</f>
        <v>392019.44373640732</v>
      </c>
      <c r="AE22" s="79">
        <f>IF(($A22&lt;'Alternative 2'!$B$27),(($H22*'Alternative 2'!$B$39)+(3*($N$22/3)*COS($K$23))),IF(($A22&lt;'Alternative 2'!$B$28),(($H22*'Alternative 2'!$B$39)+(2*(($N$22/3)*COS($K$23)))),IF(($A22&lt;'Alternative 2'!$B$29),(($H$3*'Alternative 2'!$B$39+(($N$22/3)*COS($K$23)))),($H22*'Alternative 2'!$B$39))))</f>
        <v>525511.99267839675</v>
      </c>
      <c r="AF22" s="78">
        <f>AD22*'Alternative 2'!$K23/'Alternative 2'!$L23</f>
        <v>8453361.3669064716</v>
      </c>
      <c r="AG22" s="78">
        <f>AE22/'Alternative 2'!$M23</f>
        <v>226638.68364734523</v>
      </c>
      <c r="AH22" s="78">
        <f t="shared" si="4"/>
        <v>8.6800000505538168</v>
      </c>
      <c r="AJ22" s="78">
        <f>'Alternative 2'!$B$39*$B22*$C22*COS($K$33)-($N$32/3)*$E22*SIN($K$33)-($N$32/3)*$F22*SIN($K$33)-($N$32/3)*$G22*SIN($K$33)</f>
        <v>371576.44973742915</v>
      </c>
      <c r="AK22" s="79">
        <f>IF(($A22&lt;'Alternative 2'!$B$27),(($H22*'Alternative 2'!$B$39)+(3*($N$32/3)*COS($K$33))),IF(($A22&lt;'Alternative 2'!$B$28),(($H22*'Alternative 2'!$B$39)+(2*(($N$32/3)*COS($K$33)))),IF(($A22&lt;'Alternative 2'!$B$29),(($H$3*'Alternative 2'!$B$39+(($N$32/3)*COS($K$33)))),($H22*'Alternative 2'!$B$39))))</f>
        <v>362648.92220264336</v>
      </c>
      <c r="AL22" s="78">
        <f>AJ22*'Alternative 2'!$K23/'Alternative 2'!$L23</f>
        <v>8012536.2536218846</v>
      </c>
      <c r="AM22" s="78">
        <f>AK22/'Alternative 2'!$M23</f>
        <v>156400.37810599399</v>
      </c>
      <c r="AN22" s="78">
        <f t="shared" si="5"/>
        <v>8.1689366317278793</v>
      </c>
      <c r="AP22" s="78">
        <f>'Alternative 2'!$B$39*$B22*$C22*COS($K$43)-($N$42/3)*$E22*SIN($K$43)-($N$42/3)*$F22*SIN($K$43)-($N$42/3)*$G22*SIN($K$43)</f>
        <v>331830.83419329982</v>
      </c>
      <c r="AQ22" s="79">
        <f>IF(($A22&lt;'Alternative 2'!$B$27),(($H22*'Alternative 2'!$B$39)+(3*($N$42/3)*COS($K$43))),IF(($A22&lt;'Alternative 2'!$B$28),(($H22*'Alternative 2'!$B$39)+(2*(($N$42/3)*COS($K$43)))),IF(($A22&lt;'Alternative 2'!$B$29),(($H$3*'Alternative 2'!$B$39+(($N$42/3)*COS($K$43)))),($H22*'Alternative 2'!$B$39))))</f>
        <v>276609.84234372526</v>
      </c>
      <c r="AR22" s="78">
        <f>AP22*'Alternative 2'!$K23/'Alternative 2'!$L23</f>
        <v>7155476.5941765867</v>
      </c>
      <c r="AS22" s="78">
        <f>AQ22/'Alternative 2'!$M23</f>
        <v>119294.11968919037</v>
      </c>
      <c r="AT22" s="78">
        <f t="shared" si="6"/>
        <v>7.2747707138657773</v>
      </c>
      <c r="AV22" s="78">
        <f>'Alternative 2'!$B$39*$B22*$C22*COS($K$53)-($N$52/3)*$E22*SIN($K$53)-($N$52/3)*$F22*SIN($K$53)-($N$52/3)*$G22*SIN($K$53)</f>
        <v>278545.7354983805</v>
      </c>
      <c r="AW22" s="79">
        <f>IF(($A22&lt;'Alternative 2'!$B$27),(($H22*'Alternative 2'!$B$39)+(3*($N$52/3)*COS($K$53))),IF(($A22&lt;'Alternative 2'!$B$28),(($H22*'Alternative 2'!$B$39)+(2*(($N$52/3)*COS($K$53)))),IF(($A22&lt;'Alternative 2'!$B$29),(($H$3*'Alternative 2'!$B$39+(($N$52/3)*COS($K$53)))),($H22*'Alternative 2'!$B$39))))</f>
        <v>222557.41946229781</v>
      </c>
      <c r="AX22" s="78">
        <f>AV22*'Alternative 2'!$K23/'Alternative 2'!$L23</f>
        <v>6006456.559746094</v>
      </c>
      <c r="AY22" s="78">
        <f>AW22/'Alternative 2'!$M23</f>
        <v>95982.815398379724</v>
      </c>
      <c r="AZ22" s="78">
        <f t="shared" si="7"/>
        <v>6.1024393751444741</v>
      </c>
      <c r="BB22" s="78">
        <f>'Alternative 2'!$B$39*$B22*$C22*COS($K$63)-($N$62/3)*$E22*SIN($K$63)-($N$62/3)*$F22*SIN($K$63)-($N$62/3)*$G22*SIN($K$63)</f>
        <v>214841.50904709712</v>
      </c>
      <c r="BC22" s="79">
        <f>IF(($A22&lt;'Alternative 2'!$B$27),(($H22*'Alternative 2'!$B$39)+(3*($N$62/3)*COS($K$63))),IF(($A22&lt;'Alternative 2'!$B$28),(($H22*'Alternative 2'!$B$39)+(2*(($N$62/3)*COS($K$63)))),IF(($A22&lt;'Alternative 2'!$B$29),(($H$3*'Alternative 2'!$B$39+(($N$62/3)*COS($K$63)))),($H22*'Alternative 2'!$B$39))))</f>
        <v>186495.78038745612</v>
      </c>
      <c r="BD22" s="78">
        <f>BB22*'Alternative 2'!$K23/'Alternative 2'!$L23</f>
        <v>4632762.3325943509</v>
      </c>
      <c r="BE22" s="78">
        <f>BC22/'Alternative 2'!$M23</f>
        <v>80430.435007530134</v>
      </c>
      <c r="BF22" s="78">
        <f t="shared" si="8"/>
        <v>4.713192767601881</v>
      </c>
      <c r="BH22" s="78">
        <f>'Alternative 2'!$B$39*$B22*$C22*COS($K$73)-($N$72/3)*$E22*SIN($K$73)-($N$72/3)*$F22*SIN($K$73)-($N$72/3)*$G22*SIN($K$73)</f>
        <v>143290.83112156249</v>
      </c>
      <c r="BI22" s="79">
        <f>IF(($A22&lt;'Alternative 2'!$B$27),(($H22*'Alternative 2'!$B$39)+(3*($N$72/3)*COS($K$73))),IF(($A22&lt;'Alternative 2'!$B$28),(($H22*'Alternative 2'!$B$39)+(2*(($N$72/3)*COS($K$73)))),IF(($A22&lt;'Alternative 2'!$B$29),(($H$3*'Alternative 2'!$B$39+(($N$72/3)*COS($K$73)))),($H22*'Alternative 2'!$B$39))))</f>
        <v>162884.84146076889</v>
      </c>
      <c r="BJ22" s="78">
        <f>BH22*'Alternative 2'!$K23/'Alternative 2'!$L23</f>
        <v>3089870.1464649877</v>
      </c>
      <c r="BK22" s="78">
        <f>BI22/'Alternative 2'!$M23</f>
        <v>70247.694760730359</v>
      </c>
      <c r="BL22" s="78">
        <f t="shared" si="9"/>
        <v>3.160117841225718</v>
      </c>
      <c r="BN22" s="78">
        <f>'Alternative 2'!$B$39*$B22*$C22*COS($K$83)-($N$82/3)*$E22*SIN($K$83)-($N$82/3)*$F22*SIN($K$83)-($N$82/3)*$G22*SIN($K$83)</f>
        <v>66372.332631274505</v>
      </c>
      <c r="BO22" s="79">
        <f>IF(($A22&lt;'Alternative 2'!$B$27),(($H22*'Alternative 2'!$B$39)+(3*($N$82/3)*COS($K$83))),IF(($A22&lt;'Alternative 2'!$B$28),(($H22*'Alternative 2'!$B$39)+(2*(($N$82/3)*COS($K$83)))),IF(($A22&lt;'Alternative 2'!$B$29),(($H$3*'Alternative 2'!$B$39+(($N$82/3)*COS($K$83)))),($H22*'Alternative 2'!$B$39))))</f>
        <v>149269.18930088769</v>
      </c>
      <c r="BP22" s="78">
        <f>BN22*'Alternative 2'!$K23/'Alternative 2'!$L23</f>
        <v>1431228.2756922205</v>
      </c>
      <c r="BQ22" s="78">
        <f>BO22/'Alternative 2'!$M23</f>
        <v>64375.643265220388</v>
      </c>
      <c r="BR22" s="78">
        <f t="shared" si="10"/>
        <v>1.4956039189574408</v>
      </c>
      <c r="BT22" s="78">
        <f>'Alternative 2'!$B$39*$B22*$C22*COS($K$93)-($K$92/3)*$E22*SIN($K$93)-($K$92/3)*$F22*SIN($K$93)-($K$92/3)*$G22*SIN($K$93)</f>
        <v>-5.6955911255995604</v>
      </c>
      <c r="BU22" s="79">
        <f>IF(($A22&lt;'Alternative 2'!$B$27),(($H22*'Alternative 2'!$B$39)+(3*($N$92/3)*COS($K$93))),IF(($A22&lt;'Alternative 2'!$B$28),(($H22*'Alternative 2'!$B$39)+(2*(($N$92/3)*COS($K$93)))),IF(($A22&lt;'Alternative 2'!$B$29),(($H$3*'Alternative 2'!$B$39+(($N$92/3)*COS($K$93)))),($H22*'Alternative 2'!$B$39))))</f>
        <v>144556.62257292212</v>
      </c>
      <c r="BV22" s="78">
        <f>BT22*'Alternative 2'!$K23/'Alternative 2'!$L23</f>
        <v>-122.81760701444314</v>
      </c>
      <c r="BW22" s="78">
        <f>BU22/'Alternative 2'!$M23</f>
        <v>62343.244509898315</v>
      </c>
      <c r="BX22" s="78">
        <f t="shared" si="11"/>
        <v>6.2220426902883874E-2</v>
      </c>
      <c r="BZ22" s="77">
        <v>150</v>
      </c>
      <c r="CA22" s="77">
        <v>-150</v>
      </c>
    </row>
    <row r="23" spans="1:79" ht="15" customHeight="1" x14ac:dyDescent="0.25">
      <c r="A23" s="13">
        <f>IF('Alternative 2'!F24&gt;0,'Alternative 2'!F24,"x")</f>
        <v>21</v>
      </c>
      <c r="B23" s="13">
        <f t="shared" si="17"/>
        <v>16</v>
      </c>
      <c r="C23" s="13">
        <f t="shared" si="12"/>
        <v>8</v>
      </c>
      <c r="D23" s="13">
        <f t="shared" si="13"/>
        <v>21</v>
      </c>
      <c r="E23" s="74">
        <f>IF($A23&lt;='Alternative 2'!$B$27, IF($A23='Alternative 2'!$B$27,0,E24+1),0)</f>
        <v>0</v>
      </c>
      <c r="F23" s="74">
        <f>IF($A23&lt;=('Alternative 2'!$B$28), IF($A23=ROUNDDOWN('Alternative 2'!$B$28,0),0,F24+1),0)</f>
        <v>1</v>
      </c>
      <c r="G23" s="74">
        <f>IF($A23&lt;=('Alternative 2'!$B$29), IF($A23=ROUNDDOWN('Alternative 2'!$B$29,0),0,G24+1),0)</f>
        <v>8</v>
      </c>
      <c r="H23" s="13">
        <f t="shared" si="14"/>
        <v>16</v>
      </c>
      <c r="J23" s="77">
        <f t="shared" si="15"/>
        <v>20</v>
      </c>
      <c r="K23" s="82">
        <f t="shared" si="16"/>
        <v>0.3490658503988659</v>
      </c>
      <c r="L23" s="78">
        <f>'Alternative 2'!$B$27*SIN(K23)+'Alternative 2'!$B$28*SIN(K23)+'Alternative 2'!$B$29*SIN(K23)</f>
        <v>23.257369746145471</v>
      </c>
      <c r="M23" s="77">
        <f>(('Alternative 2'!$B$27)*(((('Alternative 2'!$B$28-'Alternative 2'!$B$27)/2)+'Alternative 2'!$B$27)*'Alternative 2'!$B$39)*COS('Alternative 2-Tilt Up'!K23))+(('Alternative 2'!$B$28)*((('Alternative 2'!$B$28-'Alternative 2'!$B$27)/2)+(('Alternative 2'!$B$29-'Alternative 2'!$B$28)/2))*('Alternative 2'!$B$39)*COS('Alternative 2-Tilt Up'!K23))+(('Alternative 2'!$B$29)*((('Alternative 2'!$B$12-'Alternative 2'!$B$29+(('Alternative 2'!$B$29-'Alternative 2'!$B$28)/2)*('Alternative 2'!$B$39)*COS('Alternative 2-Tilt Up'!K23)))))</f>
        <v>4459898.6195925968</v>
      </c>
      <c r="N23" s="77">
        <f t="shared" si="0"/>
        <v>575288.43565791682</v>
      </c>
      <c r="O23" s="77">
        <f>(((('Alternative 2'!$B$28-'Alternative 2'!$B$27)/2)+'Alternative 2'!$B$27)*('Alternative 2'!$B$39)*COS('Alternative 2-Tilt Up'!K23))+(((('Alternative 2'!$B$28-'Alternative 2'!$B$27)/2)+(('Alternative 2'!$B$29-'Alternative 2'!$B$28)/2))*('Alternative 2'!$B$39)*COS('Alternative 2-Tilt Up'!K23))+(((('Alternative 2'!$B$12-'Alternative 2'!$B$29)+(('Alternative 2'!$B$29-'Alternative 2'!$B$28)/2))*('Alternative 2'!$B$39)*COS('Alternative 2-Tilt Up'!K23)))</f>
        <v>287658.61733119469</v>
      </c>
      <c r="P23" s="82">
        <f t="shared" si="1"/>
        <v>540594.2978112133</v>
      </c>
      <c r="R23" s="78">
        <f>('Alternative 2'!$B$39*$B23*$C23*COS($K$5))-(($N$5/3)*$E23*SIN($K$5))-(($N$5/3)*$F23*SIN($K$5))-(($N$5/3)*$G23*SIN($K$5))</f>
        <v>459983.9998817899</v>
      </c>
      <c r="S23" s="79">
        <f>IF(($A23&lt;'Alternative 2'!$B$27),(($H23*'Alternative 2'!$B$39)+(3*($N$5/3)*COS($K$5))),IF(($A23&lt;'Alternative 2'!$B$28),(($H23*'Alternative 2'!$B$39)+(2*(($N$5/3)*COS($K$5)))),IF(($A23&lt;'Alternative 2'!$B$29),(($H$3*'Alternative 2'!$B$39+(($N$5/3)*COS($K$5)))),($H23*'Alternative 2'!$B$39))))</f>
        <v>4130997.0459825229</v>
      </c>
      <c r="T23" s="78">
        <f>R23*'Alternative 2'!$K24/'Alternative 2'!$L24</f>
        <v>10152601.685936777</v>
      </c>
      <c r="U23" s="78">
        <f>S23/'Alternative 2'!$M24</f>
        <v>1823555.929524665</v>
      </c>
      <c r="V23" s="78">
        <f t="shared" si="2"/>
        <v>11.976157615461442</v>
      </c>
      <c r="X23" s="78">
        <f>'Alternative 2'!$B$39*$B23*$C23*COS($K$13)-($N$12/3)*$E23*SIN($K$13)-($N$12/3)*$F23*SIN($K$13)-($N$12/3)*$G23*SIN($K$13)</f>
        <v>383191.52718135819</v>
      </c>
      <c r="Y23" s="79">
        <f>IF(($A23&lt;'Alternative 2'!$B$27),(($H23*'Alternative 2'!$B$39)+(3*($N$12/3)*COS($K$13))),IF(($A23&lt;'Alternative 2'!$B$28),(($H23*'Alternative 2'!$B$39)+(2*(($N$12/3)*COS($K$13)))),IF(($A23&lt;'Alternative 2'!$B$29),(($H$3*'Alternative 2'!$B$39+(($N$12/3)*COS($K$13)))),($H23*'Alternative 2'!$B$39))))</f>
        <v>1004010.4158511382</v>
      </c>
      <c r="Z23" s="78">
        <f>X23*'Alternative 2'!$K24/'Alternative 2'!$L24</f>
        <v>8457665.8011972737</v>
      </c>
      <c r="AA23" s="78">
        <f>Y23/'Alternative 2'!$M24</f>
        <v>443202.72485075356</v>
      </c>
      <c r="AB23" s="78">
        <f t="shared" si="3"/>
        <v>8.9008685260480274</v>
      </c>
      <c r="AD23" s="78">
        <f>'Alternative 2'!$B$39*$B23*$C23*COS($K$23)-($N$22/3)*$E23*SIN($K$23)-($N$22/3)*$F23*SIN($K$23)-($N$22/3)*$G23*SIN($K$23)</f>
        <v>398832.32609520038</v>
      </c>
      <c r="AE23" s="79">
        <f>IF(($A23&lt;'Alternative 2'!$B$27),(($H23*'Alternative 2'!$B$39)+(3*($N$22/3)*COS($K$23))),IF(($A23&lt;'Alternative 2'!$B$28),(($H23*'Alternative 2'!$B$39)+(2*(($N$22/3)*COS($K$23)))),IF(($A23&lt;'Alternative 2'!$B$29),(($H$3*'Alternative 2'!$B$39+(($N$22/3)*COS($K$23)))),($H23*'Alternative 2'!$B$39))))</f>
        <v>517008.66193881317</v>
      </c>
      <c r="AF23" s="78">
        <f>AD23*'Alternative 2'!$K24/'Alternative 2'!$L24</f>
        <v>8802883.8989199772</v>
      </c>
      <c r="AG23" s="78">
        <f>AE23/'Alternative 2'!$M24</f>
        <v>228224.37309923084</v>
      </c>
      <c r="AH23" s="78">
        <f t="shared" si="4"/>
        <v>9.0311082720192069</v>
      </c>
      <c r="AJ23" s="78">
        <f>'Alternative 2'!$B$39*$B23*$C23*COS($K$33)-($N$32/3)*$E23*SIN($K$33)-($N$32/3)*$F23*SIN($K$33)-($N$32/3)*$G23*SIN($K$33)</f>
        <v>375984.44042203389</v>
      </c>
      <c r="AK23" s="79">
        <f>IF(($A23&lt;'Alternative 2'!$B$27),(($H23*'Alternative 2'!$B$39)+(3*($N$32/3)*COS($K$33))),IF(($A23&lt;'Alternative 2'!$B$28),(($H23*'Alternative 2'!$B$39)+(2*(($N$32/3)*COS($K$33)))),IF(($A23&lt;'Alternative 2'!$B$29),(($H$3*'Alternative 2'!$B$39+(($N$32/3)*COS($K$33)))),($H23*'Alternative 2'!$B$39))))</f>
        <v>354145.59146305971</v>
      </c>
      <c r="AL23" s="78">
        <f>AJ23*'Alternative 2'!$K24/'Alternative 2'!$L24</f>
        <v>8298593.5699844221</v>
      </c>
      <c r="AM23" s="78">
        <f>AK23/'Alternative 2'!$M24</f>
        <v>156331.33745654445</v>
      </c>
      <c r="AN23" s="78">
        <f t="shared" si="5"/>
        <v>8.4549249074409651</v>
      </c>
      <c r="AP23" s="78">
        <f>'Alternative 2'!$B$39*$B23*$C23*COS($K$43)-($N$42/3)*$E23*SIN($K$43)-($N$42/3)*$F23*SIN($K$43)-($N$42/3)*$G23*SIN($K$43)</f>
        <v>335156.80939124897</v>
      </c>
      <c r="AQ23" s="79">
        <f>IF(($A23&lt;'Alternative 2'!$B$27),(($H23*'Alternative 2'!$B$39)+(3*($N$42/3)*COS($K$43))),IF(($A23&lt;'Alternative 2'!$B$28),(($H23*'Alternative 2'!$B$39)+(2*(($N$42/3)*COS($K$43)))),IF(($A23&lt;'Alternative 2'!$B$29),(($H$3*'Alternative 2'!$B$39+(($N$42/3)*COS($K$43)))),($H23*'Alternative 2'!$B$39))))</f>
        <v>268106.51160414168</v>
      </c>
      <c r="AR23" s="78">
        <f>AP23*'Alternative 2'!$K24/'Alternative 2'!$L24</f>
        <v>7397460.7572290339</v>
      </c>
      <c r="AS23" s="78">
        <f>AQ23/'Alternative 2'!$M24</f>
        <v>118350.90016715892</v>
      </c>
      <c r="AT23" s="78">
        <f t="shared" si="6"/>
        <v>7.5158116573961928</v>
      </c>
      <c r="AV23" s="78">
        <f>'Alternative 2'!$B$39*$B23*$C23*COS($K$53)-($N$52/3)*$E23*SIN($K$53)-($N$52/3)*$F23*SIN($K$53)-($N$52/3)*$G23*SIN($K$53)</f>
        <v>281317.17734873295</v>
      </c>
      <c r="AW23" s="79">
        <f>IF(($A23&lt;'Alternative 2'!$B$27),(($H23*'Alternative 2'!$B$39)+(3*($N$52/3)*COS($K$53))),IF(($A23&lt;'Alternative 2'!$B$28),(($H23*'Alternative 2'!$B$39)+(2*(($N$52/3)*COS($K$53)))),IF(($A23&lt;'Alternative 2'!$B$29),(($H$3*'Alternative 2'!$B$39+(($N$52/3)*COS($K$53)))),($H23*'Alternative 2'!$B$39))))</f>
        <v>214054.08872271416</v>
      </c>
      <c r="AX23" s="78">
        <f>AV23*'Alternative 2'!$K24/'Alternative 2'!$L24</f>
        <v>6209131.7301638825</v>
      </c>
      <c r="AY23" s="78">
        <f>AW23/'Alternative 2'!$M24</f>
        <v>94490.409551107572</v>
      </c>
      <c r="AZ23" s="78">
        <f t="shared" si="7"/>
        <v>6.3036221397149896</v>
      </c>
      <c r="BB23" s="78">
        <f>'Alternative 2'!$B$39*$B23*$C23*COS($K$63)-($N$62/3)*$E23*SIN($K$63)-($N$62/3)*$F23*SIN($K$63)-($N$62/3)*$G23*SIN($K$63)</f>
        <v>217329.78260695416</v>
      </c>
      <c r="BC23" s="79">
        <f>IF(($A23&lt;'Alternative 2'!$B$27),(($H23*'Alternative 2'!$B$39)+(3*($N$62/3)*COS($K$63))),IF(($A23&lt;'Alternative 2'!$B$28),(($H23*'Alternative 2'!$B$39)+(2*(($N$62/3)*COS($K$63)))),IF(($A23&lt;'Alternative 2'!$B$29),(($H$3*'Alternative 2'!$B$39+(($N$62/3)*COS($K$63)))),($H23*'Alternative 2'!$B$39))))</f>
        <v>177992.44964787248</v>
      </c>
      <c r="BD23" s="78">
        <f>BB23*'Alternative 2'!$K24/'Alternative 2'!$L24</f>
        <v>4796824.9284033123</v>
      </c>
      <c r="BE23" s="78">
        <f>BC23/'Alternative 2'!$M24</f>
        <v>78571.633761311445</v>
      </c>
      <c r="BF23" s="78">
        <f t="shared" si="8"/>
        <v>4.8753965621646245</v>
      </c>
      <c r="BH23" s="78">
        <f>'Alternative 2'!$B$39*$B23*$C23*COS($K$73)-($N$72/3)*$E23*SIN($K$73)-($N$72/3)*$F23*SIN($K$73)-($N$72/3)*$G23*SIN($K$73)</f>
        <v>145660.07708282676</v>
      </c>
      <c r="BI23" s="79">
        <f>IF(($A23&lt;'Alternative 2'!$B$27),(($H23*'Alternative 2'!$B$39)+(3*($N$72/3)*COS($K$73))),IF(($A23&lt;'Alternative 2'!$B$28),(($H23*'Alternative 2'!$B$39)+(2*(($N$72/3)*COS($K$73)))),IF(($A23&lt;'Alternative 2'!$B$29),(($H$3*'Alternative 2'!$B$39+(($N$72/3)*COS($K$73)))),($H23*'Alternative 2'!$B$39))))</f>
        <v>154381.51072118524</v>
      </c>
      <c r="BJ23" s="78">
        <f>BH23*'Alternative 2'!$K24/'Alternative 2'!$L24</f>
        <v>3214956.9214251544</v>
      </c>
      <c r="BK23" s="78">
        <f>BI23/'Alternative 2'!$M24</f>
        <v>68149.000386814616</v>
      </c>
      <c r="BL23" s="78">
        <f t="shared" si="9"/>
        <v>3.2831059218119689</v>
      </c>
      <c r="BN23" s="78">
        <f>'Alternative 2'!$B$39*$B23*$C23*COS($K$83)-($N$82/3)*$E23*SIN($K$83)-($N$82/3)*$F23*SIN($K$83)-($N$82/3)*$G23*SIN($K$83)</f>
        <v>68734.926503360824</v>
      </c>
      <c r="BO23" s="79">
        <f>IF(($A23&lt;'Alternative 2'!$B$27),(($H23*'Alternative 2'!$B$39)+(3*($N$82/3)*COS($K$83))),IF(($A23&lt;'Alternative 2'!$B$28),(($H23*'Alternative 2'!$B$39)+(2*(($N$82/3)*COS($K$83)))),IF(($A23&lt;'Alternative 2'!$B$29),(($H$3*'Alternative 2'!$B$39+(($N$82/3)*COS($K$83)))),($H23*'Alternative 2'!$B$39))))</f>
        <v>140765.85856130405</v>
      </c>
      <c r="BP23" s="78">
        <f>BN23*'Alternative 2'!$K24/'Alternative 2'!$L24</f>
        <v>1517092.6181782347</v>
      </c>
      <c r="BQ23" s="78">
        <f>BO23/'Alternative 2'!$M24</f>
        <v>62138.610412161099</v>
      </c>
      <c r="BR23" s="78">
        <f t="shared" si="10"/>
        <v>1.5792312285903958</v>
      </c>
      <c r="BT23" s="78">
        <f>'Alternative 2'!$B$39*$B23*$C23*COS($K$93)-($K$92/3)*$E23*SIN($K$93)-($K$92/3)*$F23*SIN($K$93)-($K$92/3)*$G23*SIN($K$93)</f>
        <v>-4.6600291027581857</v>
      </c>
      <c r="BU23" s="79">
        <f>IF(($A23&lt;'Alternative 2'!$B$27),(($H23*'Alternative 2'!$B$39)+(3*($N$92/3)*COS($K$93))),IF(($A23&lt;'Alternative 2'!$B$28),(($H23*'Alternative 2'!$B$39)+(2*(($N$92/3)*COS($K$93)))),IF(($A23&lt;'Alternative 2'!$B$29),(($H$3*'Alternative 2'!$B$39+(($N$92/3)*COS($K$93)))),($H23*'Alternative 2'!$B$39))))</f>
        <v>136053.29183333847</v>
      </c>
      <c r="BV23" s="78">
        <f>BT23*'Alternative 2'!$K24/'Alternative 2'!$L24</f>
        <v>-102.85448915035226</v>
      </c>
      <c r="BW23" s="78">
        <f>BU23/'Alternative 2'!$M24</f>
        <v>60058.330783682606</v>
      </c>
      <c r="BX23" s="78">
        <f t="shared" si="11"/>
        <v>5.9955476294532253E-2</v>
      </c>
      <c r="BZ23" s="77">
        <v>150</v>
      </c>
      <c r="CA23" s="77">
        <v>-150</v>
      </c>
    </row>
    <row r="24" spans="1:79" ht="15" customHeight="1" x14ac:dyDescent="0.25">
      <c r="A24" s="13">
        <f>IF('Alternative 2'!F25&gt;0,'Alternative 2'!F25,"x")</f>
        <v>22</v>
      </c>
      <c r="B24" s="13">
        <f t="shared" si="17"/>
        <v>15</v>
      </c>
      <c r="C24" s="13">
        <f t="shared" si="12"/>
        <v>7.5</v>
      </c>
      <c r="D24" s="13">
        <f t="shared" si="13"/>
        <v>22</v>
      </c>
      <c r="E24" s="74">
        <f>IF($A24&lt;='Alternative 2'!$B$27, IF($A24='Alternative 2'!$B$27,0,E25+1),0)</f>
        <v>0</v>
      </c>
      <c r="F24" s="74">
        <f>IF($A24&lt;=('Alternative 2'!$B$28), IF($A24=ROUNDDOWN('Alternative 2'!$B$28,0),0,F25+1),0)</f>
        <v>0</v>
      </c>
      <c r="G24" s="74">
        <f>IF($A24&lt;=('Alternative 2'!$B$29), IF($A24=ROUNDDOWN('Alternative 2'!$B$29,0),0,G25+1),0)</f>
        <v>7</v>
      </c>
      <c r="H24" s="13">
        <f t="shared" si="14"/>
        <v>15</v>
      </c>
      <c r="J24" s="77">
        <f t="shared" si="15"/>
        <v>21</v>
      </c>
      <c r="K24" s="77">
        <f t="shared" si="16"/>
        <v>0.36651914291880922</v>
      </c>
      <c r="L24" s="78">
        <f>'Alternative 2'!$B$27*SIN(K24)+'Alternative 2'!$B$28*SIN(K24)+'Alternative 2'!$B$29*SIN(K24)</f>
        <v>24.369020569080419</v>
      </c>
      <c r="M24" s="77">
        <f>(('Alternative 2'!$B$27)*(((('Alternative 2'!$B$28-'Alternative 2'!$B$27)/2)+'Alternative 2'!$B$27)*'Alternative 2'!$B$39)*COS('Alternative 2-Tilt Up'!K24))+(('Alternative 2'!$B$28)*((('Alternative 2'!$B$28-'Alternative 2'!$B$27)/2)+(('Alternative 2'!$B$29-'Alternative 2'!$B$28)/2))*('Alternative 2'!$B$39)*COS('Alternative 2-Tilt Up'!K24))+(('Alternative 2'!$B$29)*((('Alternative 2'!$B$12-'Alternative 2'!$B$29+(('Alternative 2'!$B$29-'Alternative 2'!$B$28)/2)*('Alternative 2'!$B$39)*COS('Alternative 2-Tilt Up'!K24)))))</f>
        <v>4430890.6540806461</v>
      </c>
      <c r="N24" s="77">
        <f t="shared" si="0"/>
        <v>545474.19846277172</v>
      </c>
      <c r="O24" s="77">
        <f>(((('Alternative 2'!$B$28-'Alternative 2'!$B$27)/2)+'Alternative 2'!$B$27)*('Alternative 2'!$B$39)*COS('Alternative 2-Tilt Up'!K24))+(((('Alternative 2'!$B$28-'Alternative 2'!$B$27)/2)+(('Alternative 2'!$B$29-'Alternative 2'!$B$28)/2))*('Alternative 2'!$B$39)*COS('Alternative 2-Tilt Up'!K24))+(((('Alternative 2'!$B$12-'Alternative 2'!$B$29)+(('Alternative 2'!$B$29-'Alternative 2'!$B$28)/2))*('Alternative 2'!$B$39)*COS('Alternative 2-Tilt Up'!K24)))</f>
        <v>285787.55298626184</v>
      </c>
      <c r="P24" s="77">
        <f t="shared" si="1"/>
        <v>509244.03484409367</v>
      </c>
      <c r="R24" s="78">
        <f>('Alternative 2'!$B$39*$B24*$C24*COS($K$5))-(($N$5/3)*$E24*SIN($K$5))-(($N$5/3)*$F24*SIN($K$5))-(($N$5/3)*$G24*SIN($K$5))</f>
        <v>467769.17337906495</v>
      </c>
      <c r="S24" s="79">
        <f>IF(($A24&lt;'Alternative 2'!$B$27),(($H24*'Alternative 2'!$B$39)+(3*($N$5/3)*COS($K$5))),IF(($A24&lt;'Alternative 2'!$B$28),(($H24*'Alternative 2'!$B$39)+(2*(($N$5/3)*COS($K$5)))),IF(($A24&lt;'Alternative 2'!$B$29),(($H$3*'Alternative 2'!$B$39+(($N$5/3)*COS($K$5)))),($H24*'Alternative 2'!$B$39))))</f>
        <v>4122493.7152429395</v>
      </c>
      <c r="T24" s="78">
        <f>R24*'Alternative 2'!$K25/'Alternative 2'!$L25</f>
        <v>10570563.653492259</v>
      </c>
      <c r="U24" s="78">
        <f>S24/'Alternative 2'!$M25</f>
        <v>1863185.6520284293</v>
      </c>
      <c r="V24" s="78">
        <f t="shared" si="2"/>
        <v>12.433749305520687</v>
      </c>
      <c r="X24" s="78">
        <f>'Alternative 2'!$B$39*$B24*$C24*COS($K$13)-($N$12/3)*$E24*SIN($K$13)-($N$12/3)*$F24*SIN($K$13)-($N$12/3)*$G24*SIN($K$13)</f>
        <v>406436.52264289965</v>
      </c>
      <c r="Y24" s="79">
        <f>IF(($A24&lt;'Alternative 2'!$B$27),(($H24*'Alternative 2'!$B$39)+(3*($N$12/3)*COS($K$13))),IF(($A24&lt;'Alternative 2'!$B$28),(($H24*'Alternative 2'!$B$39)+(2*(($N$12/3)*COS($K$13)))),IF(($A24&lt;'Alternative 2'!$B$29),(($H$3*'Alternative 2'!$B$39+(($N$12/3)*COS($K$13)))),($H24*'Alternative 2'!$B$39))))</f>
        <v>995507.0851115546</v>
      </c>
      <c r="Z24" s="78">
        <f>X24*'Alternative 2'!$K25/'Alternative 2'!$L25</f>
        <v>9184579.442603128</v>
      </c>
      <c r="AA24" s="78">
        <f>Y24/'Alternative 2'!$M25</f>
        <v>449925.37177541538</v>
      </c>
      <c r="AB24" s="78">
        <f t="shared" si="3"/>
        <v>9.634504814378543</v>
      </c>
      <c r="AD24" s="78">
        <f>'Alternative 2'!$B$39*$B24*$C24*COS($K$23)-($N$22/3)*$E24*SIN($K$23)-($N$22/3)*$F24*SIN($K$23)-($N$22/3)*$G24*SIN($K$23)</f>
        <v>413635.72560208238</v>
      </c>
      <c r="AE24" s="79">
        <f>IF(($A24&lt;'Alternative 2'!$B$27),(($H24*'Alternative 2'!$B$39)+(3*($N$22/3)*COS($K$23))),IF(($A24&lt;'Alternative 2'!$B$28),(($H24*'Alternative 2'!$B$39)+(2*(($N$22/3)*COS($K$23)))),IF(($A24&lt;'Alternative 2'!$B$29),(($H$3*'Alternative 2'!$B$39+(($N$22/3)*COS($K$23)))),($H24*'Alternative 2'!$B$39))))</f>
        <v>508505.33119922946</v>
      </c>
      <c r="AF24" s="78">
        <f>AD24*'Alternative 2'!$K25/'Alternative 2'!$L25</f>
        <v>9347265.7363251448</v>
      </c>
      <c r="AG24" s="78">
        <f>AE24/'Alternative 2'!$M25</f>
        <v>229822.0209692996</v>
      </c>
      <c r="AH24" s="78">
        <f t="shared" si="4"/>
        <v>9.5770877572944446</v>
      </c>
      <c r="AJ24" s="78">
        <f>'Alternative 2'!$B$39*$B24*$C24*COS($K$33)-($N$32/3)*$E24*SIN($K$33)-($N$32/3)*$F24*SIN($K$33)-($N$32/3)*$G24*SIN($K$33)</f>
        <v>387756.53154389927</v>
      </c>
      <c r="AK24" s="79">
        <f>IF(($A24&lt;'Alternative 2'!$B$27),(($H24*'Alternative 2'!$B$39)+(3*($N$32/3)*COS($K$33))),IF(($A24&lt;'Alternative 2'!$B$28),(($H24*'Alternative 2'!$B$39)+(2*(($N$32/3)*COS($K$33)))),IF(($A24&lt;'Alternative 2'!$B$29),(($H$3*'Alternative 2'!$B$39+(($N$32/3)*COS($K$33)))),($H24*'Alternative 2'!$B$39))))</f>
        <v>345642.26072347607</v>
      </c>
      <c r="AL24" s="78">
        <f>AJ24*'Alternative 2'!$K25/'Alternative 2'!$L25</f>
        <v>8762452.3632741142</v>
      </c>
      <c r="AM24" s="78">
        <f>AK24/'Alternative 2'!$M25</f>
        <v>156215.08373280789</v>
      </c>
      <c r="AN24" s="78">
        <f t="shared" si="5"/>
        <v>8.9186674470069214</v>
      </c>
      <c r="AP24" s="78">
        <f>'Alternative 2'!$B$39*$B24*$C24*COS($K$43)-($N$42/3)*$E24*SIN($K$43)-($N$42/3)*$F24*SIN($K$43)-($N$42/3)*$G24*SIN($K$43)</f>
        <v>344996.71385025902</v>
      </c>
      <c r="AQ24" s="79">
        <f>IF(($A24&lt;'Alternative 2'!$B$27),(($H24*'Alternative 2'!$B$39)+(3*($N$42/3)*COS($K$43))),IF(($A24&lt;'Alternative 2'!$B$28),(($H24*'Alternative 2'!$B$39)+(2*(($N$42/3)*COS($K$43)))),IF(($A24&lt;'Alternative 2'!$B$29),(($H$3*'Alternative 2'!$B$39+(($N$42/3)*COS($K$43)))),($H24*'Alternative 2'!$B$39))))</f>
        <v>259603.18086455797</v>
      </c>
      <c r="AR24" s="78">
        <f>AP24*'Alternative 2'!$K25/'Alternative 2'!$L25</f>
        <v>7796173.6932257423</v>
      </c>
      <c r="AS24" s="78">
        <f>AQ24/'Alternative 2'!$M25</f>
        <v>117329.20780918201</v>
      </c>
      <c r="AT24" s="78">
        <f t="shared" si="6"/>
        <v>7.9135029010349243</v>
      </c>
      <c r="AV24" s="78">
        <f>'Alternative 2'!$B$39*$B24*$C24*COS($K$53)-($N$52/3)*$E24*SIN($K$53)-($N$52/3)*$F24*SIN($K$53)-($N$52/3)*$G24*SIN($K$53)</f>
        <v>289554.45483955642</v>
      </c>
      <c r="AW24" s="79">
        <f>IF(($A24&lt;'Alternative 2'!$B$27),(($H24*'Alternative 2'!$B$39)+(3*($N$52/3)*COS($K$53))),IF(($A24&lt;'Alternative 2'!$B$28),(($H24*'Alternative 2'!$B$39)+(2*(($N$52/3)*COS($K$53)))),IF(($A24&lt;'Alternative 2'!$B$29),(($H$3*'Alternative 2'!$B$39+(($N$52/3)*COS($K$53)))),($H24*'Alternative 2'!$B$39))))</f>
        <v>205550.75798313052</v>
      </c>
      <c r="AX24" s="78">
        <f>AV24*'Alternative 2'!$K25/'Alternative 2'!$L25</f>
        <v>6543299.4951838041</v>
      </c>
      <c r="AY24" s="78">
        <f>AW24/'Alternative 2'!$M25</f>
        <v>92899.892514491759</v>
      </c>
      <c r="AZ24" s="78">
        <f t="shared" si="7"/>
        <v>6.6361993876982952</v>
      </c>
      <c r="BB24" s="78">
        <f>'Alternative 2'!$B$39*$B24*$C24*COS($K$63)-($N$62/3)*$E24*SIN($K$63)-($N$62/3)*$F24*SIN($K$63)-($N$62/3)*$G24*SIN($K$63)</f>
        <v>224069.721536603</v>
      </c>
      <c r="BC24" s="79">
        <f>IF(($A24&lt;'Alternative 2'!$B$27),(($H24*'Alternative 2'!$B$39)+(3*($N$62/3)*COS($K$63))),IF(($A24&lt;'Alternative 2'!$B$28),(($H24*'Alternative 2'!$B$39)+(2*(($N$62/3)*COS($K$63)))),IF(($A24&lt;'Alternative 2'!$B$29),(($H$3*'Alternative 2'!$B$39+(($N$62/3)*COS($K$63)))),($H24*'Alternative 2'!$B$39))))</f>
        <v>169489.11890828883</v>
      </c>
      <c r="BD24" s="78">
        <f>BB24*'Alternative 2'!$K25/'Alternative 2'!$L25</f>
        <v>5063487.2691868404</v>
      </c>
      <c r="BE24" s="78">
        <f>BC24/'Alternative 2'!$M25</f>
        <v>76601.61939294904</v>
      </c>
      <c r="BF24" s="78">
        <f t="shared" si="8"/>
        <v>5.1400888885797897</v>
      </c>
      <c r="BH24" s="78">
        <f>'Alternative 2'!$B$39*$B24*$C24*COS($K$73)-($N$72/3)*$E24*SIN($K$73)-($N$72/3)*$F24*SIN($K$73)-($N$72/3)*$G24*SIN($K$73)</f>
        <v>150937.63344238893</v>
      </c>
      <c r="BI24" s="79">
        <f>IF(($A24&lt;'Alternative 2'!$B$27),(($H24*'Alternative 2'!$B$39)+(3*($N$72/3)*COS($K$73))),IF(($A24&lt;'Alternative 2'!$B$28),(($H24*'Alternative 2'!$B$39)+(2*(($N$72/3)*COS($K$73)))),IF(($A24&lt;'Alternative 2'!$B$29),(($H$3*'Alternative 2'!$B$39+(($N$72/3)*COS($K$73)))),($H24*'Alternative 2'!$B$39))))</f>
        <v>145878.17998160157</v>
      </c>
      <c r="BJ24" s="78">
        <f>BH24*'Alternative 2'!$K25/'Alternative 2'!$L25</f>
        <v>3410861.4949649884</v>
      </c>
      <c r="BK24" s="78">
        <f>BI24/'Alternative 2'!$M25</f>
        <v>65930.514552579189</v>
      </c>
      <c r="BL24" s="78">
        <f t="shared" si="9"/>
        <v>3.4767920095175677</v>
      </c>
      <c r="BN24" s="78">
        <f>'Alternative 2'!$B$39*$B24*$C24*COS($K$83)-($N$82/3)*$E24*SIN($K$83)-($N$82/3)*$F24*SIN($K$83)-($N$82/3)*$G24*SIN($K$83)</f>
        <v>72574.108262475042</v>
      </c>
      <c r="BO24" s="79">
        <f>IF(($A24&lt;'Alternative 2'!$B$27),(($H24*'Alternative 2'!$B$39)+(3*($N$82/3)*COS($K$83))),IF(($A24&lt;'Alternative 2'!$B$28),(($H24*'Alternative 2'!$B$39)+(2*(($N$82/3)*COS($K$83)))),IF(($A24&lt;'Alternative 2'!$B$29),(($H$3*'Alternative 2'!$B$39+(($N$82/3)*COS($K$83)))),($H24*'Alternative 2'!$B$39))))</f>
        <v>132262.5278217204</v>
      </c>
      <c r="BP24" s="78">
        <f>BN24*'Alternative 2'!$K25/'Alternative 2'!$L25</f>
        <v>1640016.6463347897</v>
      </c>
      <c r="BQ24" s="78">
        <f>BO24/'Alternative 2'!$M25</f>
        <v>59776.839253208716</v>
      </c>
      <c r="BR24" s="78">
        <f t="shared" si="10"/>
        <v>1.6997934855879984</v>
      </c>
      <c r="BT24" s="78">
        <f>'Alternative 2'!$B$39*$B24*$C24*COS($K$93)-($K$92/3)*$E24*SIN($K$93)-($K$92/3)*$F24*SIN($K$93)-($K$92/3)*$G24*SIN($K$93)</f>
        <v>-3.624467079916291</v>
      </c>
      <c r="BU24" s="79">
        <f>IF(($A24&lt;'Alternative 2'!$B$27),(($H24*'Alternative 2'!$B$39)+(3*($N$92/3)*COS($K$93))),IF(($A24&lt;'Alternative 2'!$B$28),(($H24*'Alternative 2'!$B$39)+(2*(($N$92/3)*COS($K$93)))),IF(($A24&lt;'Alternative 2'!$B$29),(($H$3*'Alternative 2'!$B$39+(($N$92/3)*COS($K$93)))),($H24*'Alternative 2'!$B$39))))</f>
        <v>127549.96109375481</v>
      </c>
      <c r="BV24" s="78">
        <f>BT24*'Alternative 2'!$K25/'Alternative 2'!$L25</f>
        <v>-81.905055225165583</v>
      </c>
      <c r="BW24" s="78">
        <f>BU24/'Alternative 2'!$M25</f>
        <v>57646.966579465996</v>
      </c>
      <c r="BX24" s="78">
        <f t="shared" si="11"/>
        <v>5.7565061524240832E-2</v>
      </c>
      <c r="BZ24" s="77">
        <v>150</v>
      </c>
      <c r="CA24" s="77">
        <v>-150</v>
      </c>
    </row>
    <row r="25" spans="1:79" ht="15" customHeight="1" x14ac:dyDescent="0.25">
      <c r="A25" s="13">
        <f>IF('Alternative 2'!F26&gt;0,'Alternative 2'!F26,"x")</f>
        <v>23</v>
      </c>
      <c r="B25" s="13">
        <f t="shared" si="17"/>
        <v>14</v>
      </c>
      <c r="C25" s="13">
        <f t="shared" si="12"/>
        <v>7</v>
      </c>
      <c r="D25" s="13">
        <f t="shared" si="13"/>
        <v>23</v>
      </c>
      <c r="E25" s="74">
        <f>IF($A25&lt;='Alternative 2'!$B$27, IF($A25='Alternative 2'!$B$27,0,E26+1),0)</f>
        <v>0</v>
      </c>
      <c r="F25" s="74">
        <f>IF($A25&lt;=('Alternative 2'!$B$28), IF($A25=ROUNDDOWN('Alternative 2'!$B$28,0),0,F26+1),0)</f>
        <v>0</v>
      </c>
      <c r="G25" s="74">
        <f>IF($A25&lt;=('Alternative 2'!$B$29), IF($A25=ROUNDDOWN('Alternative 2'!$B$29,0),0,G26+1),0)</f>
        <v>6</v>
      </c>
      <c r="H25" s="13">
        <f t="shared" si="14"/>
        <v>14</v>
      </c>
      <c r="J25" s="77">
        <f t="shared" si="15"/>
        <v>22</v>
      </c>
      <c r="K25" s="77">
        <f t="shared" si="16"/>
        <v>0.38397243543875248</v>
      </c>
      <c r="L25" s="78">
        <f>'Alternative 2'!$B$27*SIN(K25)+'Alternative 2'!$B$28*SIN(K25)+'Alternative 2'!$B$29*SIN(K25)</f>
        <v>25.473248352282017</v>
      </c>
      <c r="M25" s="77">
        <f>(('Alternative 2'!$B$27)*(((('Alternative 2'!$B$28-'Alternative 2'!$B$27)/2)+'Alternative 2'!$B$27)*'Alternative 2'!$B$39)*COS('Alternative 2-Tilt Up'!K25))+(('Alternative 2'!$B$28)*((('Alternative 2'!$B$28-'Alternative 2'!$B$27)/2)+(('Alternative 2'!$B$29-'Alternative 2'!$B$28)/2))*('Alternative 2'!$B$39)*COS('Alternative 2-Tilt Up'!K25))+(('Alternative 2'!$B$29)*((('Alternative 2'!$B$12-'Alternative 2'!$B$29+(('Alternative 2'!$B$29-'Alternative 2'!$B$28)/2)*('Alternative 2'!$B$39)*COS('Alternative 2-Tilt Up'!K25)))))</f>
        <v>4400533.0559435887</v>
      </c>
      <c r="N25" s="77">
        <f t="shared" si="0"/>
        <v>518253.46281947987</v>
      </c>
      <c r="O25" s="77">
        <f>(((('Alternative 2'!$B$28-'Alternative 2'!$B$27)/2)+'Alternative 2'!$B$27)*('Alternative 2'!$B$39)*COS('Alternative 2-Tilt Up'!K25))+(((('Alternative 2'!$B$28-'Alternative 2'!$B$27)/2)+(('Alternative 2'!$B$29-'Alternative 2'!$B$28)/2))*('Alternative 2'!$B$39)*COS('Alternative 2-Tilt Up'!K25))+(((('Alternative 2'!$B$12-'Alternative 2'!$B$29)+(('Alternative 2'!$B$29-'Alternative 2'!$B$28)/2))*('Alternative 2'!$B$39)*COS('Alternative 2-Tilt Up'!K25)))</f>
        <v>283829.43498420325</v>
      </c>
      <c r="P25" s="77">
        <f t="shared" si="1"/>
        <v>480516.24329955061</v>
      </c>
      <c r="R25" s="78">
        <f>('Alternative 2'!$B$39*$B25*$C25*COS($K$5))-(($N$5/3)*$E25*SIN($K$5))-(($N$5/3)*$F25*SIN($K$5))-(($N$5/3)*$G25*SIN($K$5))</f>
        <v>414299.24263101909</v>
      </c>
      <c r="S25" s="79">
        <f>IF(($A25&lt;'Alternative 2'!$B$27),(($H25*'Alternative 2'!$B$39)+(3*($N$5/3)*COS($K$5))),IF(($A25&lt;'Alternative 2'!$B$28),(($H25*'Alternative 2'!$B$39)+(2*(($N$5/3)*COS($K$5)))),IF(($A25&lt;'Alternative 2'!$B$29),(($H$3*'Alternative 2'!$B$39+(($N$5/3)*COS($K$5)))),($H25*'Alternative 2'!$B$39))))</f>
        <v>2303591.7836996038</v>
      </c>
      <c r="T25" s="78">
        <f>R25*'Alternative 2'!$K26/'Alternative 2'!$L26</f>
        <v>9588144.7625530791</v>
      </c>
      <c r="U25" s="78">
        <f>S25/'Alternative 2'!$M26</f>
        <v>1066241.4086968531</v>
      </c>
      <c r="V25" s="78">
        <f t="shared" si="2"/>
        <v>10.654386171249932</v>
      </c>
      <c r="X25" s="78">
        <f>'Alternative 2'!$B$39*$B25*$C25*COS($K$13)-($N$12/3)*$E25*SIN($K$13)-($N$12/3)*$F25*SIN($K$13)-($N$12/3)*$G25*SIN($K$13)</f>
        <v>361533.53461197967</v>
      </c>
      <c r="Y25" s="79">
        <f>IF(($A25&lt;'Alternative 2'!$B$27),(($H25*'Alternative 2'!$B$39)+(3*($N$12/3)*COS($K$13))),IF(($A25&lt;'Alternative 2'!$B$28),(($H25*'Alternative 2'!$B$39)+(2*(($N$12/3)*COS($K$13)))),IF(($A25&lt;'Alternative 2'!$B$29),(($H$3*'Alternative 2'!$B$39+(($N$12/3)*COS($K$13)))),($H25*'Alternative 2'!$B$39))))</f>
        <v>740098.46863391146</v>
      </c>
      <c r="Z25" s="78">
        <f>X25*'Alternative 2'!$K26/'Alternative 2'!$L26</f>
        <v>8366985.7670109561</v>
      </c>
      <c r="AA25" s="78">
        <f>Y25/'Alternative 2'!$M26</f>
        <v>342562.27138614847</v>
      </c>
      <c r="AB25" s="78">
        <f t="shared" si="3"/>
        <v>8.7095480383971058</v>
      </c>
      <c r="AD25" s="78">
        <f>'Alternative 2'!$B$39*$B25*$C25*COS($K$23)-($N$22/3)*$E25*SIN($K$23)-($N$22/3)*$F25*SIN($K$23)-($N$22/3)*$G25*SIN($K$23)</f>
        <v>367101.43460592447</v>
      </c>
      <c r="AE25" s="79">
        <f>IF(($A25&lt;'Alternative 2'!$B$27),(($H25*'Alternative 2'!$B$39)+(3*($N$22/3)*COS($K$23))),IF(($A25&lt;'Alternative 2'!$B$28),(($H25*'Alternative 2'!$B$39)+(2*(($N$22/3)*COS($K$23)))),IF(($A25&lt;'Alternative 2'!$B$29),(($H$3*'Alternative 2'!$B$39+(($N$22/3)*COS($K$23)))),($H25*'Alternative 2'!$B$39))))</f>
        <v>496597.59167774895</v>
      </c>
      <c r="AF25" s="78">
        <f>AD25*'Alternative 2'!$K26/'Alternative 2'!$L26</f>
        <v>8495843.9102852046</v>
      </c>
      <c r="AG25" s="78">
        <f>AE25/'Alternative 2'!$M26</f>
        <v>229855.35868493764</v>
      </c>
      <c r="AH25" s="78">
        <f t="shared" si="4"/>
        <v>8.7256992689701427</v>
      </c>
      <c r="AJ25" s="78">
        <f>'Alternative 2'!$B$39*$B25*$C25*COS($K$33)-($N$32/3)*$E25*SIN($K$33)-($N$32/3)*$F25*SIN($K$33)-($N$32/3)*$G25*SIN($K$33)</f>
        <v>343934.89915332315</v>
      </c>
      <c r="AK25" s="79">
        <f>IF(($A25&lt;'Alternative 2'!$B$27),(($H25*'Alternative 2'!$B$39)+(3*($N$32/3)*COS($K$33))),IF(($A25&lt;'Alternative 2'!$B$28),(($H25*'Alternative 2'!$B$39)+(2*(($N$32/3)*COS($K$33)))),IF(($A25&lt;'Alternative 2'!$B$29),(($H$3*'Alternative 2'!$B$39+(($N$32/3)*COS($K$33)))),($H25*'Alternative 2'!$B$39))))</f>
        <v>415166.05643987219</v>
      </c>
      <c r="AL25" s="78">
        <f>AJ25*'Alternative 2'!$K26/'Alternative 2'!$L26</f>
        <v>7959699.8078829078</v>
      </c>
      <c r="AM25" s="78">
        <f>AK25/'Alternative 2'!$M26</f>
        <v>192163.92591513594</v>
      </c>
      <c r="AN25" s="78">
        <f t="shared" si="5"/>
        <v>8.1518637337980433</v>
      </c>
      <c r="AP25" s="78">
        <f>'Alternative 2'!$B$39*$B25*$C25*COS($K$43)-($N$42/3)*$E25*SIN($K$43)-($N$42/3)*$F25*SIN($K$43)-($N$42/3)*$G25*SIN($K$43)</f>
        <v>305947.64356760343</v>
      </c>
      <c r="AQ25" s="79">
        <f>IF(($A25&lt;'Alternative 2'!$B$27),(($H25*'Alternative 2'!$B$39)+(3*($N$42/3)*COS($K$43))),IF(($A25&lt;'Alternative 2'!$B$28),(($H25*'Alternative 2'!$B$39)+(2*(($N$42/3)*COS($K$43)))),IF(($A25&lt;'Alternative 2'!$B$29),(($H$3*'Alternative 2'!$B$39+(($N$42/3)*COS($K$43)))),($H25*'Alternative 2'!$B$39))))</f>
        <v>372146.51651041314</v>
      </c>
      <c r="AR25" s="78">
        <f>AP25*'Alternative 2'!$K26/'Alternative 2'!$L26</f>
        <v>7080559.1573353764</v>
      </c>
      <c r="AS25" s="78">
        <f>AQ25/'Alternative 2'!$M26</f>
        <v>172251.88456282209</v>
      </c>
      <c r="AT25" s="78">
        <f t="shared" si="6"/>
        <v>7.2528110418981981</v>
      </c>
      <c r="AV25" s="78">
        <f>'Alternative 2'!$B$39*$B25*$C25*COS($K$53)-($N$52/3)*$E25*SIN($K$53)-($N$52/3)*$F25*SIN($K$53)-($N$52/3)*$G25*SIN($K$53)</f>
        <v>256778.70301178866</v>
      </c>
      <c r="AW25" s="79">
        <f>IF(($A25&lt;'Alternative 2'!$B$27),(($H25*'Alternative 2'!$B$39)+(3*($N$52/3)*COS($K$53))),IF(($A25&lt;'Alternative 2'!$B$28),(($H25*'Alternative 2'!$B$39)+(2*(($N$52/3)*COS($K$53)))),IF(($A25&lt;'Alternative 2'!$B$29),(($H$3*'Alternative 2'!$B$39+(($N$52/3)*COS($K$53)))),($H25*'Alternative 2'!$B$39))))</f>
        <v>345120.30506969942</v>
      </c>
      <c r="AX25" s="78">
        <f>AV25*'Alternative 2'!$K26/'Alternative 2'!$L26</f>
        <v>5942640.3021701267</v>
      </c>
      <c r="AY25" s="78">
        <f>AW25/'Alternative 2'!$M26</f>
        <v>159742.52159226753</v>
      </c>
      <c r="AZ25" s="78">
        <f t="shared" si="7"/>
        <v>6.1023828237623947</v>
      </c>
      <c r="BB25" s="78">
        <f>'Alternative 2'!$B$39*$B25*$C25*COS($K$63)-($N$62/3)*$E25*SIN($K$63)-($N$62/3)*$F25*SIN($K$63)-($N$62/3)*$G25*SIN($K$63)</f>
        <v>198740.94975533264</v>
      </c>
      <c r="BC25" s="79">
        <f>IF(($A25&lt;'Alternative 2'!$B$27),(($H25*'Alternative 2'!$B$39)+(3*($N$62/3)*COS($K$63))),IF(($A25&lt;'Alternative 2'!$B$28),(($H25*'Alternative 2'!$B$39)+(2*(($N$62/3)*COS($K$63)))),IF(($A25&lt;'Alternative 2'!$B$29),(($H$3*'Alternative 2'!$B$39+(($N$62/3)*COS($K$63)))),($H25*'Alternative 2'!$B$39))))</f>
        <v>327089.4855322786</v>
      </c>
      <c r="BD25" s="78">
        <f>BB25*'Alternative 2'!$K26/'Alternative 2'!$L26</f>
        <v>4599470.1424026834</v>
      </c>
      <c r="BE25" s="78">
        <f>BC25/'Alternative 2'!$M26</f>
        <v>151396.76929380154</v>
      </c>
      <c r="BF25" s="78">
        <f t="shared" si="8"/>
        <v>4.7508669116964857</v>
      </c>
      <c r="BH25" s="78">
        <f>'Alternative 2'!$B$39*$B25*$C25*COS($K$73)-($N$72/3)*$E25*SIN($K$73)-($N$72/3)*$F25*SIN($K$73)-($N$72/3)*$G25*SIN($K$73)</f>
        <v>133945.31643365874</v>
      </c>
      <c r="BI25" s="79">
        <f>IF(($A25&lt;'Alternative 2'!$B$27),(($H25*'Alternative 2'!$B$39)+(3*($N$72/3)*COS($K$73))),IF(($A25&lt;'Alternative 2'!$B$28),(($H25*'Alternative 2'!$B$39)+(2*(($N$72/3)*COS($K$73)))),IF(($A25&lt;'Alternative 2'!$B$29),(($H$3*'Alternative 2'!$B$39+(($N$72/3)*COS($K$73)))),($H25*'Alternative 2'!$B$39))))</f>
        <v>315284.01606893499</v>
      </c>
      <c r="BJ25" s="78">
        <f>BH25*'Alternative 2'!$K26/'Alternative 2'!$L26</f>
        <v>3099902.0806217226</v>
      </c>
      <c r="BK25" s="78">
        <f>BI25/'Alternative 2'!$M26</f>
        <v>145932.4850052426</v>
      </c>
      <c r="BL25" s="78">
        <f t="shared" si="9"/>
        <v>3.2458345656269652</v>
      </c>
      <c r="BN25" s="78">
        <f>'Alternative 2'!$B$39*$B25*$C25*COS($K$83)-($N$82/3)*$E25*SIN($K$83)-($N$82/3)*$F25*SIN($K$83)-($N$82/3)*$G25*SIN($K$83)</f>
        <v>64526.730904593875</v>
      </c>
      <c r="BO25" s="79">
        <f>IF(($A25&lt;'Alternative 2'!$B$27),(($H25*'Alternative 2'!$B$39)+(3*($N$82/3)*COS($K$83))),IF(($A25&lt;'Alternative 2'!$B$28),(($H25*'Alternative 2'!$B$39)+(2*(($N$82/3)*COS($K$83)))),IF(($A25&lt;'Alternative 2'!$B$29),(($H$3*'Alternative 2'!$B$39+(($N$82/3)*COS($K$83)))),($H25*'Alternative 2'!$B$39))))</f>
        <v>308476.18998899439</v>
      </c>
      <c r="BP25" s="78">
        <f>BN25*'Alternative 2'!$K26/'Alternative 2'!$L26</f>
        <v>1493344.8418552128</v>
      </c>
      <c r="BQ25" s="78">
        <f>BO25/'Alternative 2'!$M26</f>
        <v>142781.41191972338</v>
      </c>
      <c r="BR25" s="78">
        <f t="shared" si="10"/>
        <v>1.6361262537749364</v>
      </c>
      <c r="BT25" s="78">
        <f>'Alternative 2'!$B$39*$B25*$C25*COS($K$93)-($K$92/3)*$E25*SIN($K$93)-($K$92/3)*$F25*SIN($K$93)-($K$92/3)*$G25*SIN($K$93)</f>
        <v>-3.1066860684988593</v>
      </c>
      <c r="BU25" s="79">
        <f>IF(($A25&lt;'Alternative 2'!$B$27),(($H25*'Alternative 2'!$B$39)+(3*($N$92/3)*COS($K$93))),IF(($A25&lt;'Alternative 2'!$B$28),(($H25*'Alternative 2'!$B$39)+(2*(($N$92/3)*COS($K$93)))),IF(($A25&lt;'Alternative 2'!$B$29),(($H$3*'Alternative 2'!$B$39+(($N$92/3)*COS($K$93)))),($H25*'Alternative 2'!$B$39))))</f>
        <v>306119.90662501159</v>
      </c>
      <c r="BV25" s="78">
        <f>BT25*'Alternative 2'!$K26/'Alternative 2'!$L26</f>
        <v>-71.898166087411852</v>
      </c>
      <c r="BW25" s="78">
        <f>BU25/'Alternative 2'!$M26</f>
        <v>141690.78166523139</v>
      </c>
      <c r="BX25" s="78">
        <f t="shared" si="11"/>
        <v>0.141618883499144</v>
      </c>
      <c r="BZ25" s="77">
        <v>150</v>
      </c>
      <c r="CA25" s="77">
        <v>-150</v>
      </c>
    </row>
    <row r="26" spans="1:79" ht="15" customHeight="1" x14ac:dyDescent="0.25">
      <c r="A26" s="13">
        <f>IF('Alternative 2'!F27&gt;0,'Alternative 2'!F27,"x")</f>
        <v>24</v>
      </c>
      <c r="B26" s="13">
        <f t="shared" si="17"/>
        <v>13</v>
      </c>
      <c r="C26" s="13">
        <f t="shared" si="12"/>
        <v>6.5</v>
      </c>
      <c r="D26" s="13">
        <f t="shared" si="13"/>
        <v>24</v>
      </c>
      <c r="E26" s="74">
        <f>IF($A26&lt;='Alternative 2'!$B$27, IF($A26='Alternative 2'!$B$27,0,E27+1),0)</f>
        <v>0</v>
      </c>
      <c r="F26" s="74">
        <f>IF($A26&lt;=('Alternative 2'!$B$28), IF($A26=ROUNDDOWN('Alternative 2'!$B$28,0),0,F27+1),0)</f>
        <v>0</v>
      </c>
      <c r="G26" s="74">
        <f>IF($A26&lt;=('Alternative 2'!$B$29), IF($A26=ROUNDDOWN('Alternative 2'!$B$29,0),0,G27+1),0)</f>
        <v>5</v>
      </c>
      <c r="H26" s="13">
        <f t="shared" si="14"/>
        <v>13</v>
      </c>
      <c r="J26" s="77">
        <f t="shared" si="15"/>
        <v>23</v>
      </c>
      <c r="K26" s="77">
        <f t="shared" si="16"/>
        <v>0.40142572795869574</v>
      </c>
      <c r="L26" s="78">
        <f>'Alternative 2'!$B$27*SIN(K26)+'Alternative 2'!$B$28*SIN(K26)+'Alternative 2'!$B$29*SIN(K26)</f>
        <v>26.56971673727061</v>
      </c>
      <c r="M26" s="77">
        <f>(('Alternative 2'!$B$27)*(((('Alternative 2'!$B$28-'Alternative 2'!$B$27)/2)+'Alternative 2'!$B$27)*'Alternative 2'!$B$39)*COS('Alternative 2-Tilt Up'!K26))+(('Alternative 2'!$B$28)*((('Alternative 2'!$B$28-'Alternative 2'!$B$27)/2)+(('Alternative 2'!$B$29-'Alternative 2'!$B$28)/2))*('Alternative 2'!$B$39)*COS('Alternative 2-Tilt Up'!K26))+(('Alternative 2'!$B$29)*((('Alternative 2'!$B$12-'Alternative 2'!$B$29+(('Alternative 2'!$B$29-'Alternative 2'!$B$28)/2)*('Alternative 2'!$B$39)*COS('Alternative 2-Tilt Up'!K26)))))</f>
        <v>4368835.0723998984</v>
      </c>
      <c r="N26" s="77">
        <f t="shared" si="0"/>
        <v>493287.3521686655</v>
      </c>
      <c r="O26" s="77">
        <f>(((('Alternative 2'!$B$28-'Alternative 2'!$B$27)/2)+'Alternative 2'!$B$27)*('Alternative 2'!$B$39)*COS('Alternative 2-Tilt Up'!K26))+(((('Alternative 2'!$B$28-'Alternative 2'!$B$27)/2)+(('Alternative 2'!$B$29-'Alternative 2'!$B$28)/2))*('Alternative 2'!$B$39)*COS('Alternative 2-Tilt Up'!K26))+(((('Alternative 2'!$B$12-'Alternative 2'!$B$29)+(('Alternative 2'!$B$29-'Alternative 2'!$B$28)/2))*('Alternative 2'!$B$39)*COS('Alternative 2-Tilt Up'!K26)))</f>
        <v>281784.85978673096</v>
      </c>
      <c r="P26" s="77">
        <f t="shared" si="1"/>
        <v>454073.40181795979</v>
      </c>
      <c r="R26" s="78">
        <f>'Alternative 2'!$B$39*$B26*$C26*COS($K$5)-($N$5/3)*$E26*SIN($K$5)-($N$5/3)*$F26*SIN($K$5)-($N$5/3)*$G26*SIN($K$5)</f>
        <v>369327.4626232225</v>
      </c>
      <c r="S26" s="79">
        <f>IF(($A26&lt;'Alternative 2'!$B$27),(($H26*'Alternative 2'!$B$39)+(3*($N$5/3)*COS($K$5))),IF(($A26&lt;'Alternative 2'!$B$28),(($H26*'Alternative 2'!$B$39)+(2*(($N$5/3)*COS($K$5)))),IF(($A26&lt;'Alternative 2'!$B$29),(($H$3*'Alternative 2'!$B$39+(($N$5/3)*COS($K$5)))),($H26*'Alternative 2'!$B$39))))</f>
        <v>2303591.7836996038</v>
      </c>
      <c r="T26" s="78">
        <f>R26*'Alternative 2'!$K27/'Alternative 2'!$L27</f>
        <v>8756102.8287653644</v>
      </c>
      <c r="U26" s="78">
        <f>S26/'Alternative 2'!$M27</f>
        <v>1092280.9329647063</v>
      </c>
      <c r="V26" s="78">
        <f t="shared" si="2"/>
        <v>9.8483837617300711</v>
      </c>
      <c r="X26" s="78">
        <f>'Alternative 2'!$B$39*$B26*$C26*COS($K$13)-($N$12/3)*$E26*SIN($K$13)-($N$12/3)*$F26*SIN($K$13)-($N$12/3)*$G26*SIN($K$13)</f>
        <v>325004.69261982857</v>
      </c>
      <c r="Y26" s="79">
        <f>IF(($A26&lt;'Alternative 2'!$B$27),(($H26*'Alternative 2'!$B$39)+(3*($N$12/3)*COS($K$13))),IF(($A26&lt;'Alternative 2'!$B$28),(($H26*'Alternative 2'!$B$39)+(2*(($N$12/3)*COS($K$13)))),IF(($A26&lt;'Alternative 2'!$B$29),(($H$3*'Alternative 2'!$B$39+(($N$12/3)*COS($K$13)))),($H26*'Alternative 2'!$B$39))))</f>
        <v>740098.46863391146</v>
      </c>
      <c r="Z26" s="78">
        <f>X26*'Alternative 2'!$K27/'Alternative 2'!$L27</f>
        <v>7705288.1153159132</v>
      </c>
      <c r="AA26" s="78">
        <f>Y26/'Alternative 2'!$M27</f>
        <v>350928.2553990116</v>
      </c>
      <c r="AB26" s="78">
        <f t="shared" si="3"/>
        <v>8.0562163707149246</v>
      </c>
      <c r="AD26" s="78">
        <f>'Alternative 2'!$B$39*$B26*$C26*COS($K$23)-($N$22/3)*$E26*SIN($K$23)-($N$22/3)*$F26*SIN($K$23)-($N$22/3)*$G26*SIN($K$23)</f>
        <v>328557.66075785505</v>
      </c>
      <c r="AE26" s="79">
        <f>IF(($A26&lt;'Alternative 2'!$B$27),(($H26*'Alternative 2'!$B$39)+(3*($N$22/3)*COS($K$23))),IF(($A26&lt;'Alternative 2'!$B$28),(($H26*'Alternative 2'!$B$39)+(2*(($N$22/3)*COS($K$23)))),IF(($A26&lt;'Alternative 2'!$B$29),(($H$3*'Alternative 2'!$B$39+(($N$22/3)*COS($K$23)))),($H26*'Alternative 2'!$B$39))))</f>
        <v>496597.59167774895</v>
      </c>
      <c r="AF26" s="78">
        <f>AD26*'Alternative 2'!$K27/'Alternative 2'!$L27</f>
        <v>7789522.7241991004</v>
      </c>
      <c r="AG26" s="78">
        <f>AE26/'Alternative 2'!$M27</f>
        <v>235468.83809190206</v>
      </c>
      <c r="AH26" s="78">
        <f t="shared" si="4"/>
        <v>8.0249915622910031</v>
      </c>
      <c r="AJ26" s="78">
        <f>'Alternative 2'!$B$39*$B26*$C26*COS($K$33)-($N$32/3)*$E26*SIN($K$33)-($N$32/3)*$F26*SIN($K$33)-($N$32/3)*$G26*SIN($K$33)</f>
        <v>307477.3672000076</v>
      </c>
      <c r="AK26" s="79">
        <f>IF(($A26&lt;'Alternative 2'!$B$27),(($H26*'Alternative 2'!$B$39)+(3*($N$32/3)*COS($K$33))),IF(($A26&lt;'Alternative 2'!$B$28),(($H26*'Alternative 2'!$B$39)+(2*(($N$32/3)*COS($K$33)))),IF(($A26&lt;'Alternative 2'!$B$29),(($H$3*'Alternative 2'!$B$39+(($N$32/3)*COS($K$33)))),($H26*'Alternative 2'!$B$39))))</f>
        <v>415166.05643987219</v>
      </c>
      <c r="AL26" s="78">
        <f>AJ26*'Alternative 2'!$K27/'Alternative 2'!$L27</f>
        <v>7289746.1391002098</v>
      </c>
      <c r="AM26" s="78">
        <f>AK26/'Alternative 2'!$M27</f>
        <v>196856.91304868649</v>
      </c>
      <c r="AN26" s="78">
        <f t="shared" si="5"/>
        <v>7.4866030521488964</v>
      </c>
      <c r="AP26" s="78">
        <f>'Alternative 2'!$B$39*$B26*$C26*COS($K$43)-($N$42/3)*$E26*SIN($K$43)-($N$42/3)*$F26*SIN($K$43)-($N$42/3)*$G26*SIN($K$43)</f>
        <v>273412.50254600856</v>
      </c>
      <c r="AQ26" s="79">
        <f>IF(($A26&lt;'Alternative 2'!$B$27),(($H26*'Alternative 2'!$B$39)+(3*($N$42/3)*COS($K$43))),IF(($A26&lt;'Alternative 2'!$B$28),(($H26*'Alternative 2'!$B$39)+(2*(($N$42/3)*COS($K$43)))),IF(($A26&lt;'Alternative 2'!$B$29),(($H$3*'Alternative 2'!$B$39+(($N$42/3)*COS($K$43)))),($H26*'Alternative 2'!$B$39))))</f>
        <v>372146.51651041314</v>
      </c>
      <c r="AR26" s="78">
        <f>AP26*'Alternative 2'!$K27/'Alternative 2'!$L27</f>
        <v>6482128.2716396395</v>
      </c>
      <c r="AS26" s="78">
        <f>AQ26/'Alternative 2'!$M27</f>
        <v>176458.58399474437</v>
      </c>
      <c r="AT26" s="78">
        <f t="shared" si="6"/>
        <v>6.6585868556343835</v>
      </c>
      <c r="AV26" s="78">
        <f>'Alternative 2'!$B$39*$B26*$C26*COS($K$53)-($N$52/3)*$E26*SIN($K$53)-($N$52/3)*$F26*SIN($K$53)-($N$52/3)*$G26*SIN($K$53)</f>
        <v>229468.78682449184</v>
      </c>
      <c r="AW26" s="79">
        <f>IF(($A26&lt;'Alternative 2'!$B$27),(($H26*'Alternative 2'!$B$39)+(3*($N$52/3)*COS($K$53))),IF(($A26&lt;'Alternative 2'!$B$28),(($H26*'Alternative 2'!$B$39)+(2*(($N$52/3)*COS($K$53)))),IF(($A26&lt;'Alternative 2'!$B$29),(($H$3*'Alternative 2'!$B$39+(($N$52/3)*COS($K$53)))),($H26*'Alternative 2'!$B$39))))</f>
        <v>345120.30506969942</v>
      </c>
      <c r="AX26" s="78">
        <f>AV26*'Alternative 2'!$K27/'Alternative 2'!$L27</f>
        <v>5440300.2667501932</v>
      </c>
      <c r="AY26" s="78">
        <f>AW26/'Alternative 2'!$M27</f>
        <v>163643.71998287752</v>
      </c>
      <c r="AZ26" s="78">
        <f t="shared" si="7"/>
        <v>5.6039439867330705</v>
      </c>
      <c r="BB26" s="78">
        <f>'Alternative 2'!$B$39*$B26*$C26*COS($K$63)-($N$62/3)*$E26*SIN($K$63)-($N$62/3)*$F26*SIN($K$63)-($N$62/3)*$G26*SIN($K$63)</f>
        <v>177663.84334385398</v>
      </c>
      <c r="BC26" s="79">
        <f>IF(($A26&lt;'Alternative 2'!$B$27),(($H26*'Alternative 2'!$B$39)+(3*($N$62/3)*COS($K$63))),IF(($A26&lt;'Alternative 2'!$B$28),(($H26*'Alternative 2'!$B$39)+(2*(($N$62/3)*COS($K$63)))),IF(($A26&lt;'Alternative 2'!$B$29),(($H$3*'Alternative 2'!$B$39+(($N$62/3)*COS($K$63)))),($H26*'Alternative 2'!$B$39))))</f>
        <v>327089.4855322786</v>
      </c>
      <c r="BD26" s="78">
        <f>BB26*'Alternative 2'!$K27/'Alternative 2'!$L27</f>
        <v>4212096.4149895059</v>
      </c>
      <c r="BE26" s="78">
        <f>BC26/'Alternative 2'!$M27</f>
        <v>155094.14947050912</v>
      </c>
      <c r="BF26" s="78">
        <f t="shared" si="8"/>
        <v>4.3671905644600146</v>
      </c>
      <c r="BH26" s="78">
        <f>'Alternative 2'!$B$39*$B26*$C26*COS($K$73)-($N$72/3)*$E26*SIN($K$73)-($N$72/3)*$F26*SIN($K$73)-($N$72/3)*$G26*SIN($K$73)</f>
        <v>119861.30982322655</v>
      </c>
      <c r="BI26" s="79">
        <f>IF(($A26&lt;'Alternative 2'!$B$27),(($H26*'Alternative 2'!$B$39)+(3*($N$72/3)*COS($K$73))),IF(($A26&lt;'Alternative 2'!$B$28),(($H26*'Alternative 2'!$B$39)+(2*(($N$72/3)*COS($K$73)))),IF(($A26&lt;'Alternative 2'!$B$29),(($H$3*'Alternative 2'!$B$39+(($N$72/3)*COS($K$73)))),($H26*'Alternative 2'!$B$39))))</f>
        <v>315284.01606893499</v>
      </c>
      <c r="BJ26" s="78">
        <f>BH26*'Alternative 2'!$K27/'Alternative 2'!$L27</f>
        <v>2841700.2801477681</v>
      </c>
      <c r="BK26" s="78">
        <f>BI26/'Alternative 2'!$M27</f>
        <v>149496.4175760161</v>
      </c>
      <c r="BL26" s="78">
        <f t="shared" si="9"/>
        <v>2.991196697723784</v>
      </c>
      <c r="BN26" s="78">
        <f>'Alternative 2'!$B$39*$B26*$C26*COS($K$83)-($N$82/3)*$E26*SIN($K$83)-($N$82/3)*$F26*SIN($K$83)-($N$82/3)*$G26*SIN($K$83)</f>
        <v>57955.941433740591</v>
      </c>
      <c r="BO26" s="79">
        <f>IF(($A26&lt;'Alternative 2'!$B$27),(($H26*'Alternative 2'!$B$39)+(3*($N$82/3)*COS($K$83))),IF(($A26&lt;'Alternative 2'!$B$28),(($H26*'Alternative 2'!$B$39)+(2*(($N$82/3)*COS($K$83)))),IF(($A26&lt;'Alternative 2'!$B$29),(($H$3*'Alternative 2'!$B$39+(($N$82/3)*COS($K$83)))),($H26*'Alternative 2'!$B$39))))</f>
        <v>308476.18998899439</v>
      </c>
      <c r="BP26" s="78">
        <f>BN26*'Alternative 2'!$K27/'Alternative 2'!$L27</f>
        <v>1374033.1659263598</v>
      </c>
      <c r="BQ26" s="78">
        <f>BO26/'Alternative 2'!$M27</f>
        <v>146268.38964386375</v>
      </c>
      <c r="BR26" s="78">
        <f t="shared" si="10"/>
        <v>1.5203015555702235</v>
      </c>
      <c r="BT26" s="78">
        <f>'Alternative 2'!$B$39*$B26*$C26*COS($K$93)-($K$92/3)*$E26*SIN($K$93)-($K$92/3)*$F26*SIN($K$93)-($K$92/3)*$G26*SIN($K$93)</f>
        <v>-2.5889050570809067</v>
      </c>
      <c r="BU26" s="79">
        <f>IF(($A26&lt;'Alternative 2'!$B$27),(($H26*'Alternative 2'!$B$39)+(3*($N$92/3)*COS($K$93))),IF(($A26&lt;'Alternative 2'!$B$28),(($H26*'Alternative 2'!$B$39)+(2*(($N$92/3)*COS($K$93)))),IF(($A26&lt;'Alternative 2'!$B$29),(($H$3*'Alternative 2'!$B$39+(($N$92/3)*COS($K$93)))),($H26*'Alternative 2'!$B$39))))</f>
        <v>306119.90662501159</v>
      </c>
      <c r="BV26" s="78">
        <f>BT26*'Alternative 2'!$K27/'Alternative 2'!$L27</f>
        <v>-61.378373361953521</v>
      </c>
      <c r="BW26" s="78">
        <f>BU26/'Alternative 2'!$M27</f>
        <v>145151.12424582223</v>
      </c>
      <c r="BX26" s="78">
        <f t="shared" si="11"/>
        <v>0.14508974587246026</v>
      </c>
      <c r="BZ26" s="77">
        <v>150</v>
      </c>
      <c r="CA26" s="77">
        <v>-150</v>
      </c>
    </row>
    <row r="27" spans="1:79" ht="15" customHeight="1" x14ac:dyDescent="0.25">
      <c r="A27" s="13">
        <f>IF('Alternative 2'!F28&gt;0,'Alternative 2'!F28,"x")</f>
        <v>25</v>
      </c>
      <c r="B27" s="13">
        <f t="shared" si="17"/>
        <v>12</v>
      </c>
      <c r="C27" s="13">
        <f t="shared" si="12"/>
        <v>6</v>
      </c>
      <c r="D27" s="13">
        <f t="shared" si="13"/>
        <v>25</v>
      </c>
      <c r="E27" s="74">
        <f>IF($A27&lt;='Alternative 2'!$B$27, IF($A27='Alternative 2'!$B$27,0,E28+1),0)</f>
        <v>0</v>
      </c>
      <c r="F27" s="74">
        <f>IF($A27&lt;=('Alternative 2'!$B$28), IF($A27=ROUNDDOWN('Alternative 2'!$B$28,0),0,F28+1),0)</f>
        <v>0</v>
      </c>
      <c r="G27" s="74">
        <f>IF($A27&lt;=('Alternative 2'!$B$29), IF($A27=ROUNDDOWN('Alternative 2'!$B$29,0),0,G28+1),0)</f>
        <v>4</v>
      </c>
      <c r="H27" s="13">
        <f t="shared" si="14"/>
        <v>12</v>
      </c>
      <c r="J27" s="77">
        <f t="shared" si="15"/>
        <v>24</v>
      </c>
      <c r="K27" s="77">
        <f t="shared" si="16"/>
        <v>0.41887902047863906</v>
      </c>
      <c r="L27" s="78">
        <f>'Alternative 2'!$B$27*SIN(K27)+'Alternative 2'!$B$28*SIN(K27)+'Alternative 2'!$B$29*SIN(K27)</f>
        <v>27.65809172915441</v>
      </c>
      <c r="M27" s="77">
        <f>(('Alternative 2'!$B$27)*(((('Alternative 2'!$B$28-'Alternative 2'!$B$27)/2)+'Alternative 2'!$B$27)*'Alternative 2'!$B$39)*COS('Alternative 2-Tilt Up'!K27))+(('Alternative 2'!$B$28)*((('Alternative 2'!$B$28-'Alternative 2'!$B$27)/2)+(('Alternative 2'!$B$29-'Alternative 2'!$B$28)/2))*('Alternative 2'!$B$39)*COS('Alternative 2-Tilt Up'!K27))+(('Alternative 2'!$B$29)*((('Alternative 2'!$B$12-'Alternative 2'!$B$29+(('Alternative 2'!$B$29-'Alternative 2'!$B$28)/2)*('Alternative 2'!$B$39)*COS('Alternative 2-Tilt Up'!K27)))))</f>
        <v>4335806.3589624269</v>
      </c>
      <c r="N27" s="77">
        <f t="shared" si="0"/>
        <v>470293.43905082764</v>
      </c>
      <c r="O27" s="77">
        <f>(((('Alternative 2'!$B$28-'Alternative 2'!$B$27)/2)+'Alternative 2'!$B$27)*('Alternative 2'!$B$39)*COS('Alternative 2-Tilt Up'!K27))+(((('Alternative 2'!$B$28-'Alternative 2'!$B$27)/2)+(('Alternative 2'!$B$29-'Alternative 2'!$B$28)/2))*('Alternative 2'!$B$39)*COS('Alternative 2-Tilt Up'!K27))+(((('Alternative 2'!$B$12-'Alternative 2'!$B$29)+(('Alternative 2'!$B$29-'Alternative 2'!$B$28)/2))*('Alternative 2'!$B$39)*COS('Alternative 2-Tilt Up'!K27)))</f>
        <v>279654.45019125642</v>
      </c>
      <c r="P27" s="77">
        <f t="shared" si="1"/>
        <v>429634.43500400096</v>
      </c>
      <c r="R27" s="78">
        <f>'Alternative 2'!$B$39*$B27*$C27*COS($K$5)-($N$5/3)*$E27*SIN($K$5)-($N$5/3)*$F27*SIN($K$5)-($N$5/3)*$G27*SIN($K$5)</f>
        <v>332853.83335567551</v>
      </c>
      <c r="S27" s="79">
        <f>IF(($A27&lt;'Alternative 2'!$B$27),(($H27*'Alternative 2'!$B$39)+(3*($N$5/3)*COS($K$5))),IF(($A27&lt;'Alternative 2'!$B$28),(($H27*'Alternative 2'!$B$39)+(2*(($N$5/3)*COS($K$5)))),IF(($A27&lt;'Alternative 2'!$B$29),(($H$3*'Alternative 2'!$B$39+(($N$5/3)*COS($K$5)))),($H27*'Alternative 2'!$B$39))))</f>
        <v>2303591.7836996038</v>
      </c>
      <c r="T27" s="78">
        <f>R27*'Alternative 2'!$K28/'Alternative 2'!$L28</f>
        <v>8086481.2707050098</v>
      </c>
      <c r="U27" s="78">
        <f>S27/'Alternative 2'!$M28</f>
        <v>1119286.1345808781</v>
      </c>
      <c r="V27" s="78">
        <f t="shared" si="2"/>
        <v>9.2057674052858882</v>
      </c>
      <c r="X27" s="78">
        <f>'Alternative 2'!$B$39*$B27*$C27*COS($K$13)-($N$12/3)*$E27*SIN($K$13)-($N$12/3)*$F27*SIN($K$13)-($N$12/3)*$G27*SIN($K$13)</f>
        <v>296849.99666644656</v>
      </c>
      <c r="Y27" s="79">
        <f>IF(($A27&lt;'Alternative 2'!$B$27),(($H27*'Alternative 2'!$B$39)+(3*($N$12/3)*COS($K$13))),IF(($A27&lt;'Alternative 2'!$B$28),(($H27*'Alternative 2'!$B$39)+(2*(($N$12/3)*COS($K$13)))),IF(($A27&lt;'Alternative 2'!$B$29),(($H$3*'Alternative 2'!$B$39+(($N$12/3)*COS($K$13)))),($H27*'Alternative 2'!$B$39))))</f>
        <v>740098.46863391146</v>
      </c>
      <c r="Z27" s="78">
        <f>X27*'Alternative 2'!$K28/'Alternative 2'!$L28</f>
        <v>7211789.9741506288</v>
      </c>
      <c r="AA27" s="78">
        <f>Y27/'Alternative 2'!$M28</f>
        <v>359604.49244009884</v>
      </c>
      <c r="AB27" s="78">
        <f t="shared" si="3"/>
        <v>7.5713944665907276</v>
      </c>
      <c r="AD27" s="78">
        <f>'Alternative 2'!$B$39*$B27*$C27*COS($K$23)-($N$22/3)*$E27*SIN($K$23)-($N$22/3)*$F27*SIN($K$23)-($N$22/3)*$G27*SIN($K$23)</f>
        <v>298004.40405787452</v>
      </c>
      <c r="AE27" s="79">
        <f>IF(($A27&lt;'Alternative 2'!$B$27),(($H27*'Alternative 2'!$B$39)+(3*($N$22/3)*COS($K$23))),IF(($A27&lt;'Alternative 2'!$B$28),(($H27*'Alternative 2'!$B$39)+(2*(($N$22/3)*COS($K$23)))),IF(($A27&lt;'Alternative 2'!$B$29),(($H$3*'Alternative 2'!$B$39+(($N$22/3)*COS($K$23)))),($H27*'Alternative 2'!$B$39))))</f>
        <v>496597.59167774895</v>
      </c>
      <c r="AF27" s="78">
        <f>AD27*'Alternative 2'!$K28/'Alternative 2'!$L28</f>
        <v>7239835.5990287745</v>
      </c>
      <c r="AG27" s="78">
        <f>AE27/'Alternative 2'!$M28</f>
        <v>241290.49372562079</v>
      </c>
      <c r="AH27" s="78">
        <f t="shared" si="4"/>
        <v>7.4811260927543959</v>
      </c>
      <c r="AJ27" s="78">
        <f>'Alternative 2'!$B$39*$B27*$C27*COS($K$33)-($N$32/3)*$E27*SIN($K$33)-($N$32/3)*$F27*SIN($K$33)-($N$32/3)*$G27*SIN($K$33)</f>
        <v>278383.93568395253</v>
      </c>
      <c r="AK27" s="79">
        <f>IF(($A27&lt;'Alternative 2'!$B$27),(($H27*'Alternative 2'!$B$39)+(3*($N$32/3)*COS($K$33))),IF(($A27&lt;'Alternative 2'!$B$28),(($H27*'Alternative 2'!$B$39)+(2*(($N$32/3)*COS($K$33)))),IF(($A27&lt;'Alternative 2'!$B$29),(($H$3*'Alternative 2'!$B$39+(($N$32/3)*COS($K$33)))),($H27*'Alternative 2'!$B$39))))</f>
        <v>415166.05643987219</v>
      </c>
      <c r="AL27" s="78">
        <f>AJ27*'Alternative 2'!$K28/'Alternative 2'!$L28</f>
        <v>6763168.2630133238</v>
      </c>
      <c r="AM27" s="78">
        <f>AK27/'Alternative 2'!$M28</f>
        <v>201723.93989679567</v>
      </c>
      <c r="AN27" s="78">
        <f t="shared" si="5"/>
        <v>6.9648922029101197</v>
      </c>
      <c r="AP27" s="78">
        <f>'Alternative 2'!$B$39*$B27*$C27*COS($K$43)-($N$42/3)*$E27*SIN($K$43)-($N$42/3)*$F27*SIN($K$43)-($N$42/3)*$G27*SIN($K$43)</f>
        <v>247391.29078547464</v>
      </c>
      <c r="AQ27" s="79">
        <f>IF(($A27&lt;'Alternative 2'!$B$27),(($H27*'Alternative 2'!$B$39)+(3*($N$42/3)*COS($K$43))),IF(($A27&lt;'Alternative 2'!$B$28),(($H27*'Alternative 2'!$B$39)+(2*(($N$42/3)*COS($K$43)))),IF(($A27&lt;'Alternative 2'!$B$29),(($H$3*'Alternative 2'!$B$39+(($N$42/3)*COS($K$43)))),($H27*'Alternative 2'!$B$39))))</f>
        <v>372146.51651041314</v>
      </c>
      <c r="AR27" s="78">
        <f>AP27*'Alternative 2'!$K28/'Alternative 2'!$L28</f>
        <v>6010220.8206645157</v>
      </c>
      <c r="AS27" s="78">
        <f>AQ27/'Alternative 2'!$M28</f>
        <v>180821.2891321014</v>
      </c>
      <c r="AT27" s="78">
        <f t="shared" si="6"/>
        <v>6.1910421097966175</v>
      </c>
      <c r="AV27" s="78">
        <f>'Alternative 2'!$B$39*$B27*$C27*COS($K$53)-($N$52/3)*$E27*SIN($K$53)-($N$52/3)*$F27*SIN($K$53)-($N$52/3)*$G27*SIN($K$53)</f>
        <v>207624.70627766609</v>
      </c>
      <c r="AW27" s="79">
        <f>IF(($A27&lt;'Alternative 2'!$B$27),(($H27*'Alternative 2'!$B$39)+(3*($N$52/3)*COS($K$53))),IF(($A27&lt;'Alternative 2'!$B$28),(($H27*'Alternative 2'!$B$39)+(2*(($N$52/3)*COS($K$53)))),IF(($A27&lt;'Alternative 2'!$B$29),(($H$3*'Alternative 2'!$B$39+(($N$52/3)*COS($K$53)))),($H27*'Alternative 2'!$B$39))))</f>
        <v>345120.30506969942</v>
      </c>
      <c r="AX27" s="78">
        <f>AV27*'Alternative 2'!$K28/'Alternative 2'!$L28</f>
        <v>5044115.8562710844</v>
      </c>
      <c r="AY27" s="78">
        <f>AW27/'Alternative 2'!$M28</f>
        <v>167689.59455414111</v>
      </c>
      <c r="AZ27" s="78">
        <f t="shared" si="7"/>
        <v>5.2118054508252252</v>
      </c>
      <c r="BB27" s="78">
        <f>'Alternative 2'!$B$39*$B27*$C27*COS($K$63)-($N$62/3)*$E27*SIN($K$63)-($N$62/3)*$F27*SIN($K$63)-($N$62/3)*$G27*SIN($K$63)</f>
        <v>160838.40230216726</v>
      </c>
      <c r="BC27" s="79">
        <f>IF(($A27&lt;'Alternative 2'!$B$27),(($H27*'Alternative 2'!$B$39)+(3*($N$62/3)*COS($K$63))),IF(($A27&lt;'Alternative 2'!$B$28),(($H27*'Alternative 2'!$B$39)+(2*(($N$62/3)*COS($K$63)))),IF(($A27&lt;'Alternative 2'!$B$29),(($H$3*'Alternative 2'!$B$39+(($N$62/3)*COS($K$63)))),($H27*'Alternative 2'!$B$39))))</f>
        <v>327089.4855322786</v>
      </c>
      <c r="BD27" s="78">
        <f>BB27*'Alternative 2'!$K28/'Alternative 2'!$L28</f>
        <v>3907471.0803669835</v>
      </c>
      <c r="BE27" s="78">
        <f>BC27/'Alternative 2'!$M28</f>
        <v>158928.64721695575</v>
      </c>
      <c r="BF27" s="78">
        <f t="shared" si="8"/>
        <v>4.0663997275839394</v>
      </c>
      <c r="BH27" s="78">
        <f>'Alternative 2'!$B$39*$B27*$C27*COS($K$73)-($N$72/3)*$E27*SIN($K$73)-($N$72/3)*$F27*SIN($K$73)-($N$72/3)*$G27*SIN($K$73)</f>
        <v>108685.6136110923</v>
      </c>
      <c r="BI27" s="79">
        <f>IF(($A27&lt;'Alternative 2'!$B$27),(($H27*'Alternative 2'!$B$39)+(3*($N$72/3)*COS($K$73))),IF(($A27&lt;'Alternative 2'!$B$28),(($H27*'Alternative 2'!$B$39)+(2*(($N$72/3)*COS($K$73)))),IF(($A27&lt;'Alternative 2'!$B$29),(($H$3*'Alternative 2'!$B$39+(($N$72/3)*COS($K$73)))),($H27*'Alternative 2'!$B$39))))</f>
        <v>315284.01606893499</v>
      </c>
      <c r="BJ27" s="78">
        <f>BH27*'Alternative 2'!$K28/'Alternative 2'!$L28</f>
        <v>2640450.8249182026</v>
      </c>
      <c r="BK27" s="78">
        <f>BI27/'Alternative 2'!$M28</f>
        <v>153192.5188039098</v>
      </c>
      <c r="BL27" s="78">
        <f t="shared" si="9"/>
        <v>2.7936433437221124</v>
      </c>
      <c r="BN27" s="78">
        <f>'Alternative 2'!$B$39*$B27*$C27*COS($K$83)-($N$82/3)*$E27*SIN($K$83)-($N$82/3)*$F27*SIN($K$83)-($N$82/3)*$G27*SIN($K$83)</f>
        <v>52861.739849915204</v>
      </c>
      <c r="BO27" s="79">
        <f>IF(($A27&lt;'Alternative 2'!$B$27),(($H27*'Alternative 2'!$B$39)+(3*($N$82/3)*COS($K$83))),IF(($A27&lt;'Alternative 2'!$B$28),(($H27*'Alternative 2'!$B$39)+(2*(($N$82/3)*COS($K$83)))),IF(($A27&lt;'Alternative 2'!$B$29),(($H$3*'Alternative 2'!$B$39+(($N$82/3)*COS($K$83)))),($H27*'Alternative 2'!$B$39))))</f>
        <v>308476.18998899439</v>
      </c>
      <c r="BP27" s="78">
        <f>BN27*'Alternative 2'!$K28/'Alternative 2'!$L28</f>
        <v>1284243.7923088179</v>
      </c>
      <c r="BQ27" s="78">
        <f>BO27/'Alternative 2'!$M28</f>
        <v>149884.68214993548</v>
      </c>
      <c r="BR27" s="78">
        <f t="shared" si="10"/>
        <v>1.4341284744587535</v>
      </c>
      <c r="BT27" s="78">
        <f>'Alternative 2'!$B$39*$B27*$C27*COS($K$93)-($K$92/3)*$E27*SIN($K$93)-($K$92/3)*$F27*SIN($K$93)-($K$92/3)*$G27*SIN($K$93)</f>
        <v>-2.0711240456624336</v>
      </c>
      <c r="BU27" s="79">
        <f>IF(($A27&lt;'Alternative 2'!$B$27),(($H27*'Alternative 2'!$B$39)+(3*($N$92/3)*COS($K$93))),IF(($A27&lt;'Alternative 2'!$B$28),(($H27*'Alternative 2'!$B$39)+(2*(($N$92/3)*COS($K$93)))),IF(($A27&lt;'Alternative 2'!$B$29),(($H$3*'Alternative 2'!$B$39+(($N$92/3)*COS($K$93)))),($H27*'Alternative 2'!$B$39))))</f>
        <v>306119.90662501159</v>
      </c>
      <c r="BV27" s="78">
        <f>BT27*'Alternative 2'!$K28/'Alternative 2'!$L28</f>
        <v>-50.316697980340344</v>
      </c>
      <c r="BW27" s="78">
        <f>BU27/'Alternative 2'!$M28</f>
        <v>148739.79384241864</v>
      </c>
      <c r="BX27" s="78">
        <f t="shared" si="11"/>
        <v>0.14868947714443831</v>
      </c>
      <c r="BZ27" s="77">
        <v>150</v>
      </c>
      <c r="CA27" s="77">
        <v>-150</v>
      </c>
    </row>
    <row r="28" spans="1:79" ht="15" customHeight="1" x14ac:dyDescent="0.25">
      <c r="A28" s="13">
        <f>IF('Alternative 2'!F29&gt;0,'Alternative 2'!F29,"x")</f>
        <v>26</v>
      </c>
      <c r="B28" s="13">
        <f t="shared" si="17"/>
        <v>11</v>
      </c>
      <c r="C28" s="13">
        <f t="shared" si="12"/>
        <v>5.5</v>
      </c>
      <c r="D28" s="13">
        <f t="shared" si="13"/>
        <v>26</v>
      </c>
      <c r="E28" s="74">
        <f>IF($A28&lt;='Alternative 2'!$B$27, IF($A28='Alternative 2'!$B$27,0,E29+1),0)</f>
        <v>0</v>
      </c>
      <c r="F28" s="74">
        <f>IF($A28&lt;=('Alternative 2'!$B$28), IF($A28=ROUNDDOWN('Alternative 2'!$B$28,0),0,F29+1),0)</f>
        <v>0</v>
      </c>
      <c r="G28" s="74">
        <f>IF($A28&lt;=('Alternative 2'!$B$29), IF($A28=ROUNDDOWN('Alternative 2'!$B$29,0),0,G29+1),0)</f>
        <v>3</v>
      </c>
      <c r="H28" s="13">
        <f t="shared" si="14"/>
        <v>11</v>
      </c>
      <c r="J28" s="77">
        <f t="shared" si="15"/>
        <v>25</v>
      </c>
      <c r="K28" s="77">
        <f t="shared" si="16"/>
        <v>0.43633231299858238</v>
      </c>
      <c r="L28" s="78">
        <f>'Alternative 2'!$B$27*SIN(K28)+'Alternative 2'!$B$28*SIN(K28)+'Alternative 2'!$B$29*SIN(K28)</f>
        <v>28.738041798367561</v>
      </c>
      <c r="M28" s="77">
        <f>(('Alternative 2'!$B$27)*(((('Alternative 2'!$B$28-'Alternative 2'!$B$27)/2)+'Alternative 2'!$B$27)*'Alternative 2'!$B$39)*COS('Alternative 2-Tilt Up'!K28))+(('Alternative 2'!$B$28)*((('Alternative 2'!$B$28-'Alternative 2'!$B$27)/2)+(('Alternative 2'!$B$29-'Alternative 2'!$B$28)/2))*('Alternative 2'!$B$39)*COS('Alternative 2-Tilt Up'!K28))+(('Alternative 2'!$B$29)*((('Alternative 2'!$B$12-'Alternative 2'!$B$29+(('Alternative 2'!$B$29-'Alternative 2'!$B$28)/2)*('Alternative 2'!$B$39)*COS('Alternative 2-Tilt Up'!K28)))))</f>
        <v>4301456.976497245</v>
      </c>
      <c r="N28" s="77">
        <f t="shared" si="0"/>
        <v>449034.45474927098</v>
      </c>
      <c r="O28" s="77">
        <f>(((('Alternative 2'!$B$28-'Alternative 2'!$B$27)/2)+'Alternative 2'!$B$27)*('Alternative 2'!$B$39)*COS('Alternative 2-Tilt Up'!K28))+(((('Alternative 2'!$B$28-'Alternative 2'!$B$27)/2)+(('Alternative 2'!$B$29-'Alternative 2'!$B$28)/2))*('Alternative 2'!$B$39)*COS('Alternative 2-Tilt Up'!K28))+(((('Alternative 2'!$B$12-'Alternative 2'!$B$29)+(('Alternative 2'!$B$29-'Alternative 2'!$B$28)/2))*('Alternative 2'!$B$39)*COS('Alternative 2-Tilt Up'!K28)))</f>
        <v>277438.8551411801</v>
      </c>
      <c r="P28" s="77">
        <f t="shared" si="1"/>
        <v>406963.42298702052</v>
      </c>
      <c r="R28" s="78">
        <f>'Alternative 2'!$B$39*$B28*$C28*COS($K$5)-($N$5/3)*$E28*SIN($K$5)-($N$5/3)*$F28*SIN($K$5)-($N$5/3)*$G28*SIN($K$5)</f>
        <v>304878.35482837772</v>
      </c>
      <c r="S28" s="79">
        <f>IF(($A28&lt;'Alternative 2'!$B$27),(($H28*'Alternative 2'!$B$39)+(3*($N$5/3)*COS($K$5))),IF(($A28&lt;'Alternative 2'!$B$28),(($H28*'Alternative 2'!$B$39)+(2*(($N$5/3)*COS($K$5)))),IF(($A28&lt;'Alternative 2'!$B$29),(($H$3*'Alternative 2'!$B$39+(($N$5/3)*COS($K$5)))),($H28*'Alternative 2'!$B$39))))</f>
        <v>2303591.7836996038</v>
      </c>
      <c r="T28" s="78">
        <f>R28*'Alternative 2'!$K29/'Alternative 2'!$L29</f>
        <v>7592250.2240657741</v>
      </c>
      <c r="U28" s="78">
        <f>S28/'Alternative 2'!$M29</f>
        <v>1147305.3601726778</v>
      </c>
      <c r="V28" s="78">
        <f t="shared" si="2"/>
        <v>8.7395555842384507</v>
      </c>
      <c r="X28" s="78">
        <f>'Alternative 2'!$B$39*$B28*$C28*COS($K$13)-($N$12/3)*$E28*SIN($K$13)-($N$12/3)*$F28*SIN($K$13)-($N$12/3)*$G28*SIN($K$13)</f>
        <v>277069.44675183354</v>
      </c>
      <c r="Y28" s="79">
        <f>IF(($A28&lt;'Alternative 2'!$B$27),(($H28*'Alternative 2'!$B$39)+(3*($N$12/3)*COS($K$13))),IF(($A28&lt;'Alternative 2'!$B$28),(($H28*'Alternative 2'!$B$39)+(2*(($N$12/3)*COS($K$13)))),IF(($A28&lt;'Alternative 2'!$B$29),(($H$3*'Alternative 2'!$B$39+(($N$12/3)*COS($K$13)))),($H28*'Alternative 2'!$B$39))))</f>
        <v>740098.46863391146</v>
      </c>
      <c r="Z28" s="78">
        <f>X28*'Alternative 2'!$K29/'Alternative 2'!$L29</f>
        <v>6899737.3407093361</v>
      </c>
      <c r="AA28" s="78">
        <f>Y28/'Alternative 2'!$M29</f>
        <v>368606.51532433362</v>
      </c>
      <c r="AB28" s="78">
        <f t="shared" si="3"/>
        <v>7.2683438560336695</v>
      </c>
      <c r="AD28" s="78">
        <f>'Alternative 2'!$B$39*$B28*$C28*COS($K$23)-($N$22/3)*$E28*SIN($K$23)-($N$22/3)*$F28*SIN($K$23)-($N$22/3)*$G28*SIN($K$23)</f>
        <v>275441.66450598277</v>
      </c>
      <c r="AE28" s="79">
        <f>IF(($A28&lt;'Alternative 2'!$B$27),(($H28*'Alternative 2'!$B$39)+(3*($N$22/3)*COS($K$23))),IF(($A28&lt;'Alternative 2'!$B$28),(($H28*'Alternative 2'!$B$39)+(2*(($N$22/3)*COS($K$23)))),IF(($A28&lt;'Alternative 2'!$B$29),(($H$3*'Alternative 2'!$B$39+(($N$22/3)*COS($K$23)))),($H28*'Alternative 2'!$B$39))))</f>
        <v>496597.59167774895</v>
      </c>
      <c r="AF28" s="78">
        <f>AD28*'Alternative 2'!$K29/'Alternative 2'!$L29</f>
        <v>6859201.40260462</v>
      </c>
      <c r="AG28" s="78">
        <f>AE28/'Alternative 2'!$M29</f>
        <v>247330.74792691713</v>
      </c>
      <c r="AH28" s="78">
        <f t="shared" si="4"/>
        <v>7.1065321505315371</v>
      </c>
      <c r="AJ28" s="78">
        <f>'Alternative 2'!$B$39*$B28*$C28*COS($K$33)-($N$32/3)*$E28*SIN($K$33)-($N$32/3)*$F28*SIN($K$33)-($N$32/3)*$G28*SIN($K$33)</f>
        <v>256654.60460515809</v>
      </c>
      <c r="AK28" s="79">
        <f>IF(($A28&lt;'Alternative 2'!$B$27),(($H28*'Alternative 2'!$B$39)+(3*($N$32/3)*COS($K$33))),IF(($A28&lt;'Alternative 2'!$B$28),(($H28*'Alternative 2'!$B$39)+(2*(($N$32/3)*COS($K$33)))),IF(($A28&lt;'Alternative 2'!$B$29),(($H$3*'Alternative 2'!$B$39+(($N$32/3)*COS($K$33)))),($H28*'Alternative 2'!$B$39))))</f>
        <v>415166.05643987219</v>
      </c>
      <c r="AL28" s="78">
        <f>AJ28*'Alternative 2'!$K29/'Alternative 2'!$L29</f>
        <v>6391355.5962932277</v>
      </c>
      <c r="AM28" s="78">
        <f>AK28/'Alternative 2'!$M29</f>
        <v>206773.71975612667</v>
      </c>
      <c r="AN28" s="78">
        <f t="shared" si="5"/>
        <v>6.5981293160493539</v>
      </c>
      <c r="AP28" s="78">
        <f>'Alternative 2'!$B$39*$B28*$C28*COS($K$43)-($N$42/3)*$E28*SIN($K$43)-($N$42/3)*$F28*SIN($K$43)-($N$42/3)*$G28*SIN($K$43)</f>
        <v>227884.00828600145</v>
      </c>
      <c r="AQ28" s="79">
        <f>IF(($A28&lt;'Alternative 2'!$B$27),(($H28*'Alternative 2'!$B$39)+(3*($N$42/3)*COS($K$43))),IF(($A28&lt;'Alternative 2'!$B$28),(($H28*'Alternative 2'!$B$39)+(2*(($N$42/3)*COS($K$43)))),IF(($A28&lt;'Alternative 2'!$B$29),(($H$3*'Alternative 2'!$B$39+(($N$42/3)*COS($K$43)))),($H28*'Alternative 2'!$B$39))))</f>
        <v>372146.51651041314</v>
      </c>
      <c r="AR28" s="78">
        <f>AP28*'Alternative 2'!$K29/'Alternative 2'!$L29</f>
        <v>5674894.2178736813</v>
      </c>
      <c r="AS28" s="78">
        <f>AQ28/'Alternative 2'!$M29</f>
        <v>185347.81039906014</v>
      </c>
      <c r="AT28" s="78">
        <f t="shared" si="6"/>
        <v>5.8602420282727419</v>
      </c>
      <c r="AV28" s="78">
        <f>'Alternative 2'!$B$39*$B28*$C28*COS($K$53)-($N$52/3)*$E28*SIN($K$53)-($N$52/3)*$F28*SIN($K$53)-($N$52/3)*$G28*SIN($K$53)</f>
        <v>191246.46137131139</v>
      </c>
      <c r="AW28" s="79">
        <f>IF(($A28&lt;'Alternative 2'!$B$27),(($H28*'Alternative 2'!$B$39)+(3*($N$52/3)*COS($K$53))),IF(($A28&lt;'Alternative 2'!$B$28),(($H28*'Alternative 2'!$B$39)+(2*(($N$52/3)*COS($K$53)))),IF(($A28&lt;'Alternative 2'!$B$29),(($H$3*'Alternative 2'!$B$39+(($N$52/3)*COS($K$53)))),($H28*'Alternative 2'!$B$39))))</f>
        <v>345120.30506969942</v>
      </c>
      <c r="AX28" s="78">
        <f>AV28*'Alternative 2'!$K29/'Alternative 2'!$L29</f>
        <v>4762525.6637700014</v>
      </c>
      <c r="AY28" s="78">
        <f>AW28/'Alternative 2'!$M29</f>
        <v>171887.3885176742</v>
      </c>
      <c r="AZ28" s="78">
        <f t="shared" si="7"/>
        <v>4.9344130522876757</v>
      </c>
      <c r="BB28" s="78">
        <f>'Alternative 2'!$B$39*$B28*$C28*COS($K$63)-($N$62/3)*$E28*SIN($K$63)-($N$62/3)*$F28*SIN($K$63)-($N$62/3)*$G28*SIN($K$63)</f>
        <v>148264.62663027231</v>
      </c>
      <c r="BC28" s="79">
        <f>IF(($A28&lt;'Alternative 2'!$B$27),(($H28*'Alternative 2'!$B$39)+(3*($N$62/3)*COS($K$63))),IF(($A28&lt;'Alternative 2'!$B$28),(($H28*'Alternative 2'!$B$39)+(2*(($N$62/3)*COS($K$63)))),IF(($A28&lt;'Alternative 2'!$B$29),(($H$3*'Alternative 2'!$B$39+(($N$62/3)*COS($K$63)))),($H28*'Alternative 2'!$B$39))))</f>
        <v>327089.4855322786</v>
      </c>
      <c r="BD28" s="78">
        <f>BB28*'Alternative 2'!$K29/'Alternative 2'!$L29</f>
        <v>3692168.1284601903</v>
      </c>
      <c r="BE28" s="78">
        <f>BC28/'Alternative 2'!$M29</f>
        <v>162907.12732297339</v>
      </c>
      <c r="BF28" s="78">
        <f t="shared" si="8"/>
        <v>3.8550752557831633</v>
      </c>
      <c r="BH28" s="78">
        <f>'Alternative 2'!$B$39*$B28*$C28*COS($K$73)-($N$72/3)*$E28*SIN($K$73)-($N$72/3)*$F28*SIN($K$73)-($N$72/3)*$G28*SIN($K$73)</f>
        <v>100418.22779725598</v>
      </c>
      <c r="BI28" s="79">
        <f>IF(($A28&lt;'Alternative 2'!$B$27),(($H28*'Alternative 2'!$B$39)+(3*($N$72/3)*COS($K$73))),IF(($A28&lt;'Alternative 2'!$B$28),(($H28*'Alternative 2'!$B$39)+(2*(($N$72/3)*COS($K$73)))),IF(($A28&lt;'Alternative 2'!$B$29),(($H$3*'Alternative 2'!$B$39+(($N$72/3)*COS($K$73)))),($H28*'Alternative 2'!$B$39))))</f>
        <v>315284.01606893499</v>
      </c>
      <c r="BJ28" s="78">
        <f>BH28*'Alternative 2'!$K29/'Alternative 2'!$L29</f>
        <v>2500670.5147145507</v>
      </c>
      <c r="BK28" s="78">
        <f>BI28/'Alternative 2'!$M29</f>
        <v>157027.40571149223</v>
      </c>
      <c r="BL28" s="78">
        <f t="shared" si="9"/>
        <v>2.6576979204260427</v>
      </c>
      <c r="BN28" s="78">
        <f>'Alternative 2'!$B$39*$B28*$C28*COS($K$83)-($N$82/3)*$E28*SIN($K$83)-($N$82/3)*$F28*SIN($K$83)-($N$82/3)*$G28*SIN($K$83)</f>
        <v>49244.126153117708</v>
      </c>
      <c r="BO28" s="79">
        <f>IF(($A28&lt;'Alternative 2'!$B$27),(($H28*'Alternative 2'!$B$39)+(3*($N$82/3)*COS($K$83))),IF(($A28&lt;'Alternative 2'!$B$28),(($H28*'Alternative 2'!$B$39)+(2*(($N$82/3)*COS($K$83)))),IF(($A28&lt;'Alternative 2'!$B$29),(($H$3*'Alternative 2'!$B$39+(($N$82/3)*COS($K$83)))),($H28*'Alternative 2'!$B$39))))</f>
        <v>308476.18998899439</v>
      </c>
      <c r="BP28" s="78">
        <f>BN28*'Alternative 2'!$K29/'Alternative 2'!$L29</f>
        <v>1226304.5962393505</v>
      </c>
      <c r="BQ28" s="78">
        <f>BO28/'Alternative 2'!$M29</f>
        <v>153636.76358127283</v>
      </c>
      <c r="BR28" s="78">
        <f t="shared" si="10"/>
        <v>1.3799413598206234</v>
      </c>
      <c r="BT28" s="78">
        <f>'Alternative 2'!$B$39*$B28*$C28*COS($K$93)-($K$92/3)*$E28*SIN($K$93)-($K$92/3)*$F28*SIN($K$93)-($K$92/3)*$G28*SIN($K$93)</f>
        <v>-1.5533430342434396</v>
      </c>
      <c r="BU28" s="79">
        <f>IF(($A28&lt;'Alternative 2'!$B$27),(($H28*'Alternative 2'!$B$39)+(3*($N$92/3)*COS($K$93))),IF(($A28&lt;'Alternative 2'!$B$28),(($H28*'Alternative 2'!$B$39)+(2*(($N$92/3)*COS($K$93)))),IF(($A28&lt;'Alternative 2'!$B$29),(($H$3*'Alternative 2'!$B$39+(($N$92/3)*COS($K$93)))),($H28*'Alternative 2'!$B$39))))</f>
        <v>306119.90662501159</v>
      </c>
      <c r="BV28" s="78">
        <f>BT28*'Alternative 2'!$K29/'Alternative 2'!$L29</f>
        <v>-38.682211488659121</v>
      </c>
      <c r="BW28" s="78">
        <f>BU28/'Alternative 2'!$M29</f>
        <v>152463.21514586319</v>
      </c>
      <c r="BX28" s="78">
        <f t="shared" si="11"/>
        <v>0.15242453293437452</v>
      </c>
      <c r="BZ28" s="77">
        <v>150</v>
      </c>
      <c r="CA28" s="77">
        <v>-150</v>
      </c>
    </row>
    <row r="29" spans="1:79" ht="15" customHeight="1" x14ac:dyDescent="0.25">
      <c r="A29" s="13">
        <f>IF('Alternative 2'!F30&gt;0,'Alternative 2'!F30,"x")</f>
        <v>27</v>
      </c>
      <c r="B29" s="13">
        <f t="shared" si="17"/>
        <v>10</v>
      </c>
      <c r="C29" s="13">
        <f t="shared" si="12"/>
        <v>5</v>
      </c>
      <c r="D29" s="13">
        <f t="shared" si="13"/>
        <v>27</v>
      </c>
      <c r="E29" s="74">
        <f>IF($A29&lt;='Alternative 2'!$B$27, IF($A29='Alternative 2'!$B$27,0,E30+1),0)</f>
        <v>0</v>
      </c>
      <c r="F29" s="74">
        <f>IF($A29&lt;=('Alternative 2'!$B$28), IF($A29=ROUNDDOWN('Alternative 2'!$B$28,0),0,F30+1),0)</f>
        <v>0</v>
      </c>
      <c r="G29" s="74">
        <f>IF($A29&lt;=('Alternative 2'!$B$29), IF($A29=ROUNDDOWN('Alternative 2'!$B$29,0),0,G30+1),0)</f>
        <v>2</v>
      </c>
      <c r="H29" s="13">
        <f t="shared" si="14"/>
        <v>10</v>
      </c>
      <c r="J29" s="77">
        <f t="shared" si="15"/>
        <v>26</v>
      </c>
      <c r="K29" s="77">
        <f t="shared" si="16"/>
        <v>0.4537856055185257</v>
      </c>
      <c r="L29" s="78">
        <f>'Alternative 2'!$B$27*SIN(K29)+'Alternative 2'!$B$28*SIN(K29)+'Alternative 2'!$B$29*SIN(K29)</f>
        <v>29.809237981657262</v>
      </c>
      <c r="M29" s="77">
        <f>(('Alternative 2'!$B$27)*(((('Alternative 2'!$B$28-'Alternative 2'!$B$27)/2)+'Alternative 2'!$B$27)*'Alternative 2'!$B$39)*COS('Alternative 2-Tilt Up'!K29))+(('Alternative 2'!$B$28)*((('Alternative 2'!$B$28-'Alternative 2'!$B$27)/2)+(('Alternative 2'!$B$29-'Alternative 2'!$B$28)/2))*('Alternative 2'!$B$39)*COS('Alternative 2-Tilt Up'!K29))+(('Alternative 2'!$B$29)*((('Alternative 2'!$B$12-'Alternative 2'!$B$29+(('Alternative 2'!$B$29-'Alternative 2'!$B$28)/2)*('Alternative 2'!$B$39)*COS('Alternative 2-Tilt Up'!K29)))))</f>
        <v>4265797.3881590012</v>
      </c>
      <c r="N29" s="77">
        <f t="shared" si="0"/>
        <v>429309.60437001835</v>
      </c>
      <c r="O29" s="77">
        <f>(((('Alternative 2'!$B$28-'Alternative 2'!$B$27)/2)+'Alternative 2'!$B$27)*('Alternative 2'!$B$39)*COS('Alternative 2-Tilt Up'!K29))+(((('Alternative 2'!$B$28-'Alternative 2'!$B$27)/2)+(('Alternative 2'!$B$29-'Alternative 2'!$B$28)/2))*('Alternative 2'!$B$39)*COS('Alternative 2-Tilt Up'!K29))+(((('Alternative 2'!$B$12-'Alternative 2'!$B$29)+(('Alternative 2'!$B$29-'Alternative 2'!$B$28)/2))*('Alternative 2'!$B$39)*COS('Alternative 2-Tilt Up'!K29)))</f>
        <v>275138.7495282173</v>
      </c>
      <c r="P29" s="77">
        <f t="shared" si="1"/>
        <v>385860.91642682336</v>
      </c>
      <c r="R29" s="78">
        <f>'Alternative 2'!$B$39*$B29*$C29*COS($K$5)-($N$5/3)*$E29*SIN($K$5)-($N$5/3)*$F29*SIN($K$5)-($N$5/3)*$G29*SIN($K$5)</f>
        <v>285401.02704132942</v>
      </c>
      <c r="S29" s="79">
        <f>IF(($A29&lt;'Alternative 2'!$B$27),(($H29*'Alternative 2'!$B$39)+(3*($N$5/3)*COS($K$5))),IF(($A29&lt;'Alternative 2'!$B$28),(($H29*'Alternative 2'!$B$39)+(2*(($N$5/3)*COS($K$5)))),IF(($A29&lt;'Alternative 2'!$B$29),(($H$3*'Alternative 2'!$B$39+(($N$5/3)*COS($K$5)))),($H29*'Alternative 2'!$B$39))))</f>
        <v>2303591.7836996038</v>
      </c>
      <c r="T29" s="78">
        <f>R29*'Alternative 2'!$K30/'Alternative 2'!$L30</f>
        <v>7287385.7897117985</v>
      </c>
      <c r="U29" s="78">
        <f>S29/'Alternative 2'!$M30</f>
        <v>1176390.0202672526</v>
      </c>
      <c r="V29" s="78">
        <f t="shared" si="2"/>
        <v>8.463775809979051</v>
      </c>
      <c r="X29" s="78">
        <f>'Alternative 2'!$B$39*$B29*$C29*COS($K$13)-($N$12/3)*$E29*SIN($K$13)-($N$12/3)*$F29*SIN($K$13)-($N$12/3)*$G29*SIN($K$13)</f>
        <v>265663.04287598946</v>
      </c>
      <c r="Y29" s="79">
        <f>IF(($A29&lt;'Alternative 2'!$B$27),(($H29*'Alternative 2'!$B$39)+(3*($N$12/3)*COS($K$13))),IF(($A29&lt;'Alternative 2'!$B$28),(($H29*'Alternative 2'!$B$39)+(2*(($N$12/3)*COS($K$13)))),IF(($A29&lt;'Alternative 2'!$B$29),(($H$3*'Alternative 2'!$B$39+(($N$12/3)*COS($K$13)))),($H29*'Alternative 2'!$B$39))))</f>
        <v>740098.46863391146</v>
      </c>
      <c r="Z29" s="78">
        <f>X29*'Alternative 2'!$K30/'Alternative 2'!$L30</f>
        <v>6783399.1474239789</v>
      </c>
      <c r="AA29" s="78">
        <f>Y29/'Alternative 2'!$M30</f>
        <v>377950.84123704478</v>
      </c>
      <c r="AB29" s="78">
        <f t="shared" si="3"/>
        <v>7.1613499886610237</v>
      </c>
      <c r="AD29" s="78">
        <f>'Alternative 2'!$B$39*$B29*$C29*COS($K$23)-($N$22/3)*$E29*SIN($K$23)-($N$22/3)*$F29*SIN($K$23)-($N$22/3)*$G29*SIN($K$23)</f>
        <v>260869.44210217966</v>
      </c>
      <c r="AE29" s="79">
        <f>IF(($A29&lt;'Alternative 2'!$B$27),(($H29*'Alternative 2'!$B$39)+(3*($N$22/3)*COS($K$23))),IF(($A29&lt;'Alternative 2'!$B$28),(($H29*'Alternative 2'!$B$39)+(2*(($N$22/3)*COS($K$23)))),IF(($A29&lt;'Alternative 2'!$B$29),(($H$3*'Alternative 2'!$B$39+(($N$22/3)*COS($K$23)))),($H29*'Alternative 2'!$B$39))))</f>
        <v>496597.59167774895</v>
      </c>
      <c r="AF29" s="78">
        <f>AD29*'Alternative 2'!$K30/'Alternative 2'!$L30</f>
        <v>6661000.0848741643</v>
      </c>
      <c r="AG29" s="78">
        <f>AE29/'Alternative 2'!$M30</f>
        <v>253600.68353787661</v>
      </c>
      <c r="AH29" s="78">
        <f t="shared" si="4"/>
        <v>6.9146007684120407</v>
      </c>
      <c r="AJ29" s="78">
        <f>'Alternative 2'!$B$39*$B29*$C29*COS($K$33)-($N$32/3)*$E29*SIN($K$33)-($N$32/3)*$F29*SIN($K$33)-($N$32/3)*$G29*SIN($K$33)</f>
        <v>242289.37396362418</v>
      </c>
      <c r="AK29" s="79">
        <f>IF(($A29&lt;'Alternative 2'!$B$27),(($H29*'Alternative 2'!$B$39)+(3*($N$32/3)*COS($K$33))),IF(($A29&lt;'Alternative 2'!$B$28),(($H29*'Alternative 2'!$B$39)+(2*(($N$32/3)*COS($K$33)))),IF(($A29&lt;'Alternative 2'!$B$29),(($H$3*'Alternative 2'!$B$39+(($N$32/3)*COS($K$33)))),($H29*'Alternative 2'!$B$39))))</f>
        <v>415166.05643987219</v>
      </c>
      <c r="AL29" s="78">
        <f>AJ29*'Alternative 2'!$K30/'Alternative 2'!$L30</f>
        <v>6186579.4917584341</v>
      </c>
      <c r="AM29" s="78">
        <f>AK29/'Alternative 2'!$M30</f>
        <v>212015.51811632319</v>
      </c>
      <c r="AN29" s="78">
        <f t="shared" si="5"/>
        <v>6.3985950098747573</v>
      </c>
      <c r="AP29" s="78">
        <f>'Alternative 2'!$B$39*$B29*$C29*COS($K$43)-($N$42/3)*$E29*SIN($K$43)-($N$42/3)*$F29*SIN($K$43)-($N$42/3)*$G29*SIN($K$43)</f>
        <v>214890.65504758919</v>
      </c>
      <c r="AQ29" s="79">
        <f>IF(($A29&lt;'Alternative 2'!$B$27),(($H29*'Alternative 2'!$B$39)+(3*($N$42/3)*COS($K$43))),IF(($A29&lt;'Alternative 2'!$B$28),(($H29*'Alternative 2'!$B$39)+(2*(($N$42/3)*COS($K$43)))),IF(($A29&lt;'Alternative 2'!$B$29),(($H$3*'Alternative 2'!$B$39+(($N$42/3)*COS($K$43)))),($H29*'Alternative 2'!$B$39))))</f>
        <v>372146.51651041314</v>
      </c>
      <c r="AR29" s="78">
        <f>AP29*'Alternative 2'!$K30/'Alternative 2'!$L30</f>
        <v>5486984.830327495</v>
      </c>
      <c r="AS29" s="78">
        <f>AQ29/'Alternative 2'!$M30</f>
        <v>190046.45319448735</v>
      </c>
      <c r="AT29" s="78">
        <f t="shared" si="6"/>
        <v>5.6770312835219823</v>
      </c>
      <c r="AV29" s="78">
        <f>'Alternative 2'!$B$39*$B29*$C29*COS($K$53)-($N$52/3)*$E29*SIN($K$53)-($N$52/3)*$F29*SIN($K$53)-($N$52/3)*$G29*SIN($K$53)</f>
        <v>180334.05210542775</v>
      </c>
      <c r="AW29" s="79">
        <f>IF(($A29&lt;'Alternative 2'!$B$27),(($H29*'Alternative 2'!$B$39)+(3*($N$52/3)*COS($K$53))),IF(($A29&lt;'Alternative 2'!$B$28),(($H29*'Alternative 2'!$B$39)+(2*(($N$52/3)*COS($K$53)))),IF(($A29&lt;'Alternative 2'!$B$29),(($H$3*'Alternative 2'!$B$39+(($N$52/3)*COS($K$53)))),($H29*'Alternative 2'!$B$39))))</f>
        <v>345120.30506969942</v>
      </c>
      <c r="AX29" s="78">
        <f>AV29*'Alternative 2'!$K30/'Alternative 2'!$L30</f>
        <v>4604621.8625693135</v>
      </c>
      <c r="AY29" s="78">
        <f>AW29/'Alternative 2'!$M30</f>
        <v>176244.80411349106</v>
      </c>
      <c r="AZ29" s="78">
        <f t="shared" si="7"/>
        <v>4.7808666666828046</v>
      </c>
      <c r="BB29" s="78">
        <f>'Alternative 2'!$B$39*$B29*$C29*COS($K$63)-($N$62/3)*$E29*SIN($K$63)-($N$62/3)*$F29*SIN($K$63)-($N$62/3)*$G29*SIN($K$63)</f>
        <v>139942.51632816924</v>
      </c>
      <c r="BC29" s="79">
        <f>IF(($A29&lt;'Alternative 2'!$B$27),(($H29*'Alternative 2'!$B$39)+(3*($N$62/3)*COS($K$63))),IF(($A29&lt;'Alternative 2'!$B$28),(($H29*'Alternative 2'!$B$39)+(2*(($N$62/3)*COS($K$63)))),IF(($A29&lt;'Alternative 2'!$B$29),(($H$3*'Alternative 2'!$B$39+(($N$62/3)*COS($K$63)))),($H29*'Alternative 2'!$B$39))))</f>
        <v>327089.4855322786</v>
      </c>
      <c r="BD29" s="78">
        <f>BB29*'Alternative 2'!$K30/'Alternative 2'!$L30</f>
        <v>3573270.6200763979</v>
      </c>
      <c r="BE29" s="78">
        <f>BC29/'Alternative 2'!$M30</f>
        <v>167036.88962484151</v>
      </c>
      <c r="BF29" s="78">
        <f t="shared" si="8"/>
        <v>3.7403075097012395</v>
      </c>
      <c r="BH29" s="78">
        <f>'Alternative 2'!$B$39*$B29*$C29*COS($K$73)-($N$72/3)*$E29*SIN($K$73)-($N$72/3)*$F29*SIN($K$73)-($N$72/3)*$G29*SIN($K$73)</f>
        <v>95059.152381717679</v>
      </c>
      <c r="BI29" s="79">
        <f>IF(($A29&lt;'Alternative 2'!$B$27),(($H29*'Alternative 2'!$B$39)+(3*($N$72/3)*COS($K$73))),IF(($A29&lt;'Alternative 2'!$B$28),(($H29*'Alternative 2'!$B$39)+(2*(($N$72/3)*COS($K$73)))),IF(($A29&lt;'Alternative 2'!$B$29),(($H$3*'Alternative 2'!$B$39+(($N$72/3)*COS($K$73)))),($H29*'Alternative 2'!$B$39))))</f>
        <v>315284.01606893499</v>
      </c>
      <c r="BJ29" s="78">
        <f>BH29*'Alternative 2'!$K30/'Alternative 2'!$L30</f>
        <v>2427225.7301592059</v>
      </c>
      <c r="BK29" s="78">
        <f>BI29/'Alternative 2'!$M30</f>
        <v>161008.11466587582</v>
      </c>
      <c r="BL29" s="78">
        <f t="shared" si="9"/>
        <v>2.5882338448250817</v>
      </c>
      <c r="BN29" s="78">
        <f>'Alternative 2'!$B$39*$B29*$C29*COS($K$83)-($N$82/3)*$E29*SIN($K$83)-($N$82/3)*$F29*SIN($K$83)-($N$82/3)*$G29*SIN($K$83)</f>
        <v>47103.100343348102</v>
      </c>
      <c r="BO29" s="79">
        <f>IF(($A29&lt;'Alternative 2'!$B$27),(($H29*'Alternative 2'!$B$39)+(3*($N$82/3)*COS($K$83))),IF(($A29&lt;'Alternative 2'!$B$28),(($H29*'Alternative 2'!$B$39)+(2*(($N$82/3)*COS($K$83)))),IF(($A29&lt;'Alternative 2'!$B$29),(($H$3*'Alternative 2'!$B$39+(($N$82/3)*COS($K$83)))),($H29*'Alternative 2'!$B$39))))</f>
        <v>308476.18998899439</v>
      </c>
      <c r="BP29" s="78">
        <f>BN29*'Alternative 2'!$K30/'Alternative 2'!$L30</f>
        <v>1202723.2965905764</v>
      </c>
      <c r="BQ29" s="78">
        <f>BO29/'Alternative 2'!$M30</f>
        <v>157531.51837098229</v>
      </c>
      <c r="BR29" s="78">
        <f t="shared" si="10"/>
        <v>1.3602548149615588</v>
      </c>
      <c r="BT29" s="78">
        <f>'Alternative 2'!$B$39*$B29*$C29*COS($K$93)-($K$92/3)*$E29*SIN($K$93)-($K$92/3)*$F29*SIN($K$93)-($K$92/3)*$G29*SIN($K$93)</f>
        <v>-1.0355620228239244</v>
      </c>
      <c r="BU29" s="79">
        <f>IF(($A29&lt;'Alternative 2'!$B$27),(($H29*'Alternative 2'!$B$39)+(3*($N$92/3)*COS($K$93))),IF(($A29&lt;'Alternative 2'!$B$28),(($H29*'Alternative 2'!$B$39)+(2*(($N$92/3)*COS($K$93)))),IF(($A29&lt;'Alternative 2'!$B$29),(($H$3*'Alternative 2'!$B$39+(($N$92/3)*COS($K$93)))),($H29*'Alternative 2'!$B$39))))</f>
        <v>306119.90662501159</v>
      </c>
      <c r="BV29" s="78">
        <f>BT29*'Alternative 2'!$K30/'Alternative 2'!$L30</f>
        <v>-26.441880913061482</v>
      </c>
      <c r="BW29" s="78">
        <f>BU29/'Alternative 2'!$M30</f>
        <v>156328.22000278818</v>
      </c>
      <c r="BX29" s="78">
        <f t="shared" si="11"/>
        <v>0.1563017781218751</v>
      </c>
      <c r="BZ29" s="77">
        <v>150</v>
      </c>
      <c r="CA29" s="77">
        <v>-150</v>
      </c>
    </row>
    <row r="30" spans="1:79" ht="15" customHeight="1" x14ac:dyDescent="0.25">
      <c r="A30" s="13">
        <f>IF('Alternative 2'!F31&gt;0,'Alternative 2'!F31,"x")</f>
        <v>28</v>
      </c>
      <c r="B30" s="13">
        <f t="shared" si="17"/>
        <v>9</v>
      </c>
      <c r="C30" s="13">
        <f t="shared" si="12"/>
        <v>4.5</v>
      </c>
      <c r="D30" s="13">
        <f t="shared" si="13"/>
        <v>28</v>
      </c>
      <c r="E30" s="74">
        <f>IF($A30&lt;='Alternative 2'!$B$27, IF($A30='Alternative 2'!$B$27,0,E31+1),0)</f>
        <v>0</v>
      </c>
      <c r="F30" s="74">
        <f>IF($A30&lt;=('Alternative 2'!$B$28), IF($A30=ROUNDDOWN('Alternative 2'!$B$28,0),0,F31+1),0)</f>
        <v>0</v>
      </c>
      <c r="G30" s="74">
        <f>IF($A30&lt;=('Alternative 2'!$B$29), IF($A30=ROUNDDOWN('Alternative 2'!$B$29,0),0,G31+1),0)</f>
        <v>1</v>
      </c>
      <c r="H30" s="13">
        <f t="shared" si="14"/>
        <v>9</v>
      </c>
      <c r="J30" s="77">
        <f t="shared" si="15"/>
        <v>27</v>
      </c>
      <c r="K30" s="77">
        <f t="shared" si="16"/>
        <v>0.47123889803846897</v>
      </c>
      <c r="L30" s="78">
        <f>'Alternative 2'!$B$27*SIN(K30)+'Alternative 2'!$B$28*SIN(K30)+'Alternative 2'!$B$29*SIN(K30)</f>
        <v>30.871353982289179</v>
      </c>
      <c r="M30" s="77">
        <f>(('Alternative 2'!$B$27)*(((('Alternative 2'!$B$28-'Alternative 2'!$B$27)/2)+'Alternative 2'!$B$27)*'Alternative 2'!$B$39)*COS('Alternative 2-Tilt Up'!K30))+(('Alternative 2'!$B$28)*((('Alternative 2'!$B$28-'Alternative 2'!$B$27)/2)+(('Alternative 2'!$B$29-'Alternative 2'!$B$28)/2))*('Alternative 2'!$B$39)*COS('Alternative 2-Tilt Up'!K30))+(('Alternative 2'!$B$29)*((('Alternative 2'!$B$12-'Alternative 2'!$B$29+(('Alternative 2'!$B$29-'Alternative 2'!$B$28)/2)*('Alternative 2'!$B$39)*COS('Alternative 2-Tilt Up'!K30)))))</f>
        <v>4228838.4562037447</v>
      </c>
      <c r="N30" s="77">
        <f t="shared" si="0"/>
        <v>410947.81187405833</v>
      </c>
      <c r="O30" s="77">
        <f>(((('Alternative 2'!$B$28-'Alternative 2'!$B$27)/2)+'Alternative 2'!$B$27)*('Alternative 2'!$B$39)*COS('Alternative 2-Tilt Up'!K30))+(((('Alternative 2'!$B$28-'Alternative 2'!$B$27)/2)+(('Alternative 2'!$B$29-'Alternative 2'!$B$28)/2))*('Alternative 2'!$B$39)*COS('Alternative 2-Tilt Up'!K30))+(((('Alternative 2'!$B$12-'Alternative 2'!$B$29)+(('Alternative 2'!$B$29-'Alternative 2'!$B$28)/2))*('Alternative 2'!$B$39)*COS('Alternative 2-Tilt Up'!K30)))</f>
        <v>272754.83398681926</v>
      </c>
      <c r="P30" s="77">
        <f t="shared" si="1"/>
        <v>366157.18148072</v>
      </c>
      <c r="R30" s="78">
        <f>'Alternative 2'!$B$39*$B30*$C30*COS($K$5)-($N$5/3)*$E30*SIN($K$5)-($N$5/3)*$F30*SIN($K$5)-($N$5/3)*$G30*SIN($K$5)</f>
        <v>274421.84999453055</v>
      </c>
      <c r="S30" s="79">
        <f>IF(($A30&lt;'Alternative 2'!$B$27),(($H30*'Alternative 2'!$B$39)+(3*($N$5/3)*COS($K$5))),IF(($A30&lt;'Alternative 2'!$B$28),(($H30*'Alternative 2'!$B$39)+(2*(($N$5/3)*COS($K$5)))),IF(($A30&lt;'Alternative 2'!$B$29),(($H$3*'Alternative 2'!$B$39+(($N$5/3)*COS($K$5)))),($H30*'Alternative 2'!$B$39))))</f>
        <v>2303591.7836996038</v>
      </c>
      <c r="T30" s="78">
        <f>R30*'Alternative 2'!$K31/'Alternative 2'!$L31</f>
        <v>7186956.9661603868</v>
      </c>
      <c r="U30" s="78">
        <f>S30/'Alternative 2'!$M31</f>
        <v>1206594.8252839653</v>
      </c>
      <c r="V30" s="78">
        <f t="shared" si="2"/>
        <v>8.3935517914443523</v>
      </c>
      <c r="X30" s="78">
        <f>'Alternative 2'!$B$39*$B30*$C30*COS($K$13)-($N$12/3)*$E30*SIN($K$13)-($N$12/3)*$F30*SIN($K$13)-($N$12/3)*$G30*SIN($K$13)</f>
        <v>262630.78503891447</v>
      </c>
      <c r="Y30" s="79">
        <f>IF(($A30&lt;'Alternative 2'!$B$27),(($H30*'Alternative 2'!$B$39)+(3*($N$12/3)*COS($K$13))),IF(($A30&lt;'Alternative 2'!$B$28),(($H30*'Alternative 2'!$B$39)+(2*(($N$12/3)*COS($K$13)))),IF(($A30&lt;'Alternative 2'!$B$29),(($H$3*'Alternative 2'!$B$39+(($N$12/3)*COS($K$13)))),($H30*'Alternative 2'!$B$39))))</f>
        <v>740098.46863391146</v>
      </c>
      <c r="Z30" s="78">
        <f>X30*'Alternative 2'!$K31/'Alternative 2'!$L31</f>
        <v>6878155.4752335399</v>
      </c>
      <c r="AA30" s="78">
        <f>Y30/'Alternative 2'!$M31</f>
        <v>387655.04755364888</v>
      </c>
      <c r="AB30" s="78">
        <f t="shared" si="3"/>
        <v>7.2658105227871888</v>
      </c>
      <c r="AD30" s="78">
        <f>'Alternative 2'!$B$39*$B30*$C30*COS($K$23)-($N$22/3)*$E30*SIN($K$23)-($N$22/3)*$F30*SIN($K$23)-($N$22/3)*$G30*SIN($K$23)</f>
        <v>254287.73684646533</v>
      </c>
      <c r="AE30" s="79">
        <f>IF(($A30&lt;'Alternative 2'!$B$27),(($H30*'Alternative 2'!$B$39)+(3*($N$22/3)*COS($K$23))),IF(($A30&lt;'Alternative 2'!$B$28),(($H30*'Alternative 2'!$B$39)+(2*(($N$22/3)*COS($K$23)))),IF(($A30&lt;'Alternative 2'!$B$29),(($H$3*'Alternative 2'!$B$39+(($N$22/3)*COS($K$23)))),($H30*'Alternative 2'!$B$39))))</f>
        <v>496597.59167774895</v>
      </c>
      <c r="AF30" s="78">
        <f>AD30*'Alternative 2'!$K31/'Alternative 2'!$L31</f>
        <v>6659655.6424872428</v>
      </c>
      <c r="AG30" s="78">
        <f>AE30/'Alternative 2'!$M31</f>
        <v>260112.09477598494</v>
      </c>
      <c r="AH30" s="78">
        <f t="shared" si="4"/>
        <v>6.9197677372632276</v>
      </c>
      <c r="AJ30" s="78">
        <f>'Alternative 2'!$B$39*$B30*$C30*COS($K$33)-($N$32/3)*$E30*SIN($K$33)-($N$32/3)*$F30*SIN($K$33)-($N$32/3)*$G30*SIN($K$33)</f>
        <v>235288.24375935085</v>
      </c>
      <c r="AK30" s="79">
        <f>IF(($A30&lt;'Alternative 2'!$B$27),(($H30*'Alternative 2'!$B$39)+(3*($N$32/3)*COS($K$33))),IF(($A30&lt;'Alternative 2'!$B$28),(($H30*'Alternative 2'!$B$39)+(2*(($N$32/3)*COS($K$33)))),IF(($A30&lt;'Alternative 2'!$B$29),(($H$3*'Alternative 2'!$B$39+(($N$32/3)*COS($K$33)))),($H30*'Alternative 2'!$B$39))))</f>
        <v>415166.05643987219</v>
      </c>
      <c r="AL30" s="78">
        <f>AJ30*'Alternative 2'!$K31/'Alternative 2'!$L31</f>
        <v>6162069.3927091183</v>
      </c>
      <c r="AM30" s="78">
        <f>AK30/'Alternative 2'!$M31</f>
        <v>217459.19519186151</v>
      </c>
      <c r="AN30" s="78">
        <f t="shared" si="5"/>
        <v>6.3795285879009791</v>
      </c>
      <c r="AP30" s="78">
        <f>'Alternative 2'!$B$39*$B30*$C30*COS($K$43)-($N$42/3)*$E30*SIN($K$43)-($N$42/3)*$F30*SIN($K$43)-($N$42/3)*$G30*SIN($K$43)</f>
        <v>208411.23107023776</v>
      </c>
      <c r="AQ30" s="79">
        <f>IF(($A30&lt;'Alternative 2'!$B$27),(($H30*'Alternative 2'!$B$39)+(3*($N$42/3)*COS($K$43))),IF(($A30&lt;'Alternative 2'!$B$28),(($H30*'Alternative 2'!$B$39)+(2*(($N$42/3)*COS($K$43)))),IF(($A30&lt;'Alternative 2'!$B$29),(($H$3*'Alternative 2'!$B$39+(($N$42/3)*COS($K$43)))),($H30*'Alternative 2'!$B$39))))</f>
        <v>372146.51651041314</v>
      </c>
      <c r="AR30" s="78">
        <f>AP30*'Alternative 2'!$K31/'Alternative 2'!$L31</f>
        <v>5458175.2473287405</v>
      </c>
      <c r="AS30" s="78">
        <f>AQ30/'Alternative 2'!$M31</f>
        <v>194926.05601664766</v>
      </c>
      <c r="AT30" s="78">
        <f t="shared" si="6"/>
        <v>5.6531013033453874</v>
      </c>
      <c r="AV30" s="78">
        <f>'Alternative 2'!$B$39*$B30*$C30*COS($K$53)-($N$52/3)*$E30*SIN($K$53)-($N$52/3)*$F30*SIN($K$53)-($N$52/3)*$G30*SIN($K$53)</f>
        <v>174887.47848001518</v>
      </c>
      <c r="AW30" s="79">
        <f>IF(($A30&lt;'Alternative 2'!$B$27),(($H30*'Alternative 2'!$B$39)+(3*($N$52/3)*COS($K$53))),IF(($A30&lt;'Alternative 2'!$B$28),(($H30*'Alternative 2'!$B$39)+(2*(($N$52/3)*COS($K$53)))),IF(($A30&lt;'Alternative 2'!$B$29),(($H$3*'Alternative 2'!$B$39+(($N$52/3)*COS($K$53)))),($H30*'Alternative 2'!$B$39))))</f>
        <v>345120.30506969942</v>
      </c>
      <c r="AX30" s="78">
        <f>AV30*'Alternative 2'!$K31/'Alternative 2'!$L31</f>
        <v>4580206.6481995555</v>
      </c>
      <c r="AY30" s="78">
        <f>AW30/'Alternative 2'!$M31</f>
        <v>180770.03796599121</v>
      </c>
      <c r="AZ30" s="78">
        <f t="shared" si="7"/>
        <v>4.7609766861655469</v>
      </c>
      <c r="BB30" s="78">
        <f>'Alternative 2'!$B$39*$B30*$C30*COS($K$63)-($N$62/3)*$E30*SIN($K$63)-($N$62/3)*$F30*SIN($K$63)-($N$62/3)*$G30*SIN($K$63)</f>
        <v>135872.07139585796</v>
      </c>
      <c r="BC30" s="79">
        <f>IF(($A30&lt;'Alternative 2'!$B$27),(($H30*'Alternative 2'!$B$39)+(3*($N$62/3)*COS($K$63))),IF(($A30&lt;'Alternative 2'!$B$28),(($H30*'Alternative 2'!$B$39)+(2*(($N$62/3)*COS($K$63)))),IF(($A30&lt;'Alternative 2'!$B$29),(($H$3*'Alternative 2'!$B$39+(($N$62/3)*COS($K$63)))),($H30*'Alternative 2'!$B$39))))</f>
        <v>327089.4855322786</v>
      </c>
      <c r="BD30" s="78">
        <f>BB30*'Alternative 2'!$K31/'Alternative 2'!$L31</f>
        <v>3558414.645351911</v>
      </c>
      <c r="BE30" s="78">
        <f>BC30/'Alternative 2'!$M31</f>
        <v>171325.70251409936</v>
      </c>
      <c r="BF30" s="78">
        <f t="shared" si="8"/>
        <v>3.7297403478660103</v>
      </c>
      <c r="BH30" s="78">
        <f>'Alternative 2'!$B$39*$B30*$C30*COS($K$73)-($N$72/3)*$E30*SIN($K$73)-($N$72/3)*$F30*SIN($K$73)-($N$72/3)*$G30*SIN($K$73)</f>
        <v>92608.387364477327</v>
      </c>
      <c r="BI30" s="79">
        <f>IF(($A30&lt;'Alternative 2'!$B$27),(($H30*'Alternative 2'!$B$39)+(3*($N$72/3)*COS($K$73))),IF(($A30&lt;'Alternative 2'!$B$28),(($H30*'Alternative 2'!$B$39)+(2*(($N$72/3)*COS($K$73)))),IF(($A30&lt;'Alternative 2'!$B$29),(($H$3*'Alternative 2'!$B$39+(($N$72/3)*COS($K$73)))),($H30*'Alternative 2'!$B$39))))</f>
        <v>315284.01606893499</v>
      </c>
      <c r="BJ30" s="78">
        <f>BH30*'Alternative 2'!$K31/'Alternative 2'!$L31</f>
        <v>2425362.6112763076</v>
      </c>
      <c r="BK30" s="78">
        <f>BI30/'Alternative 2'!$M31</f>
        <v>165142.13367811337</v>
      </c>
      <c r="BL30" s="78">
        <f t="shared" si="9"/>
        <v>2.5905047449544214</v>
      </c>
      <c r="BN30" s="78">
        <f>'Alternative 2'!$B$39*$B30*$C30*COS($K$83)-($N$82/3)*$E30*SIN($K$83)-($N$82/3)*$F30*SIN($K$83)-($N$82/3)*$G30*SIN($K$83)</f>
        <v>46438.662420606401</v>
      </c>
      <c r="BO30" s="79">
        <f>IF(($A30&lt;'Alternative 2'!$B$27),(($H30*'Alternative 2'!$B$39)+(3*($N$82/3)*COS($K$83))),IF(($A30&lt;'Alternative 2'!$B$28),(($H30*'Alternative 2'!$B$39)+(2*(($N$82/3)*COS($K$83)))),IF(($A30&lt;'Alternative 2'!$B$29),(($H$3*'Alternative 2'!$B$39+(($N$82/3)*COS($K$83)))),($H30*'Alternative 2'!$B$39))))</f>
        <v>308476.18998899439</v>
      </c>
      <c r="BP30" s="78">
        <f>BN30*'Alternative 2'!$K31/'Alternative 2'!$L31</f>
        <v>1216202.9677651387</v>
      </c>
      <c r="BQ30" s="78">
        <f>BO30/'Alternative 2'!$M31</f>
        <v>161576.27284390893</v>
      </c>
      <c r="BR30" s="78">
        <f t="shared" si="10"/>
        <v>1.3777792406090477</v>
      </c>
      <c r="BT30" s="78">
        <f>'Alternative 2'!$B$39*$B30*$C30*COS($K$93)-($K$92/3)*$E30*SIN($K$93)-($K$92/3)*$F30*SIN($K$93)-($K$92/3)*$G30*SIN($K$93)</f>
        <v>-0.51778101140388832</v>
      </c>
      <c r="BU30" s="79">
        <f>IF(($A30&lt;'Alternative 2'!$B$27),(($H30*'Alternative 2'!$B$39)+(3*($N$92/3)*COS($K$93))),IF(($A30&lt;'Alternative 2'!$B$28),(($H30*'Alternative 2'!$B$39)+(2*(($N$92/3)*COS($K$93)))),IF(($A30&lt;'Alternative 2'!$B$29),(($H$3*'Alternative 2'!$B$39+(($N$92/3)*COS($K$93)))),($H30*'Alternative 2'!$B$39))))</f>
        <v>306119.90662501159</v>
      </c>
      <c r="BV30" s="78">
        <f>BT30*'Alternative 2'!$K31/'Alternative 2'!$L31</f>
        <v>-13.560399242731268</v>
      </c>
      <c r="BW30" s="78">
        <f>BU30/'Alternative 2'!$M31</f>
        <v>160342.07877619163</v>
      </c>
      <c r="BX30" s="78">
        <f t="shared" si="11"/>
        <v>0.16032851837694889</v>
      </c>
      <c r="BZ30" s="77">
        <v>150</v>
      </c>
      <c r="CA30" s="77">
        <v>-150</v>
      </c>
    </row>
    <row r="31" spans="1:79" ht="15" customHeight="1" x14ac:dyDescent="0.25">
      <c r="A31" s="13">
        <f>IF('Alternative 2'!F32&gt;0,'Alternative 2'!F32,"x")</f>
        <v>29</v>
      </c>
      <c r="B31" s="13">
        <f t="shared" si="17"/>
        <v>8</v>
      </c>
      <c r="C31" s="13">
        <f t="shared" si="12"/>
        <v>4</v>
      </c>
      <c r="D31" s="13">
        <f t="shared" si="13"/>
        <v>29</v>
      </c>
      <c r="E31" s="74">
        <f>IF($A31&lt;='Alternative 2'!$B$27, IF($A31='Alternative 2'!$B$27,0,E32+1),0)</f>
        <v>0</v>
      </c>
      <c r="F31" s="74">
        <f>IF($A31&lt;=('Alternative 2'!$B$28), IF($A31=ROUNDDOWN('Alternative 2'!$B$28,0),0,F32+1),0)</f>
        <v>0</v>
      </c>
      <c r="G31" s="74">
        <f>IF($A31&lt;=('Alternative 2'!$B$29), IF($A31=ROUNDDOWN('Alternative 2'!$B$29,0),0,G32+1),0)</f>
        <v>0</v>
      </c>
      <c r="H31" s="13">
        <f t="shared" si="14"/>
        <v>8</v>
      </c>
      <c r="J31" s="77">
        <f t="shared" si="15"/>
        <v>28</v>
      </c>
      <c r="K31" s="77">
        <f t="shared" si="16"/>
        <v>0.48869219055841229</v>
      </c>
      <c r="L31" s="78">
        <f>'Alternative 2'!$B$27*SIN(K31)+'Alternative 2'!$B$28*SIN(K31)+'Alternative 2'!$B$29*SIN(K31)</f>
        <v>31.924066269440576</v>
      </c>
      <c r="M31" s="77">
        <f>(('Alternative 2'!$B$27)*(((('Alternative 2'!$B$28-'Alternative 2'!$B$27)/2)+'Alternative 2'!$B$27)*'Alternative 2'!$B$39)*COS('Alternative 2-Tilt Up'!K31))+(('Alternative 2'!$B$28)*((('Alternative 2'!$B$28-'Alternative 2'!$B$27)/2)+(('Alternative 2'!$B$29-'Alternative 2'!$B$28)/2))*('Alternative 2'!$B$39)*COS('Alternative 2-Tilt Up'!K31))+(('Alternative 2'!$B$29)*((('Alternative 2'!$B$12-'Alternative 2'!$B$29+(('Alternative 2'!$B$29-'Alternative 2'!$B$28)/2)*('Alternative 2'!$B$39)*COS('Alternative 2-Tilt Up'!K31)))))</f>
        <v>4190591.4386801785</v>
      </c>
      <c r="N31" s="77">
        <f t="shared" si="0"/>
        <v>393802.41257282783</v>
      </c>
      <c r="O31" s="77">
        <f>(((('Alternative 2'!$B$28-'Alternative 2'!$B$27)/2)+'Alternative 2'!$B$27)*('Alternative 2'!$B$39)*COS('Alternative 2-Tilt Up'!K31))+(((('Alternative 2'!$B$28-'Alternative 2'!$B$27)/2)+(('Alternative 2'!$B$29-'Alternative 2'!$B$28)/2))*('Alternative 2'!$B$39)*COS('Alternative 2-Tilt Up'!K31))+(((('Alternative 2'!$B$12-'Alternative 2'!$B$29)+(('Alternative 2'!$B$29-'Alternative 2'!$B$28)/2))*('Alternative 2'!$B$39)*COS('Alternative 2-Tilt Up'!K31)))</f>
        <v>270287.83468075341</v>
      </c>
      <c r="P31" s="77">
        <f t="shared" si="1"/>
        <v>347706.8922432164</v>
      </c>
      <c r="R31" s="78">
        <f>'Alternative 2'!$B$39*$B31*$C31*COS($K$5)-($N$5/3)*$E31*SIN($K$5)-($N$5/3)*$F31*SIN($K$5)-($N$5/3)*$G31*SIN($K$5)</f>
        <v>271940.82368798106</v>
      </c>
      <c r="S31" s="79">
        <f>IF(($A31&lt;'Alternative 2'!$B$27),(($H31*'Alternative 2'!$B$39)+(3*($N$5/3)*COS($K$5))),IF(($A31&lt;'Alternative 2'!$B$28),(($H31*'Alternative 2'!$B$39)+(2*(($N$5/3)*COS($K$5)))),IF(($A31&lt;'Alternative 2'!$B$29),(($H$3*'Alternative 2'!$B$39+(($N$5/3)*COS($K$5)))),($H31*'Alternative 2'!$B$39))))</f>
        <v>2303591.7836996038</v>
      </c>
      <c r="T31" s="78">
        <f>R31*'Alternative 2'!$K32/'Alternative 2'!$L32</f>
        <v>7307221.1098649828</v>
      </c>
      <c r="U31" s="78">
        <f>S31/'Alternative 2'!$M32</f>
        <v>1237978.0430087</v>
      </c>
      <c r="V31" s="78">
        <f t="shared" si="2"/>
        <v>8.5451991528736837</v>
      </c>
      <c r="X31" s="78">
        <f>'Alternative 2'!$B$39*$B31*$C31*COS($K$13)-($N$12/3)*$E31*SIN($K$13)-($N$12/3)*$F31*SIN($K$13)-($N$12/3)*$G31*SIN($K$13)</f>
        <v>267972.67324060854</v>
      </c>
      <c r="Y31" s="79">
        <f>IF(($A31&lt;'Alternative 2'!$B$27),(($H31*'Alternative 2'!$B$39)+(3*($N$12/3)*COS($K$13))),IF(($A31&lt;'Alternative 2'!$B$28),(($H31*'Alternative 2'!$B$39)+(2*(($N$12/3)*COS($K$13)))),IF(($A31&lt;'Alternative 2'!$B$29),(($H$3*'Alternative 2'!$B$39+(($N$12/3)*COS($K$13)))),($H31*'Alternative 2'!$B$39))))</f>
        <v>740098.46863391146</v>
      </c>
      <c r="Z31" s="78">
        <f>X31*'Alternative 2'!$K32/'Alternative 2'!$L32</f>
        <v>7200594.4095302438</v>
      </c>
      <c r="AA31" s="78">
        <f>Y31/'Alternative 2'!$M32</f>
        <v>397737.85456105118</v>
      </c>
      <c r="AB31" s="78">
        <f t="shared" si="3"/>
        <v>7.5983322640912956</v>
      </c>
      <c r="AD31" s="78">
        <f>'Alternative 2'!$B$39*$B31*$C31*COS($K$23)-($N$22/3)*$E31*SIN($K$23)-($N$22/3)*$F31*SIN($K$23)-($N$22/3)*$G31*SIN($K$23)</f>
        <v>255696.54873883972</v>
      </c>
      <c r="AE31" s="79">
        <f>IF(($A31&lt;'Alternative 2'!$B$27),(($H31*'Alternative 2'!$B$39)+(3*($N$22/3)*COS($K$23))),IF(($A31&lt;'Alternative 2'!$B$28),(($H31*'Alternative 2'!$B$39)+(2*(($N$22/3)*COS($K$23)))),IF(($A31&lt;'Alternative 2'!$B$29),(($H$3*'Alternative 2'!$B$39+(($N$22/3)*COS($K$23)))),($H31*'Alternative 2'!$B$39))))</f>
        <v>496597.59167774895</v>
      </c>
      <c r="AF31" s="78">
        <f>AD31*'Alternative 2'!$K32/'Alternative 2'!$L32</f>
        <v>6870727.2167707598</v>
      </c>
      <c r="AG31" s="78">
        <f>AE31/'Alternative 2'!$M32</f>
        <v>266877.54273924005</v>
      </c>
      <c r="AH31" s="78">
        <f t="shared" si="4"/>
        <v>7.1376047595100003</v>
      </c>
      <c r="AJ31" s="78">
        <f>'Alternative 2'!$B$39*$B31*$C31*COS($K$33)-($N$32/3)*$E31*SIN($K$33)-($N$32/3)*$F31*SIN($K$33)-($N$32/3)*$G31*SIN($K$33)</f>
        <v>235651.21399233805</v>
      </c>
      <c r="AK31" s="79">
        <f>IF(($A31&lt;'Alternative 2'!$B$27),(($H31*'Alternative 2'!$B$39)+(3*($N$32/3)*COS($K$33))),IF(($A31&lt;'Alternative 2'!$B$28),(($H31*'Alternative 2'!$B$39)+(2*(($N$32/3)*COS($K$33)))),IF(($A31&lt;'Alternative 2'!$B$29),(($H$3*'Alternative 2'!$B$39+(($N$32/3)*COS($K$33)))),($H31*'Alternative 2'!$B$39))))</f>
        <v>415166.05643987219</v>
      </c>
      <c r="AL31" s="78">
        <f>AJ31*'Alternative 2'!$K32/'Alternative 2'!$L32</f>
        <v>6332096.454285427</v>
      </c>
      <c r="AM31" s="78">
        <f>AK31/'Alternative 2'!$M32</f>
        <v>223115.25232549425</v>
      </c>
      <c r="AN31" s="78">
        <f t="shared" si="5"/>
        <v>6.5552117066109208</v>
      </c>
      <c r="AP31" s="78">
        <f>'Alternative 2'!$B$39*$B31*$C31*COS($K$43)-($N$42/3)*$E31*SIN($K$43)-($N$42/3)*$F31*SIN($K$43)-($N$42/3)*$G31*SIN($K$43)</f>
        <v>208445.73635394714</v>
      </c>
      <c r="AQ31" s="79">
        <f>IF(($A31&lt;'Alternative 2'!$B$27),(($H31*'Alternative 2'!$B$39)+(3*($N$42/3)*COS($K$43))),IF(($A31&lt;'Alternative 2'!$B$28),(($H31*'Alternative 2'!$B$39)+(2*(($N$42/3)*COS($K$43)))),IF(($A31&lt;'Alternative 2'!$B$29),(($H$3*'Alternative 2'!$B$39+(($N$42/3)*COS($K$43)))),($H31*'Alternative 2'!$B$39))))</f>
        <v>372146.51651041314</v>
      </c>
      <c r="AR31" s="78">
        <f>AP31*'Alternative 2'!$K32/'Alternative 2'!$L32</f>
        <v>5601068.1452320404</v>
      </c>
      <c r="AS31" s="78">
        <f>AQ31/'Alternative 2'!$M32</f>
        <v>199996.03205831899</v>
      </c>
      <c r="AT31" s="78">
        <f t="shared" si="6"/>
        <v>5.8010641772903595</v>
      </c>
      <c r="AV31" s="78">
        <f>'Alternative 2'!$B$39*$B31*$C31*COS($K$53)-($N$52/3)*$E31*SIN($K$53)-($N$52/3)*$F31*SIN($K$53)-($N$52/3)*$G31*SIN($K$53)</f>
        <v>174906.74049507361</v>
      </c>
      <c r="AW31" s="79">
        <f>IF(($A31&lt;'Alternative 2'!$B$27),(($H31*'Alternative 2'!$B$39)+(3*($N$52/3)*COS($K$53))),IF(($A31&lt;'Alternative 2'!$B$28),(($H31*'Alternative 2'!$B$39)+(2*(($N$52/3)*COS($K$53)))),IF(($A31&lt;'Alternative 2'!$B$29),(($H$3*'Alternative 2'!$B$39+(($N$52/3)*COS($K$53)))),($H31*'Alternative 2'!$B$39))))</f>
        <v>345120.30506969942</v>
      </c>
      <c r="AX31" s="78">
        <f>AV31*'Alternative 2'!$K32/'Alternative 2'!$L32</f>
        <v>4699854.2148630172</v>
      </c>
      <c r="AY31" s="78">
        <f>AW31/'Alternative 2'!$M32</f>
        <v>185471.81965833364</v>
      </c>
      <c r="AZ31" s="78">
        <f t="shared" si="7"/>
        <v>4.8853260345213503</v>
      </c>
      <c r="BB31" s="78">
        <f>'Alternative 2'!$B$39*$B31*$C31*COS($K$63)-($N$62/3)*$E31*SIN($K$63)-($N$62/3)*$F31*SIN($K$63)-($N$62/3)*$G31*SIN($K$63)</f>
        <v>136053.2918333385</v>
      </c>
      <c r="BC31" s="79">
        <f>IF(($A31&lt;'Alternative 2'!$B$27),(($H31*'Alternative 2'!$B$39)+(3*($N$62/3)*COS($K$63))),IF(($A31&lt;'Alternative 2'!$B$28),(($H31*'Alternative 2'!$B$39)+(2*(($N$62/3)*COS($K$63)))),IF(($A31&lt;'Alternative 2'!$B$29),(($H$3*'Alternative 2'!$B$39+(($N$62/3)*COS($K$63)))),($H31*'Alternative 2'!$B$39))))</f>
        <v>327089.4855322786</v>
      </c>
      <c r="BD31" s="78">
        <f>BB31*'Alternative 2'!$K32/'Alternative 2'!$L32</f>
        <v>3655837.5924163666</v>
      </c>
      <c r="BE31" s="78">
        <f>BC31/'Alternative 2'!$M32</f>
        <v>175781.83949660108</v>
      </c>
      <c r="BF31" s="78">
        <f t="shared" si="8"/>
        <v>3.8316194319129675</v>
      </c>
      <c r="BH31" s="78">
        <f>'Alternative 2'!$B$39*$B31*$C31*COS($K$73)-($N$72/3)*$E31*SIN($K$73)-($N$72/3)*$F31*SIN($K$73)-($N$72/3)*$G31*SIN($K$73)</f>
        <v>93065.932745534941</v>
      </c>
      <c r="BI31" s="79">
        <f>IF(($A31&lt;'Alternative 2'!$B$27),(($H31*'Alternative 2'!$B$39)+(3*($N$72/3)*COS($K$73))),IF(($A31&lt;'Alternative 2'!$B$28),(($H31*'Alternative 2'!$B$39)+(2*(($N$72/3)*COS($K$73)))),IF(($A31&lt;'Alternative 2'!$B$29),(($H$3*'Alternative 2'!$B$39+(($N$72/3)*COS($K$73)))),($H31*'Alternative 2'!$B$39))))</f>
        <v>315284.01606893499</v>
      </c>
      <c r="BJ31" s="78">
        <f>BH31*'Alternative 2'!$K32/'Alternative 2'!$L32</f>
        <v>2500740.1946672266</v>
      </c>
      <c r="BK31" s="78">
        <f>BI31/'Alternative 2'!$M32</f>
        <v>169437.43764274602</v>
      </c>
      <c r="BL31" s="78">
        <f t="shared" si="9"/>
        <v>2.6701776323099726</v>
      </c>
      <c r="BN31" s="78">
        <f>'Alternative 2'!$B$39*$B31*$C31*COS($K$83)-($N$82/3)*$E31*SIN($K$83)-($N$82/3)*$F31*SIN($K$83)-($N$82/3)*$G31*SIN($K$83)</f>
        <v>47250.812384892582</v>
      </c>
      <c r="BO31" s="79">
        <f>IF(($A31&lt;'Alternative 2'!$B$27),(($H31*'Alternative 2'!$B$39)+(3*($N$82/3)*COS($K$83))),IF(($A31&lt;'Alternative 2'!$B$28),(($H31*'Alternative 2'!$B$39)+(2*(($N$82/3)*COS($K$83)))),IF(($A31&lt;'Alternative 2'!$B$29),(($H$3*'Alternative 2'!$B$39+(($N$82/3)*COS($K$83)))),($H31*'Alternative 2'!$B$39))))</f>
        <v>308476.18998899439</v>
      </c>
      <c r="BP31" s="78">
        <f>BN31*'Alternative 2'!$K32/'Alternative 2'!$L32</f>
        <v>1269659.0715387203</v>
      </c>
      <c r="BQ31" s="78">
        <f>BO31/'Alternative 2'!$M32</f>
        <v>165778.82969526798</v>
      </c>
      <c r="BR31" s="78">
        <f t="shared" si="10"/>
        <v>1.4354379012339884</v>
      </c>
      <c r="BT31" s="78">
        <f>'Alternative 2'!$B$39*$B31*$C31*COS($K$93)-($K$92/3)*$E31*SIN($K$93)-($K$92/3)*$F31*SIN($K$93)-($K$92/3)*$G31*SIN($K$93)</f>
        <v>1.6668548027484621E-11</v>
      </c>
      <c r="BU31" s="79">
        <f>IF(($A31&lt;'Alternative 2'!$B$27),(($H31*'Alternative 2'!$B$39)+(3*($N$92/3)*COS($K$93))),IF(($A31&lt;'Alternative 2'!$B$28),(($H31*'Alternative 2'!$B$39)+(2*(($N$92/3)*COS($K$93)))),IF(($A31&lt;'Alternative 2'!$B$29),(($H$3*'Alternative 2'!$B$39+(($N$92/3)*COS($K$93)))),($H31*'Alternative 2'!$B$39))))</f>
        <v>306119.90662501159</v>
      </c>
      <c r="BV31" s="78">
        <f>BT31*'Alternative 2'!$K32/'Alternative 2'!$L32</f>
        <v>4.4789437777457599E-10</v>
      </c>
      <c r="BW31" s="78">
        <f>BU31/'Alternative 2'!$M32</f>
        <v>164512.5345607053</v>
      </c>
      <c r="BX31" s="78">
        <f t="shared" si="11"/>
        <v>0.16451253456070575</v>
      </c>
      <c r="BZ31" s="77">
        <v>150</v>
      </c>
      <c r="CA31" s="77">
        <v>-150</v>
      </c>
    </row>
    <row r="32" spans="1:79" ht="15" customHeight="1" x14ac:dyDescent="0.25">
      <c r="A32" s="13">
        <f>IF('Alternative 2'!F33&gt;0,'Alternative 2'!F33,"x")</f>
        <v>30</v>
      </c>
      <c r="B32" s="13">
        <f t="shared" si="17"/>
        <v>7</v>
      </c>
      <c r="C32" s="13">
        <f t="shared" si="12"/>
        <v>3.5</v>
      </c>
      <c r="D32" s="13">
        <f t="shared" si="13"/>
        <v>30</v>
      </c>
      <c r="E32" s="74">
        <f>IF($A32&lt;='Alternative 2'!$B$27, IF($A32='Alternative 2'!$B$27,0,E33+1),0)</f>
        <v>0</v>
      </c>
      <c r="F32" s="74">
        <f>IF($A32&lt;=('Alternative 2'!$B$28), IF($A32=ROUNDDOWN('Alternative 2'!$B$28,0),0,F33+1),0)</f>
        <v>0</v>
      </c>
      <c r="G32" s="74">
        <f>IF($A32&lt;=('Alternative 2'!$B$29), IF($A32=ROUNDDOWN('Alternative 2'!$B$29,0),0,G33+1),0)</f>
        <v>0</v>
      </c>
      <c r="H32" s="13">
        <f t="shared" si="14"/>
        <v>7</v>
      </c>
      <c r="J32" s="77">
        <f t="shared" si="15"/>
        <v>29</v>
      </c>
      <c r="K32" s="77">
        <f t="shared" si="16"/>
        <v>0.50614548307835561</v>
      </c>
      <c r="L32" s="78">
        <f>'Alternative 2'!$B$27*SIN(K32)+'Alternative 2'!$B$28*SIN(K32)+'Alternative 2'!$B$29*SIN(K32)</f>
        <v>32.967054176750921</v>
      </c>
      <c r="M32" s="77">
        <f>(('Alternative 2'!$B$27)*(((('Alternative 2'!$B$28-'Alternative 2'!$B$27)/2)+'Alternative 2'!$B$27)*'Alternative 2'!$B$39)*COS('Alternative 2-Tilt Up'!K32))+(('Alternative 2'!$B$28)*((('Alternative 2'!$B$28-'Alternative 2'!$B$27)/2)+(('Alternative 2'!$B$29-'Alternative 2'!$B$28)/2))*('Alternative 2'!$B$39)*COS('Alternative 2-Tilt Up'!K32))+(('Alternative 2'!$B$29)*((('Alternative 2'!$B$12-'Alternative 2'!$B$29+(('Alternative 2'!$B$29-'Alternative 2'!$B$28)/2)*('Alternative 2'!$B$39)*COS('Alternative 2-Tilt Up'!K32)))))</f>
        <v>4151067.9860003474</v>
      </c>
      <c r="N32" s="82">
        <f t="shared" si="0"/>
        <v>377746.94369821221</v>
      </c>
      <c r="O32" s="77">
        <f>(((('Alternative 2'!$B$28-'Alternative 2'!$B$27)/2)+'Alternative 2'!$B$27)*('Alternative 2'!$B$39)*COS('Alternative 2-Tilt Up'!K32))+(((('Alternative 2'!$B$28-'Alternative 2'!$B$27)/2)+(('Alternative 2'!$B$29-'Alternative 2'!$B$28)/2))*('Alternative 2'!$B$39)*COS('Alternative 2-Tilt Up'!K32))+(((('Alternative 2'!$B$12-'Alternative 2'!$B$29)+(('Alternative 2'!$B$29-'Alternative 2'!$B$28)/2))*('Alternative 2'!$B$39)*COS('Alternative 2-Tilt Up'!K32)))</f>
        <v>267738.50308190676</v>
      </c>
      <c r="P32" s="77">
        <f t="shared" si="1"/>
        <v>330384.92127013218</v>
      </c>
      <c r="R32" s="78">
        <f>'Alternative 2'!$B$39*$B32*$C32*COS($K$5)-($N$5/3)*$E32*SIN($K$5)-($N$5/3)*$F32*SIN($K$5)-($N$5/3)*$G32*SIN($K$5)</f>
        <v>208204.69313611049</v>
      </c>
      <c r="S32" s="79">
        <f>IF(($A32&lt;'Alternative 2'!$B$27),(($H32*'Alternative 2'!$B$39)+(3*($N$5/3)*COS($K$5))),IF(($A32&lt;'Alternative 2'!$B$28),(($H32*'Alternative 2'!$B$39)+(2*(($N$5/3)*COS($K$5)))),IF(($A32&lt;'Alternative 2'!$B$29),(($H$3*'Alternative 2'!$B$39+(($N$5/3)*COS($K$5)))),($H32*'Alternative 2'!$B$39))))</f>
        <v>59523.315177085584</v>
      </c>
      <c r="T32" s="78">
        <f>R32*'Alternative 2'!$K33/'Alternative 2'!$L33</f>
        <v>5742022.2662431486</v>
      </c>
      <c r="U32" s="78">
        <f>S32/'Alternative 2'!$M33</f>
        <v>32831.524552058392</v>
      </c>
      <c r="V32" s="78">
        <f t="shared" si="2"/>
        <v>5.7748537907952073</v>
      </c>
      <c r="X32" s="78">
        <f>'Alternative 2'!$B$39*$B32*$C32*COS($K$13)-($N$12/3)*$E32*SIN($K$13)-($N$12/3)*$F32*SIN($K$13)-($N$12/3)*$G32*SIN($K$13)</f>
        <v>205166.5779498409</v>
      </c>
      <c r="Y32" s="79">
        <f>IF(($A32&lt;'Alternative 2'!$B$27),(($H32*'Alternative 2'!$B$39)+(3*($N$12/3)*COS($K$13))),IF(($A32&lt;'Alternative 2'!$B$28),(($H32*'Alternative 2'!$B$39)+(2*(($N$12/3)*COS($K$13)))),IF(($A32&lt;'Alternative 2'!$B$29),(($H$3*'Alternative 2'!$B$39+(($N$12/3)*COS($K$13)))),($H32*'Alternative 2'!$B$39))))</f>
        <v>59523.315177085584</v>
      </c>
      <c r="Z32" s="78">
        <f>X32*'Alternative 2'!$K33/'Alternative 2'!$L33</f>
        <v>5658234.8895793241</v>
      </c>
      <c r="AA32" s="78">
        <f>Y32/'Alternative 2'!$M33</f>
        <v>32831.524552058392</v>
      </c>
      <c r="AB32" s="78">
        <f t="shared" si="3"/>
        <v>5.6910664141313827</v>
      </c>
      <c r="AD32" s="78">
        <f>'Alternative 2'!$B$39*$B32*$C32*COS($K$23)-($N$22/3)*$E32*SIN($K$23)-($N$22/3)*$F32*SIN($K$23)-($N$22/3)*$G32*SIN($K$23)</f>
        <v>195767.67012817418</v>
      </c>
      <c r="AE32" s="79">
        <f>IF(($A32&lt;'Alternative 2'!$B$27),(($H32*'Alternative 2'!$B$39)+(3*($N$22/3)*COS($K$23))),IF(($A32&lt;'Alternative 2'!$B$28),(($H32*'Alternative 2'!$B$39)+(2*(($N$22/3)*COS($K$23)))),IF(($A32&lt;'Alternative 2'!$B$29),(($H$3*'Alternative 2'!$B$39+(($N$22/3)*COS($K$23)))),($H32*'Alternative 2'!$B$39))))</f>
        <v>59523.315177085584</v>
      </c>
      <c r="AF32" s="78">
        <f>AD32*'Alternative 2'!$K33/'Alternative 2'!$L33</f>
        <v>5399024.8920645416</v>
      </c>
      <c r="AG32" s="78">
        <f>AE32/'Alternative 2'!$M33</f>
        <v>32831.524552058392</v>
      </c>
      <c r="AH32" s="78">
        <f t="shared" si="4"/>
        <v>5.4318564166165997</v>
      </c>
      <c r="AJ32" s="78">
        <f>'Alternative 2'!$B$39*$B32*$C32*COS($K$33)-($N$32/3)*$E32*SIN($K$33)-($N$32/3)*$F32*SIN($K$33)-($N$32/3)*$G32*SIN($K$33)</f>
        <v>180420.46071288383</v>
      </c>
      <c r="AK32" s="79">
        <f>IF(($A32&lt;'Alternative 2'!$B$27),(($H32*'Alternative 2'!$B$39)+(3*($N$32/3)*COS($K$33))),IF(($A32&lt;'Alternative 2'!$B$28),(($H32*'Alternative 2'!$B$39)+(2*(($N$32/3)*COS($K$33)))),IF(($A32&lt;'Alternative 2'!$B$29),(($H$3*'Alternative 2'!$B$39+(($N$32/3)*COS($K$33)))),($H32*'Alternative 2'!$B$39))))</f>
        <v>59523.315177085584</v>
      </c>
      <c r="AL32" s="78">
        <f>AJ32*'Alternative 2'!$K33/'Alternative 2'!$L33</f>
        <v>4975768.2552427957</v>
      </c>
      <c r="AM32" s="78">
        <f>AK32/'Alternative 2'!$M33</f>
        <v>32831.524552058392</v>
      </c>
      <c r="AN32" s="78">
        <f t="shared" si="5"/>
        <v>5.0085997797948538</v>
      </c>
      <c r="AP32" s="78">
        <f>'Alternative 2'!$B$39*$B32*$C32*COS($K$43)-($N$42/3)*$E32*SIN($K$43)-($N$42/3)*$F32*SIN($K$43)-($N$42/3)*$G32*SIN($K$43)</f>
        <v>159591.26689599079</v>
      </c>
      <c r="AQ32" s="79">
        <f>IF(($A32&lt;'Alternative 2'!$B$27),(($H32*'Alternative 2'!$B$39)+(3*($N$42/3)*COS($K$43))),IF(($A32&lt;'Alternative 2'!$B$28),(($H32*'Alternative 2'!$B$39)+(2*(($N$42/3)*COS($K$43)))),IF(($A32&lt;'Alternative 2'!$B$29),(($H$3*'Alternative 2'!$B$39+(($N$42/3)*COS($K$43)))),($H32*'Alternative 2'!$B$39))))</f>
        <v>59523.315177085584</v>
      </c>
      <c r="AR32" s="78">
        <f>AP32*'Alternative 2'!$K33/'Alternative 2'!$L33</f>
        <v>4401325.4178457242</v>
      </c>
      <c r="AS32" s="78">
        <f>AQ32/'Alternative 2'!$M33</f>
        <v>32831.524552058392</v>
      </c>
      <c r="AT32" s="78">
        <f t="shared" si="6"/>
        <v>4.4341569423977827</v>
      </c>
      <c r="AV32" s="78">
        <f>'Alternative 2'!$B$39*$B32*$C32*COS($K$53)-($N$52/3)*$E32*SIN($K$53)-($N$52/3)*$F32*SIN($K$53)-($N$52/3)*$G32*SIN($K$53)</f>
        <v>133912.97319154075</v>
      </c>
      <c r="AW32" s="79">
        <f>IF(($A32&lt;'Alternative 2'!$B$27),(($H32*'Alternative 2'!$B$39)+(3*($N$52/3)*COS($K$53))),IF(($A32&lt;'Alternative 2'!$B$28),(($H32*'Alternative 2'!$B$39)+(2*(($N$52/3)*COS($K$53)))),IF(($A32&lt;'Alternative 2'!$B$29),(($H$3*'Alternative 2'!$B$39+(($N$52/3)*COS($K$53)))),($H32*'Alternative 2'!$B$39))))</f>
        <v>59523.315177085584</v>
      </c>
      <c r="AX32" s="78">
        <f>AV32*'Alternative 2'!$K33/'Alternative 2'!$L33</f>
        <v>3693150.5348055358</v>
      </c>
      <c r="AY32" s="78">
        <f>AW32/'Alternative 2'!$M33</f>
        <v>32831.524552058392</v>
      </c>
      <c r="AZ32" s="78">
        <f t="shared" si="7"/>
        <v>3.7259820593575941</v>
      </c>
      <c r="BB32" s="78">
        <f>'Alternative 2'!$B$39*$B32*$C32*COS($K$63)-($N$62/3)*$E32*SIN($K$63)-($N$62/3)*$F32*SIN($K$63)-($N$62/3)*$G32*SIN($K$63)</f>
        <v>104165.8015598998</v>
      </c>
      <c r="BC32" s="79">
        <f>IF(($A32&lt;'Alternative 2'!$B$27),(($H32*'Alternative 2'!$B$39)+(3*($N$62/3)*COS($K$63))),IF(($A32&lt;'Alternative 2'!$B$28),(($H32*'Alternative 2'!$B$39)+(2*(($N$62/3)*COS($K$63)))),IF(($A32&lt;'Alternative 2'!$B$29),(($H$3*'Alternative 2'!$B$39+(($N$62/3)*COS($K$63)))),($H32*'Alternative 2'!$B$39))))</f>
        <v>59523.315177085584</v>
      </c>
      <c r="BD32" s="78">
        <f>BB32*'Alternative 2'!$K33/'Alternative 2'!$L33</f>
        <v>2872761.1415896234</v>
      </c>
      <c r="BE32" s="78">
        <f>BC32/'Alternative 2'!$M33</f>
        <v>32831.524552058392</v>
      </c>
      <c r="BF32" s="78">
        <f t="shared" si="8"/>
        <v>2.9055926661416818</v>
      </c>
      <c r="BH32" s="78">
        <f>'Alternative 2'!$B$39*$B32*$C32*COS($K$73)-($N$72/3)*$E32*SIN($K$73)-($N$72/3)*$F32*SIN($K$73)-($N$72/3)*$G32*SIN($K$73)</f>
        <v>71253.604758300193</v>
      </c>
      <c r="BI32" s="79">
        <f>IF(($A32&lt;'Alternative 2'!$B$27),(($H32*'Alternative 2'!$B$39)+(3*($N$72/3)*COS($K$73))),IF(($A32&lt;'Alternative 2'!$B$28),(($H32*'Alternative 2'!$B$39)+(2*(($N$72/3)*COS($K$73)))),IF(($A32&lt;'Alternative 2'!$B$29),(($H$3*'Alternative 2'!$B$39+(($N$72/3)*COS($K$73)))),($H32*'Alternative 2'!$B$39))))</f>
        <v>59523.315177085584</v>
      </c>
      <c r="BJ32" s="78">
        <f>BH32*'Alternative 2'!$K33/'Alternative 2'!$L33</f>
        <v>1965084.3547737894</v>
      </c>
      <c r="BK32" s="78">
        <f>BI32/'Alternative 2'!$M33</f>
        <v>32831.524552058392</v>
      </c>
      <c r="BL32" s="78">
        <f t="shared" si="9"/>
        <v>1.9979158793258478</v>
      </c>
      <c r="BN32" s="78">
        <f>'Alternative 2'!$B$39*$B32*$C32*COS($K$83)-($N$82/3)*$E32*SIN($K$83)-($N$82/3)*$F32*SIN($K$83)-($N$82/3)*$G32*SIN($K$83)</f>
        <v>36176.403232183387</v>
      </c>
      <c r="BO32" s="79">
        <f>IF(($A32&lt;'Alternative 2'!$B$27),(($H32*'Alternative 2'!$B$39)+(3*($N$82/3)*COS($K$83))),IF(($A32&lt;'Alternative 2'!$B$28),(($H32*'Alternative 2'!$B$39)+(2*(($N$82/3)*COS($K$83)))),IF(($A32&lt;'Alternative 2'!$B$29),(($H$3*'Alternative 2'!$B$39+(($N$82/3)*COS($K$83)))),($H32*'Alternative 2'!$B$39))))</f>
        <v>59523.315177085584</v>
      </c>
      <c r="BP32" s="78">
        <f>BN32*'Alternative 2'!$K33/'Alternative 2'!$L33</f>
        <v>997699.47421881731</v>
      </c>
      <c r="BQ32" s="78">
        <f>BO32/'Alternative 2'!$M33</f>
        <v>32831.524552058392</v>
      </c>
      <c r="BR32" s="78">
        <f t="shared" si="10"/>
        <v>1.0305309987708757</v>
      </c>
      <c r="BT32" s="78">
        <f>'Alternative 2'!$B$39*$B32*$C32*COS($K$93)-($K$92/3)*$E32*SIN($K$93)-($K$92/3)*$F32*SIN($K$93)-($K$92/3)*$G32*SIN($K$93)</f>
        <v>1.2761857083542913E-11</v>
      </c>
      <c r="BU32" s="79">
        <f>IF(($A32&lt;'Alternative 2'!$B$27),(($H32*'Alternative 2'!$B$39)+(3*($N$92/3)*COS($K$93))),IF(($A32&lt;'Alternative 2'!$B$28),(($H32*'Alternative 2'!$B$39)+(2*(($N$92/3)*COS($K$93)))),IF(($A32&lt;'Alternative 2'!$B$29),(($H$3*'Alternative 2'!$B$39+(($N$92/3)*COS($K$93)))),($H32*'Alternative 2'!$B$39))))</f>
        <v>59523.315177085584</v>
      </c>
      <c r="BV32" s="78">
        <f>BT32*'Alternative 2'!$K33/'Alternative 2'!$L33</f>
        <v>3.5195588739400495E-10</v>
      </c>
      <c r="BW32" s="78">
        <f>BU32/'Alternative 2'!$M33</f>
        <v>32831.524552058392</v>
      </c>
      <c r="BX32" s="78">
        <f t="shared" si="11"/>
        <v>3.283152455205874E-2</v>
      </c>
      <c r="BZ32" s="77">
        <v>150</v>
      </c>
      <c r="CA32" s="77">
        <v>-150</v>
      </c>
    </row>
    <row r="33" spans="1:79" ht="15" customHeight="1" x14ac:dyDescent="0.25">
      <c r="A33" s="13">
        <f>IF('Alternative 2'!F34&gt;0,'Alternative 2'!F34,"x")</f>
        <v>31</v>
      </c>
      <c r="B33" s="13">
        <f t="shared" si="17"/>
        <v>6</v>
      </c>
      <c r="C33" s="13">
        <f t="shared" si="12"/>
        <v>3</v>
      </c>
      <c r="D33" s="13">
        <f t="shared" si="13"/>
        <v>31</v>
      </c>
      <c r="E33" s="74">
        <f>IF($A33&lt;='Alternative 2'!$B$27, IF($A33='Alternative 2'!$B$27,0,E34+1),0)</f>
        <v>0</v>
      </c>
      <c r="F33" s="74">
        <f>IF($A33&lt;=('Alternative 2'!$B$28), IF($A33=ROUNDDOWN('Alternative 2'!$B$28,0),0,F34+1),0)</f>
        <v>0</v>
      </c>
      <c r="G33" s="74">
        <f>IF($A33&lt;=('Alternative 2'!$B$29), IF($A33=ROUNDDOWN('Alternative 2'!$B$29,0),0,G34+1),0)</f>
        <v>0</v>
      </c>
      <c r="H33" s="13">
        <f t="shared" si="14"/>
        <v>6</v>
      </c>
      <c r="J33" s="77">
        <f t="shared" si="15"/>
        <v>30</v>
      </c>
      <c r="K33" s="82">
        <f t="shared" si="16"/>
        <v>0.52359877559829882</v>
      </c>
      <c r="L33" s="78">
        <f>'Alternative 2'!$B$27*SIN(K33)+'Alternative 2'!$B$28*SIN(K33)+'Alternative 2'!$B$29*SIN(K33)</f>
        <v>33.999999999999993</v>
      </c>
      <c r="M33" s="77">
        <f>(('Alternative 2'!$B$27)*(((('Alternative 2'!$B$28-'Alternative 2'!$B$27)/2)+'Alternative 2'!$B$27)*'Alternative 2'!$B$39)*COS('Alternative 2-Tilt Up'!K33))+(('Alternative 2'!$B$28)*((('Alternative 2'!$B$28-'Alternative 2'!$B$27)/2)+(('Alternative 2'!$B$29-'Alternative 2'!$B$28)/2))*('Alternative 2'!$B$39)*COS('Alternative 2-Tilt Up'!K33))+(('Alternative 2'!$B$29)*((('Alternative 2'!$B$12-'Alternative 2'!$B$29+(('Alternative 2'!$B$29-'Alternative 2'!$B$28)/2)*('Alternative 2'!$B$39)*COS('Alternative 2-Tilt Up'!K33)))))</f>
        <v>4110280.1373908115</v>
      </c>
      <c r="N33" s="77">
        <f t="shared" si="0"/>
        <v>362671.77682860108</v>
      </c>
      <c r="O33" s="77">
        <f>(((('Alternative 2'!$B$28-'Alternative 2'!$B$27)/2)+'Alternative 2'!$B$27)*('Alternative 2'!$B$39)*COS('Alternative 2-Tilt Up'!K33))+(((('Alternative 2'!$B$28-'Alternative 2'!$B$27)/2)+(('Alternative 2'!$B$29-'Alternative 2'!$B$28)/2))*('Alternative 2'!$B$39)*COS('Alternative 2-Tilt Up'!K33))+(((('Alternative 2'!$B$12-'Alternative 2'!$B$29)+(('Alternative 2'!$B$29-'Alternative 2'!$B$28)/2))*('Alternative 2'!$B$39)*COS('Alternative 2-Tilt Up'!K33)))</f>
        <v>265107.61574138032</v>
      </c>
      <c r="P33" s="82">
        <f t="shared" si="1"/>
        <v>314082.97196920909</v>
      </c>
      <c r="R33" s="78">
        <f>'Alternative 2'!$B$39*$B33*$C33*COS($K$5)-($N$5/3)*$E33*SIN($K$5)-($N$5/3)*$F33*SIN($K$5)-($N$5/3)*$G33*SIN($K$5)</f>
        <v>152966.71332448936</v>
      </c>
      <c r="S33" s="79">
        <f>IF(($A33&lt;'Alternative 2'!$B$27),(($H33*'Alternative 2'!$B$39)+(3*($N$5/3)*COS($K$5))),IF(($A33&lt;'Alternative 2'!$B$28),(($H33*'Alternative 2'!$B$39)+(2*(($N$5/3)*COS($K$5)))),IF(($A33&lt;'Alternative 2'!$B$29),(($H$3*'Alternative 2'!$B$39+(($N$5/3)*COS($K$5)))),($H33*'Alternative 2'!$B$39))))</f>
        <v>51019.984437501931</v>
      </c>
      <c r="T33" s="78">
        <f>R33*'Alternative 2'!$K34/'Alternative 2'!$L34</f>
        <v>4331284.0520286094</v>
      </c>
      <c r="U33" s="78">
        <f>S33/'Alternative 2'!$M34</f>
        <v>28892.800152912245</v>
      </c>
      <c r="V33" s="78">
        <f t="shared" si="2"/>
        <v>4.360176852181521</v>
      </c>
      <c r="X33" s="78">
        <f>'Alternative 2'!$B$39*$B33*$C33*COS($K$13)-($N$12/3)*$E33*SIN($K$13)-($N$12/3)*$F33*SIN($K$13)-($N$12/3)*$G33*SIN($K$13)</f>
        <v>150734.6286978423</v>
      </c>
      <c r="Y33" s="79">
        <f>IF(($A33&lt;'Alternative 2'!$B$27),(($H33*'Alternative 2'!$B$39)+(3*($N$12/3)*COS($K$13))),IF(($A33&lt;'Alternative 2'!$B$28),(($H33*'Alternative 2'!$B$39)+(2*(($N$12/3)*COS($K$13)))),IF(($A33&lt;'Alternative 2'!$B$29),(($H$3*'Alternative 2'!$B$39+(($N$12/3)*COS($K$13)))),($H33*'Alternative 2'!$B$39))))</f>
        <v>51019.984437501931</v>
      </c>
      <c r="Z33" s="78">
        <f>X33*'Alternative 2'!$K34/'Alternative 2'!$L34</f>
        <v>4268082.1152407909</v>
      </c>
      <c r="AA33" s="78">
        <f>Y33/'Alternative 2'!$M34</f>
        <v>28892.800152912245</v>
      </c>
      <c r="AB33" s="78">
        <f t="shared" si="3"/>
        <v>4.2969749153937027</v>
      </c>
      <c r="AD33" s="78">
        <f>'Alternative 2'!$B$39*$B33*$C33*COS($K$23)-($N$22/3)*$E33*SIN($K$23)-($N$22/3)*$F33*SIN($K$23)-($N$22/3)*$G33*SIN($K$23)</f>
        <v>143829.30866559735</v>
      </c>
      <c r="AE33" s="79">
        <f>IF(($A33&lt;'Alternative 2'!$B$27),(($H33*'Alternative 2'!$B$39)+(3*($N$22/3)*COS($K$23))),IF(($A33&lt;'Alternative 2'!$B$28),(($H33*'Alternative 2'!$B$39)+(2*(($N$22/3)*COS($K$23)))),IF(($A33&lt;'Alternative 2'!$B$29),(($H$3*'Alternative 2'!$B$39+(($N$22/3)*COS($K$23)))),($H33*'Alternative 2'!$B$39))))</f>
        <v>51019.984437501931</v>
      </c>
      <c r="AF33" s="78">
        <f>AD33*'Alternative 2'!$K34/'Alternative 2'!$L34</f>
        <v>4072556.5536346505</v>
      </c>
      <c r="AG33" s="78">
        <f>AE33/'Alternative 2'!$M34</f>
        <v>28892.800152912245</v>
      </c>
      <c r="AH33" s="78">
        <f t="shared" si="4"/>
        <v>4.1014493537875625</v>
      </c>
      <c r="AJ33" s="78">
        <f>'Alternative 2'!$B$39*$B33*$C33*COS($K$33)-($N$32/3)*$E33*SIN($K$33)-($N$32/3)*$F33*SIN($K$33)-($N$32/3)*$G33*SIN($K$33)</f>
        <v>132553.80787069016</v>
      </c>
      <c r="AK33" s="79">
        <f>IF(($A33&lt;'Alternative 2'!$B$27),(($H33*'Alternative 2'!$B$39)+(3*($N$32/3)*COS($K$33))),IF(($A33&lt;'Alternative 2'!$B$28),(($H33*'Alternative 2'!$B$39)+(2*(($N$32/3)*COS($K$33)))),IF(($A33&lt;'Alternative 2'!$B$29),(($H$3*'Alternative 2'!$B$39+(($N$32/3)*COS($K$33)))),($H33*'Alternative 2'!$B$39))))</f>
        <v>51019.984437501931</v>
      </c>
      <c r="AL33" s="78">
        <f>AJ33*'Alternative 2'!$K34/'Alternative 2'!$L34</f>
        <v>3753288.4219593736</v>
      </c>
      <c r="AM33" s="78">
        <f>AK33/'Alternative 2'!$M34</f>
        <v>28892.800152912245</v>
      </c>
      <c r="AN33" s="78">
        <f t="shared" si="5"/>
        <v>3.7821812221122859</v>
      </c>
      <c r="AP33" s="78">
        <f>'Alternative 2'!$B$39*$B33*$C33*COS($K$43)-($N$42/3)*$E33*SIN($K$43)-($N$42/3)*$F33*SIN($K$43)-($N$42/3)*$G33*SIN($K$43)</f>
        <v>117250.72669909528</v>
      </c>
      <c r="AQ33" s="79">
        <f>IF(($A33&lt;'Alternative 2'!$B$27),(($H33*'Alternative 2'!$B$39)+(3*($N$42/3)*COS($K$43))),IF(($A33&lt;'Alternative 2'!$B$28),(($H33*'Alternative 2'!$B$39)+(2*(($N$42/3)*COS($K$43)))),IF(($A33&lt;'Alternative 2'!$B$29),(($H$3*'Alternative 2'!$B$39+(($N$42/3)*COS($K$43)))),($H33*'Alternative 2'!$B$39))))</f>
        <v>51019.984437501931</v>
      </c>
      <c r="AR33" s="78">
        <f>AP33*'Alternative 2'!$K34/'Alternative 2'!$L34</f>
        <v>3319978.5208384437</v>
      </c>
      <c r="AS33" s="78">
        <f>AQ33/'Alternative 2'!$M34</f>
        <v>28892.800152912245</v>
      </c>
      <c r="AT33" s="78">
        <f t="shared" si="6"/>
        <v>3.3488713209913561</v>
      </c>
      <c r="AV33" s="78">
        <f>'Alternative 2'!$B$39*$B33*$C33*COS($K$53)-($N$52/3)*$E33*SIN($K$53)-($N$52/3)*$F33*SIN($K$53)-($N$52/3)*$G33*SIN($K$53)</f>
        <v>98385.041528478905</v>
      </c>
      <c r="AW33" s="79">
        <f>IF(($A33&lt;'Alternative 2'!$B$27),(($H33*'Alternative 2'!$B$39)+(3*($N$52/3)*COS($K$53))),IF(($A33&lt;'Alternative 2'!$B$28),(($H33*'Alternative 2'!$B$39)+(2*(($N$52/3)*COS($K$53)))),IF(($A33&lt;'Alternative 2'!$B$29),(($H$3*'Alternative 2'!$B$39+(($N$52/3)*COS($K$53)))),($H33*'Alternative 2'!$B$39))))</f>
        <v>51019.984437501931</v>
      </c>
      <c r="AX33" s="78">
        <f>AV33*'Alternative 2'!$K34/'Alternative 2'!$L34</f>
        <v>2785792.7523520296</v>
      </c>
      <c r="AY33" s="78">
        <f>AW33/'Alternative 2'!$M34</f>
        <v>28892.800152912245</v>
      </c>
      <c r="AZ33" s="78">
        <f t="shared" si="7"/>
        <v>2.8146855525049417</v>
      </c>
      <c r="BB33" s="78">
        <f>'Alternative 2'!$B$39*$B33*$C33*COS($K$63)-($N$62/3)*$E33*SIN($K$63)-($N$62/3)*$F33*SIN($K$63)-($N$62/3)*$G33*SIN($K$63)</f>
        <v>76529.976656252911</v>
      </c>
      <c r="BC33" s="79">
        <f>IF(($A33&lt;'Alternative 2'!$B$27),(($H33*'Alternative 2'!$B$39)+(3*($N$62/3)*COS($K$63))),IF(($A33&lt;'Alternative 2'!$B$28),(($H33*'Alternative 2'!$B$39)+(2*(($N$62/3)*COS($K$63)))),IF(($A33&lt;'Alternative 2'!$B$29),(($H$3*'Alternative 2'!$B$39+(($N$62/3)*COS($K$63)))),($H33*'Alternative 2'!$B$39))))</f>
        <v>51019.984437501931</v>
      </c>
      <c r="BD33" s="78">
        <f>BB33*'Alternative 2'!$K34/'Alternative 2'!$L34</f>
        <v>2166962.0807645503</v>
      </c>
      <c r="BE33" s="78">
        <f>BC33/'Alternative 2'!$M34</f>
        <v>28892.800152912245</v>
      </c>
      <c r="BF33" s="78">
        <f t="shared" si="8"/>
        <v>2.1958548809174627</v>
      </c>
      <c r="BH33" s="78">
        <f>'Alternative 2'!$B$39*$B33*$C33*COS($K$73)-($N$72/3)*$E33*SIN($K$73)-($N$72/3)*$F33*SIN($K$73)-($N$72/3)*$G33*SIN($K$73)</f>
        <v>52349.587169363411</v>
      </c>
      <c r="BI33" s="79">
        <f>IF(($A33&lt;'Alternative 2'!$B$27),(($H33*'Alternative 2'!$B$39)+(3*($N$72/3)*COS($K$73))),IF(($A33&lt;'Alternative 2'!$B$28),(($H33*'Alternative 2'!$B$39)+(2*(($N$72/3)*COS($K$73)))),IF(($A33&lt;'Alternative 2'!$B$29),(($H$3*'Alternative 2'!$B$39+(($N$72/3)*COS($K$73)))),($H33*'Alternative 2'!$B$39))))</f>
        <v>51019.984437501931</v>
      </c>
      <c r="BJ33" s="78">
        <f>BH33*'Alternative 2'!$K34/'Alternative 2'!$L34</f>
        <v>1482289.3628887618</v>
      </c>
      <c r="BK33" s="78">
        <f>BI33/'Alternative 2'!$M34</f>
        <v>28892.800152912245</v>
      </c>
      <c r="BL33" s="78">
        <f t="shared" si="9"/>
        <v>1.511182163041674</v>
      </c>
      <c r="BN33" s="78">
        <f>'Alternative 2'!$B$39*$B33*$C33*COS($K$83)-($N$82/3)*$E33*SIN($K$83)-($N$82/3)*$F33*SIN($K$83)-($N$82/3)*$G33*SIN($K$83)</f>
        <v>26578.581966502079</v>
      </c>
      <c r="BO33" s="79">
        <f>IF(($A33&lt;'Alternative 2'!$B$27),(($H33*'Alternative 2'!$B$39)+(3*($N$82/3)*COS($K$83))),IF(($A33&lt;'Alternative 2'!$B$28),(($H33*'Alternative 2'!$B$39)+(2*(($N$82/3)*COS($K$83)))),IF(($A33&lt;'Alternative 2'!$B$29),(($H$3*'Alternative 2'!$B$39+(($N$82/3)*COS($K$83)))),($H33*'Alternative 2'!$B$39))))</f>
        <v>51019.984437501931</v>
      </c>
      <c r="BP33" s="78">
        <f>BN33*'Alternative 2'!$K34/'Alternative 2'!$L34</f>
        <v>752578.03279620747</v>
      </c>
      <c r="BQ33" s="78">
        <f>BO33/'Alternative 2'!$M34</f>
        <v>28892.800152912245</v>
      </c>
      <c r="BR33" s="78">
        <f t="shared" si="10"/>
        <v>0.78147083294911979</v>
      </c>
      <c r="BT33" s="78">
        <f>'Alternative 2'!$B$39*$B33*$C33*COS($K$93)-($K$92/3)*$E33*SIN($K$93)-($K$92/3)*$F33*SIN($K$93)-($K$92/3)*$G33*SIN($K$93)</f>
        <v>9.3760582654600995E-12</v>
      </c>
      <c r="BU33" s="79">
        <f>IF(($A33&lt;'Alternative 2'!$B$27),(($H33*'Alternative 2'!$B$39)+(3*($N$92/3)*COS($K$93))),IF(($A33&lt;'Alternative 2'!$B$28),(($H33*'Alternative 2'!$B$39)+(2*(($N$92/3)*COS($K$93)))),IF(($A33&lt;'Alternative 2'!$B$29),(($H$3*'Alternative 2'!$B$39+(($N$92/3)*COS($K$93)))),($H33*'Alternative 2'!$B$39))))</f>
        <v>51019.984437501931</v>
      </c>
      <c r="BV33" s="78">
        <f>BT33*'Alternative 2'!$K34/'Alternative 2'!$L34</f>
        <v>2.654850245094257E-10</v>
      </c>
      <c r="BW33" s="78">
        <f>BU33/'Alternative 2'!$M34</f>
        <v>28892.800152912245</v>
      </c>
      <c r="BX33" s="78">
        <f t="shared" si="11"/>
        <v>2.8892800152912509E-2</v>
      </c>
      <c r="BZ33" s="77">
        <v>150</v>
      </c>
      <c r="CA33" s="77">
        <v>-150</v>
      </c>
    </row>
    <row r="34" spans="1:79" ht="15" customHeight="1" x14ac:dyDescent="0.25">
      <c r="A34" s="13">
        <f>IF('Alternative 2'!F35&gt;0,'Alternative 2'!F35,"x")</f>
        <v>32</v>
      </c>
      <c r="B34" s="13">
        <f t="shared" si="17"/>
        <v>5</v>
      </c>
      <c r="C34" s="13">
        <f t="shared" si="12"/>
        <v>2.5</v>
      </c>
      <c r="D34" s="13">
        <f t="shared" si="13"/>
        <v>32</v>
      </c>
      <c r="E34" s="74">
        <f>IF($A34&lt;='Alternative 2'!$B$27, IF($A34='Alternative 2'!$B$27,0,E35+1),0)</f>
        <v>0</v>
      </c>
      <c r="F34" s="74">
        <f>IF($A34&lt;=('Alternative 2'!$B$28), IF($A34=ROUNDDOWN('Alternative 2'!$B$28,0),0,F35+1),0)</f>
        <v>0</v>
      </c>
      <c r="G34" s="74">
        <f>IF($A34&lt;=('Alternative 2'!$B$29), IF($A34=ROUNDDOWN('Alternative 2'!$B$29,0),0,G35+1),0)</f>
        <v>0</v>
      </c>
      <c r="H34" s="13">
        <f t="shared" si="14"/>
        <v>5</v>
      </c>
      <c r="J34" s="77">
        <f t="shared" si="15"/>
        <v>31</v>
      </c>
      <c r="K34" s="77">
        <f t="shared" si="16"/>
        <v>0.54105206811824214</v>
      </c>
      <c r="L34" s="78">
        <f>'Alternative 2'!$B$27*SIN(K34)+'Alternative 2'!$B$28*SIN(K34)+'Alternative 2'!$B$29*SIN(K34)</f>
        <v>35.022589093883681</v>
      </c>
      <c r="M34" s="77">
        <f>(('Alternative 2'!$B$27)*(((('Alternative 2'!$B$28-'Alternative 2'!$B$27)/2)+'Alternative 2'!$B$27)*'Alternative 2'!$B$39)*COS('Alternative 2-Tilt Up'!K34))+(('Alternative 2'!$B$28)*((('Alternative 2'!$B$28-'Alternative 2'!$B$27)/2)+(('Alternative 2'!$B$29-'Alternative 2'!$B$28)/2))*('Alternative 2'!$B$39)*COS('Alternative 2-Tilt Up'!K34))+(('Alternative 2'!$B$29)*((('Alternative 2'!$B$12-'Alternative 2'!$B$29+(('Alternative 2'!$B$29-'Alternative 2'!$B$28)/2)*('Alternative 2'!$B$39)*COS('Alternative 2-Tilt Up'!K34)))))</f>
        <v>4068240.3172253761</v>
      </c>
      <c r="N34" s="77">
        <f t="shared" si="0"/>
        <v>348481.40207337076</v>
      </c>
      <c r="O34" s="77">
        <f>(((('Alternative 2'!$B$28-'Alternative 2'!$B$27)/2)+'Alternative 2'!$B$27)*('Alternative 2'!$B$39)*COS('Alternative 2-Tilt Up'!K34))+(((('Alternative 2'!$B$28-'Alternative 2'!$B$27)/2)+(('Alternative 2'!$B$29-'Alternative 2'!$B$28)/2))*('Alternative 2'!$B$39)*COS('Alternative 2-Tilt Up'!K34))+(((('Alternative 2'!$B$12-'Alternative 2'!$B$29)+(('Alternative 2'!$B$29-'Alternative 2'!$B$28)/2))*('Alternative 2'!$B$39)*COS('Alternative 2-Tilt Up'!K34)))</f>
        <v>262395.97405294381</v>
      </c>
      <c r="P34" s="77">
        <f t="shared" si="1"/>
        <v>298706.86276011873</v>
      </c>
      <c r="R34" s="78">
        <f>'Alternative 2'!$B$39*$B34*$C34*COS($K$5)-($N$5/3)*$E34*SIN($K$5)-($N$5/3)*$F34*SIN($K$5)-($N$5/3)*$G34*SIN($K$5)</f>
        <v>106226.88425311761</v>
      </c>
      <c r="S34" s="79">
        <f>IF(($A34&lt;'Alternative 2'!$B$27),(($H34*'Alternative 2'!$B$39)+(3*($N$5/3)*COS($K$5))),IF(($A34&lt;'Alternative 2'!$B$28),(($H34*'Alternative 2'!$B$39)+(2*(($N$5/3)*COS($K$5)))),IF(($A34&lt;'Alternative 2'!$B$29),(($H$3*'Alternative 2'!$B$39+(($N$5/3)*COS($K$5)))),($H34*'Alternative 2'!$B$39))))</f>
        <v>42516.653697918271</v>
      </c>
      <c r="T34" s="78">
        <f>R34*'Alternative 2'!$K35/'Alternative 2'!$L35</f>
        <v>3089245.1893918416</v>
      </c>
      <c r="U34" s="78">
        <f>S34/'Alternative 2'!$M35</f>
        <v>24729.002155000053</v>
      </c>
      <c r="V34" s="78">
        <f t="shared" si="2"/>
        <v>3.1139741915468417</v>
      </c>
      <c r="X34" s="78">
        <f>'Alternative 2'!$B$39*$B34*$C34*COS($K$13)-($N$12/3)*$E34*SIN($K$13)-($N$12/3)*$F34*SIN($K$13)-($N$12/3)*$G34*SIN($K$13)</f>
        <v>104676.82548461269</v>
      </c>
      <c r="Y34" s="79">
        <f>IF(($A34&lt;'Alternative 2'!$B$27),(($H34*'Alternative 2'!$B$39)+(3*($N$12/3)*COS($K$13))),IF(($A34&lt;'Alternative 2'!$B$28),(($H34*'Alternative 2'!$B$39)+(2*(($N$12/3)*COS($K$13)))),IF(($A34&lt;'Alternative 2'!$B$29),(($H$3*'Alternative 2'!$B$39+(($N$12/3)*COS($K$13)))),($H34*'Alternative 2'!$B$39))))</f>
        <v>42516.653697918271</v>
      </c>
      <c r="Z34" s="78">
        <f>X34*'Alternative 2'!$K35/'Alternative 2'!$L35</f>
        <v>3044167.0377775254</v>
      </c>
      <c r="AA34" s="78">
        <f>Y34/'Alternative 2'!$M35</f>
        <v>24729.002155000053</v>
      </c>
      <c r="AB34" s="78">
        <f t="shared" si="3"/>
        <v>3.0688960399325254</v>
      </c>
      <c r="AD34" s="78">
        <f>'Alternative 2'!$B$39*$B34*$C34*COS($K$23)-($N$22/3)*$E34*SIN($K$23)-($N$22/3)*$F34*SIN($K$23)-($N$22/3)*$G34*SIN($K$23)</f>
        <v>99881.464351109273</v>
      </c>
      <c r="AE34" s="79">
        <f>IF(($A34&lt;'Alternative 2'!$B$27),(($H34*'Alternative 2'!$B$39)+(3*($N$22/3)*COS($K$23))),IF(($A34&lt;'Alternative 2'!$B$28),(($H34*'Alternative 2'!$B$39)+(2*(($N$22/3)*COS($K$23)))),IF(($A34&lt;'Alternative 2'!$B$29),(($H$3*'Alternative 2'!$B$39+(($N$22/3)*COS($K$23)))),($H34*'Alternative 2'!$B$39))))</f>
        <v>42516.653697918271</v>
      </c>
      <c r="AF34" s="78">
        <f>AD34*'Alternative 2'!$K35/'Alternative 2'!$L35</f>
        <v>2904710.3793503321</v>
      </c>
      <c r="AG34" s="78">
        <f>AE34/'Alternative 2'!$M35</f>
        <v>24729.002155000053</v>
      </c>
      <c r="AH34" s="78">
        <f t="shared" si="4"/>
        <v>2.9294393815053321</v>
      </c>
      <c r="AJ34" s="78">
        <f>'Alternative 2'!$B$39*$B34*$C34*COS($K$33)-($N$32/3)*$E34*SIN($K$33)-($N$32/3)*$F34*SIN($K$33)-($N$32/3)*$G34*SIN($K$33)</f>
        <v>92051.255465757058</v>
      </c>
      <c r="AK34" s="79">
        <f>IF(($A34&lt;'Alternative 2'!$B$27),(($H34*'Alternative 2'!$B$39)+(3*($N$32/3)*COS($K$33))),IF(($A34&lt;'Alternative 2'!$B$28),(($H34*'Alternative 2'!$B$39)+(2*(($N$32/3)*COS($K$33)))),IF(($A34&lt;'Alternative 2'!$B$29),(($H$3*'Alternative 2'!$B$39+(($N$32/3)*COS($K$33)))),($H34*'Alternative 2'!$B$39))))</f>
        <v>42516.653697918271</v>
      </c>
      <c r="AL34" s="78">
        <f>AJ34*'Alternative 2'!$K35/'Alternative 2'!$L35</f>
        <v>2676995.5659009516</v>
      </c>
      <c r="AM34" s="78">
        <f>AK34/'Alternative 2'!$M35</f>
        <v>24729.002155000053</v>
      </c>
      <c r="AN34" s="78">
        <f t="shared" si="5"/>
        <v>2.7017245680559516</v>
      </c>
      <c r="AP34" s="78">
        <f>'Alternative 2'!$B$39*$B34*$C34*COS($K$43)-($N$42/3)*$E34*SIN($K$43)-($N$42/3)*$F34*SIN($K$43)-($N$42/3)*$G34*SIN($K$43)</f>
        <v>81424.115763260605</v>
      </c>
      <c r="AQ34" s="79">
        <f>IF(($A34&lt;'Alternative 2'!$B$27),(($H34*'Alternative 2'!$B$39)+(3*($N$42/3)*COS($K$43))),IF(($A34&lt;'Alternative 2'!$B$28),(($H34*'Alternative 2'!$B$39)+(2*(($N$42/3)*COS($K$43)))),IF(($A34&lt;'Alternative 2'!$B$29),(($H$3*'Alternative 2'!$B$39+(($N$42/3)*COS($K$43)))),($H34*'Alternative 2'!$B$39))))</f>
        <v>42516.653697918271</v>
      </c>
      <c r="AR34" s="78">
        <f>AP34*'Alternative 2'!$K35/'Alternative 2'!$L35</f>
        <v>2367941.5968067888</v>
      </c>
      <c r="AS34" s="78">
        <f>AQ34/'Alternative 2'!$M35</f>
        <v>24729.002155000053</v>
      </c>
      <c r="AT34" s="78">
        <f t="shared" si="6"/>
        <v>2.3926705989617889</v>
      </c>
      <c r="AV34" s="78">
        <f>'Alternative 2'!$B$39*$B34*$C34*COS($K$53)-($N$52/3)*$E34*SIN($K$53)-($N$52/3)*$F34*SIN($K$53)-($N$52/3)*$G34*SIN($K$53)</f>
        <v>68322.945505888129</v>
      </c>
      <c r="AW34" s="79">
        <f>IF(($A34&lt;'Alternative 2'!$B$27),(($H34*'Alternative 2'!$B$39)+(3*($N$52/3)*COS($K$53))),IF(($A34&lt;'Alternative 2'!$B$28),(($H34*'Alternative 2'!$B$39)+(2*(($N$52/3)*COS($K$53)))),IF(($A34&lt;'Alternative 2'!$B$29),(($H$3*'Alternative 2'!$B$39+(($N$52/3)*COS($K$53)))),($H34*'Alternative 2'!$B$39))))</f>
        <v>42516.653697918271</v>
      </c>
      <c r="AX34" s="78">
        <f>AV34*'Alternative 2'!$K35/'Alternative 2'!$L35</f>
        <v>1986938.9205299162</v>
      </c>
      <c r="AY34" s="78">
        <f>AW34/'Alternative 2'!$M35</f>
        <v>24729.002155000053</v>
      </c>
      <c r="AZ34" s="78">
        <f t="shared" si="7"/>
        <v>2.0116679226849161</v>
      </c>
      <c r="BB34" s="78">
        <f>'Alternative 2'!$B$39*$B34*$C34*COS($K$63)-($N$62/3)*$E34*SIN($K$63)-($N$62/3)*$F34*SIN($K$63)-($N$62/3)*$G34*SIN($K$63)</f>
        <v>53145.817122397857</v>
      </c>
      <c r="BC34" s="79">
        <f>IF(($A34&lt;'Alternative 2'!$B$27),(($H34*'Alternative 2'!$B$39)+(3*($N$62/3)*COS($K$63))),IF(($A34&lt;'Alternative 2'!$B$28),(($H34*'Alternative 2'!$B$39)+(2*(($N$62/3)*COS($K$63)))),IF(($A34&lt;'Alternative 2'!$B$29),(($H$3*'Alternative 2'!$B$39+(($N$62/3)*COS($K$63)))),($H34*'Alternative 2'!$B$39))))</f>
        <v>42516.653697918271</v>
      </c>
      <c r="BD34" s="78">
        <f>BB34*'Alternative 2'!$K35/'Alternative 2'!$L35</f>
        <v>1545564.1105923492</v>
      </c>
      <c r="BE34" s="78">
        <f>BC34/'Alternative 2'!$M35</f>
        <v>24729.002155000053</v>
      </c>
      <c r="BF34" s="78">
        <f t="shared" si="8"/>
        <v>1.5702931127473494</v>
      </c>
      <c r="BH34" s="78">
        <f>'Alternative 2'!$B$39*$B34*$C34*COS($K$73)-($N$72/3)*$E34*SIN($K$73)-($N$72/3)*$F34*SIN($K$73)-($N$72/3)*$G34*SIN($K$73)</f>
        <v>36353.879978724588</v>
      </c>
      <c r="BI34" s="79">
        <f>IF(($A34&lt;'Alternative 2'!$B$27),(($H34*'Alternative 2'!$B$39)+(3*($N$72/3)*COS($K$73))),IF(($A34&lt;'Alternative 2'!$B$28),(($H34*'Alternative 2'!$B$39)+(2*(($N$72/3)*COS($K$73)))),IF(($A34&lt;'Alternative 2'!$B$29),(($H$3*'Alternative 2'!$B$39+(($N$72/3)*COS($K$73)))),($H34*'Alternative 2'!$B$39))))</f>
        <v>42516.653697918271</v>
      </c>
      <c r="BJ34" s="78">
        <f>BH34*'Alternative 2'!$K35/'Alternative 2'!$L35</f>
        <v>1057228.1172476101</v>
      </c>
      <c r="BK34" s="78">
        <f>BI34/'Alternative 2'!$M35</f>
        <v>24729.002155000053</v>
      </c>
      <c r="BL34" s="78">
        <f t="shared" si="9"/>
        <v>1.0819571194026103</v>
      </c>
      <c r="BN34" s="78">
        <f>'Alternative 2'!$B$39*$B34*$C34*COS($K$83)-($N$82/3)*$E34*SIN($K$83)-($N$82/3)*$F34*SIN($K$83)-($N$82/3)*$G34*SIN($K$83)</f>
        <v>18457.348587848664</v>
      </c>
      <c r="BO34" s="79">
        <f>IF(($A34&lt;'Alternative 2'!$B$27),(($H34*'Alternative 2'!$B$39)+(3*($N$82/3)*COS($K$83))),IF(($A34&lt;'Alternative 2'!$B$28),(($H34*'Alternative 2'!$B$39)+(2*(($N$82/3)*COS($K$83)))),IF(($A34&lt;'Alternative 2'!$B$29),(($H$3*'Alternative 2'!$B$39+(($N$82/3)*COS($K$83)))),($H34*'Alternative 2'!$B$39))))</f>
        <v>42516.653697918271</v>
      </c>
      <c r="BP34" s="78">
        <f>BN34*'Alternative 2'!$K35/'Alternative 2'!$L35</f>
        <v>536768.78254354291</v>
      </c>
      <c r="BQ34" s="78">
        <f>BO34/'Alternative 2'!$M35</f>
        <v>24729.002155000053</v>
      </c>
      <c r="BR34" s="78">
        <f t="shared" si="10"/>
        <v>0.56149778469854295</v>
      </c>
      <c r="BT34" s="78">
        <f>'Alternative 2'!$B$39*$B34*$C34*COS($K$93)-($K$92/3)*$E34*SIN($K$93)-($K$92/3)*$F34*SIN($K$93)-($K$92/3)*$G34*SIN($K$93)</f>
        <v>6.5111515732361798E-12</v>
      </c>
      <c r="BU34" s="79">
        <f>IF(($A34&lt;'Alternative 2'!$B$27),(($H34*'Alternative 2'!$B$39)+(3*($N$92/3)*COS($K$93))),IF(($A34&lt;'Alternative 2'!$B$28),(($H34*'Alternative 2'!$B$39)+(2*(($N$92/3)*COS($K$93)))),IF(($A34&lt;'Alternative 2'!$B$29),(($H$3*'Alternative 2'!$B$39+(($N$92/3)*COS($K$93)))),($H34*'Alternative 2'!$B$39))))</f>
        <v>42516.653697918271</v>
      </c>
      <c r="BV34" s="78">
        <f>BT34*'Alternative 2'!$K35/'Alternative 2'!$L35</f>
        <v>1.8935454820544316E-10</v>
      </c>
      <c r="BW34" s="78">
        <f>BU34/'Alternative 2'!$M35</f>
        <v>24729.002155000053</v>
      </c>
      <c r="BX34" s="78">
        <f t="shared" si="11"/>
        <v>2.4729002155000242E-2</v>
      </c>
      <c r="BZ34" s="77">
        <v>150</v>
      </c>
      <c r="CA34" s="77">
        <v>-150</v>
      </c>
    </row>
    <row r="35" spans="1:79" ht="15" customHeight="1" x14ac:dyDescent="0.25">
      <c r="A35" s="13">
        <f>IF('Alternative 2'!F36&gt;0,'Alternative 2'!F36,"x")</f>
        <v>33</v>
      </c>
      <c r="B35" s="13">
        <f t="shared" si="17"/>
        <v>4</v>
      </c>
      <c r="C35" s="13">
        <f t="shared" si="12"/>
        <v>2</v>
      </c>
      <c r="D35" s="13">
        <f t="shared" si="13"/>
        <v>33</v>
      </c>
      <c r="E35" s="74">
        <f>IF($A35&lt;='Alternative 2'!$B$27, IF($A35='Alternative 2'!$B$27,0,E36+1),0)</f>
        <v>0</v>
      </c>
      <c r="F35" s="74">
        <f>IF($A35&lt;=('Alternative 2'!$B$28), IF($A35=ROUNDDOWN('Alternative 2'!$B$28,0),0,F36+1),0)</f>
        <v>0</v>
      </c>
      <c r="G35" s="74">
        <f>IF($A35&lt;=('Alternative 2'!$B$29), IF($A35=ROUNDDOWN('Alternative 2'!$B$29,0),0,G36+1),0)</f>
        <v>0</v>
      </c>
      <c r="H35" s="13">
        <f t="shared" si="14"/>
        <v>4</v>
      </c>
      <c r="J35" s="77">
        <f t="shared" si="15"/>
        <v>32</v>
      </c>
      <c r="K35" s="77">
        <f t="shared" si="16"/>
        <v>0.55850536063818546</v>
      </c>
      <c r="L35" s="78">
        <f>'Alternative 2'!$B$27*SIN(K35)+'Alternative 2'!$B$28*SIN(K35)+'Alternative 2'!$B$29*SIN(K35)</f>
        <v>36.034509967857936</v>
      </c>
      <c r="M35" s="77">
        <f>(('Alternative 2'!$B$27)*(((('Alternative 2'!$B$28-'Alternative 2'!$B$27)/2)+'Alternative 2'!$B$27)*'Alternative 2'!$B$39)*COS('Alternative 2-Tilt Up'!K35))+(('Alternative 2'!$B$28)*((('Alternative 2'!$B$28-'Alternative 2'!$B$27)/2)+(('Alternative 2'!$B$29-'Alternative 2'!$B$28)/2))*('Alternative 2'!$B$39)*COS('Alternative 2-Tilt Up'!K35))+(('Alternative 2'!$B$29)*((('Alternative 2'!$B$12-'Alternative 2'!$B$29+(('Alternative 2'!$B$29-'Alternative 2'!$B$28)/2)*('Alternative 2'!$B$39)*COS('Alternative 2-Tilt Up'!K35)))))</f>
        <v>4024961.3312405124</v>
      </c>
      <c r="N35" s="77">
        <f t="shared" si="0"/>
        <v>335092.2214425031</v>
      </c>
      <c r="O35" s="77">
        <f>(((('Alternative 2'!$B$28-'Alternative 2'!$B$27)/2)+'Alternative 2'!$B$27)*('Alternative 2'!$B$39)*COS('Alternative 2-Tilt Up'!K35))+(((('Alternative 2'!$B$28-'Alternative 2'!$B$27)/2)+(('Alternative 2'!$B$29-'Alternative 2'!$B$28)/2))*('Alternative 2'!$B$39)*COS('Alternative 2-Tilt Up'!K35))+(((('Alternative 2'!$B$12-'Alternative 2'!$B$29)+(('Alternative 2'!$B$29-'Alternative 2'!$B$28)/2))*('Alternative 2'!$B$39)*COS('Alternative 2-Tilt Up'!K35)))</f>
        <v>259604.40400892391</v>
      </c>
      <c r="P35" s="77">
        <f t="shared" si="1"/>
        <v>284174.32043114223</v>
      </c>
      <c r="R35" s="78">
        <f>'Alternative 2'!$B$39*$B35*$C35*COS($K$5)-($N$5/3)*$E35*SIN($K$5)-($N$5/3)*$F35*SIN($K$5)-($N$5/3)*$G35*SIN($K$5)</f>
        <v>67985.205921995264</v>
      </c>
      <c r="S35" s="79">
        <f>IF(($A35&lt;'Alternative 2'!$B$27),(($H35*'Alternative 2'!$B$39)+(3*($N$5/3)*COS($K$5))),IF(($A35&lt;'Alternative 2'!$B$28),(($H35*'Alternative 2'!$B$39)+(2*(($N$5/3)*COS($K$5)))),IF(($A35&lt;'Alternative 2'!$B$29),(($H$3*'Alternative 2'!$B$39+(($N$5/3)*COS($K$5)))),($H35*'Alternative 2'!$B$39))))</f>
        <v>34013.322958334618</v>
      </c>
      <c r="T35" s="78">
        <f>R35*'Alternative 2'!$K36/'Alternative 2'!$L36</f>
        <v>2031362.9457554095</v>
      </c>
      <c r="U35" s="78">
        <f>S35/'Alternative 2'!$M36</f>
        <v>20325.992104669225</v>
      </c>
      <c r="V35" s="78">
        <f t="shared" si="2"/>
        <v>2.0516889378600789</v>
      </c>
      <c r="X35" s="78">
        <f>'Alternative 2'!$B$39*$B35*$C35*COS($K$13)-($N$12/3)*$E35*SIN($K$13)-($N$12/3)*$F35*SIN($K$13)-($N$12/3)*$G35*SIN($K$13)</f>
        <v>66993.168310152134</v>
      </c>
      <c r="Y35" s="79">
        <f>IF(($A35&lt;'Alternative 2'!$B$27),(($H35*'Alternative 2'!$B$39)+(3*($N$12/3)*COS($K$13))),IF(($A35&lt;'Alternative 2'!$B$28),(($H35*'Alternative 2'!$B$39)+(2*(($N$12/3)*COS($K$13)))),IF(($A35&lt;'Alternative 2'!$B$29),(($H$3*'Alternative 2'!$B$39+(($N$12/3)*COS($K$13)))),($H35*'Alternative 2'!$B$39))))</f>
        <v>34013.322958334618</v>
      </c>
      <c r="Z35" s="78">
        <f>X35*'Alternative 2'!$K36/'Alternative 2'!$L36</f>
        <v>2001721.3727372149</v>
      </c>
      <c r="AA35" s="78">
        <f>Y35/'Alternative 2'!$M36</f>
        <v>20325.992104669225</v>
      </c>
      <c r="AB35" s="78">
        <f t="shared" si="3"/>
        <v>2.0220473648418844</v>
      </c>
      <c r="AD35" s="78">
        <f>'Alternative 2'!$B$39*$B35*$C35*COS($K$23)-($N$22/3)*$E35*SIN($K$23)-($N$22/3)*$F35*SIN($K$23)-($N$22/3)*$G35*SIN($K$23)</f>
        <v>63924.137184709929</v>
      </c>
      <c r="AE35" s="79">
        <f>IF(($A35&lt;'Alternative 2'!$B$27),(($H35*'Alternative 2'!$B$39)+(3*($N$22/3)*COS($K$23))),IF(($A35&lt;'Alternative 2'!$B$28),(($H35*'Alternative 2'!$B$39)+(2*(($N$22/3)*COS($K$23)))),IF(($A35&lt;'Alternative 2'!$B$29),(($H$3*'Alternative 2'!$B$39+(($N$22/3)*COS($K$23)))),($H35*'Alternative 2'!$B$39))))</f>
        <v>34013.322958334618</v>
      </c>
      <c r="AF35" s="78">
        <f>AD35*'Alternative 2'!$K36/'Alternative 2'!$L36</f>
        <v>1910020.3030258657</v>
      </c>
      <c r="AG35" s="78">
        <f>AE35/'Alternative 2'!$M36</f>
        <v>20325.992104669225</v>
      </c>
      <c r="AH35" s="78">
        <f t="shared" si="4"/>
        <v>1.930346295130535</v>
      </c>
      <c r="AJ35" s="78">
        <f>'Alternative 2'!$B$39*$B35*$C35*COS($K$33)-($N$32/3)*$E35*SIN($K$33)-($N$32/3)*$F35*SIN($K$33)-($N$32/3)*$G35*SIN($K$33)</f>
        <v>58912.803498084511</v>
      </c>
      <c r="AK35" s="79">
        <f>IF(($A35&lt;'Alternative 2'!$B$27),(($H35*'Alternative 2'!$B$39)+(3*($N$32/3)*COS($K$33))),IF(($A35&lt;'Alternative 2'!$B$28),(($H35*'Alternative 2'!$B$39)+(2*(($N$32/3)*COS($K$33)))),IF(($A35&lt;'Alternative 2'!$B$29),(($H$3*'Alternative 2'!$B$39+(($N$32/3)*COS($K$33)))),($H35*'Alternative 2'!$B$39))))</f>
        <v>34013.322958334618</v>
      </c>
      <c r="AL35" s="78">
        <f>AJ35*'Alternative 2'!$K36/'Alternative 2'!$L36</f>
        <v>1760284.2329239843</v>
      </c>
      <c r="AM35" s="78">
        <f>AK35/'Alternative 2'!$M36</f>
        <v>20325.992104669225</v>
      </c>
      <c r="AN35" s="78">
        <f t="shared" si="5"/>
        <v>1.7806102250286537</v>
      </c>
      <c r="AP35" s="78">
        <f>'Alternative 2'!$B$39*$B35*$C35*COS($K$43)-($N$42/3)*$E35*SIN($K$43)-($N$42/3)*$F35*SIN($K$43)-($N$42/3)*$G35*SIN($K$43)</f>
        <v>52111.434088486785</v>
      </c>
      <c r="AQ35" s="79">
        <f>IF(($A35&lt;'Alternative 2'!$B$27),(($H35*'Alternative 2'!$B$39)+(3*($N$42/3)*COS($K$43))),IF(($A35&lt;'Alternative 2'!$B$28),(($H35*'Alternative 2'!$B$39)+(2*(($N$42/3)*COS($K$43)))),IF(($A35&lt;'Alternative 2'!$B$29),(($H$3*'Alternative 2'!$B$39+(($N$42/3)*COS($K$43)))),($H35*'Alternative 2'!$B$39))))</f>
        <v>34013.322958334618</v>
      </c>
      <c r="AR35" s="78">
        <f>AP35*'Alternative 2'!$K36/'Alternative 2'!$L36</f>
        <v>1557062.8171515088</v>
      </c>
      <c r="AS35" s="78">
        <f>AQ35/'Alternative 2'!$M36</f>
        <v>20325.992104669225</v>
      </c>
      <c r="AT35" s="78">
        <f t="shared" si="6"/>
        <v>1.5773888092561781</v>
      </c>
      <c r="AV35" s="78">
        <f>'Alternative 2'!$B$39*$B35*$C35*COS($K$53)-($N$52/3)*$E35*SIN($K$53)-($N$52/3)*$F35*SIN($K$53)-($N$52/3)*$G35*SIN($K$53)</f>
        <v>43726.685123768402</v>
      </c>
      <c r="AW35" s="79">
        <f>IF(($A35&lt;'Alternative 2'!$B$27),(($H35*'Alternative 2'!$B$39)+(3*($N$52/3)*COS($K$53))),IF(($A35&lt;'Alternative 2'!$B$28),(($H35*'Alternative 2'!$B$39)+(2*(($N$52/3)*COS($K$53)))),IF(($A35&lt;'Alternative 2'!$B$29),(($H$3*'Alternative 2'!$B$39+(($N$52/3)*COS($K$53)))),($H35*'Alternative 2'!$B$39))))</f>
        <v>34013.322958334618</v>
      </c>
      <c r="AX35" s="78">
        <f>AV35*'Alternative 2'!$K36/'Alternative 2'!$L36</f>
        <v>1306530.8355916878</v>
      </c>
      <c r="AY35" s="78">
        <f>AW35/'Alternative 2'!$M36</f>
        <v>20325.992104669225</v>
      </c>
      <c r="AZ35" s="78">
        <f t="shared" si="7"/>
        <v>1.3268568276963573</v>
      </c>
      <c r="BB35" s="78">
        <f>'Alternative 2'!$B$39*$B35*$C35*COS($K$63)-($N$62/3)*$E35*SIN($K$63)-($N$62/3)*$F35*SIN($K$63)-($N$62/3)*$G35*SIN($K$63)</f>
        <v>34013.322958334626</v>
      </c>
      <c r="BC35" s="79">
        <f>IF(($A35&lt;'Alternative 2'!$B$27),(($H35*'Alternative 2'!$B$39)+(3*($N$62/3)*COS($K$63))),IF(($A35&lt;'Alternative 2'!$B$28),(($H35*'Alternative 2'!$B$39)+(2*(($N$62/3)*COS($K$63)))),IF(($A35&lt;'Alternative 2'!$B$29),(($H$3*'Alternative 2'!$B$39+(($N$62/3)*COS($K$63)))),($H35*'Alternative 2'!$B$39))))</f>
        <v>34013.322958334618</v>
      </c>
      <c r="BD35" s="78">
        <f>BB35*'Alternative 2'!$K36/'Alternative 2'!$L36</f>
        <v>1016300.5757289164</v>
      </c>
      <c r="BE35" s="78">
        <f>BC35/'Alternative 2'!$M36</f>
        <v>20325.992104669225</v>
      </c>
      <c r="BF35" s="78">
        <f t="shared" si="8"/>
        <v>1.0366265678335858</v>
      </c>
      <c r="BH35" s="78">
        <f>'Alternative 2'!$B$39*$B35*$C35*COS($K$73)-($N$72/3)*$E35*SIN($K$73)-($N$72/3)*$F35*SIN($K$73)-($N$72/3)*$G35*SIN($K$73)</f>
        <v>23266.483186383735</v>
      </c>
      <c r="BI35" s="79">
        <f>IF(($A35&lt;'Alternative 2'!$B$27),(($H35*'Alternative 2'!$B$39)+(3*($N$72/3)*COS($K$73))),IF(($A35&lt;'Alternative 2'!$B$28),(($H35*'Alternative 2'!$B$39)+(2*(($N$72/3)*COS($K$73)))),IF(($A35&lt;'Alternative 2'!$B$29),(($H$3*'Alternative 2'!$B$39+(($N$72/3)*COS($K$73)))),($H35*'Alternative 2'!$B$39))))</f>
        <v>34013.322958334618</v>
      </c>
      <c r="BJ35" s="78">
        <f>BH35*'Alternative 2'!$K36/'Alternative 2'!$L36</f>
        <v>695190.53714552731</v>
      </c>
      <c r="BK35" s="78">
        <f>BI35/'Alternative 2'!$M36</f>
        <v>20325.992104669225</v>
      </c>
      <c r="BL35" s="78">
        <f t="shared" si="9"/>
        <v>0.71551652925019649</v>
      </c>
      <c r="BN35" s="78">
        <f>'Alternative 2'!$B$39*$B35*$C35*COS($K$83)-($N$82/3)*$E35*SIN($K$83)-($N$82/3)*$F35*SIN($K$83)-($N$82/3)*$G35*SIN($K$83)</f>
        <v>11812.703096223146</v>
      </c>
      <c r="BO35" s="79">
        <f>IF(($A35&lt;'Alternative 2'!$B$27),(($H35*'Alternative 2'!$B$39)+(3*($N$82/3)*COS($K$83))),IF(($A35&lt;'Alternative 2'!$B$28),(($H35*'Alternative 2'!$B$39)+(2*(($N$82/3)*COS($K$83)))),IF(($A35&lt;'Alternative 2'!$B$29),(($H$3*'Alternative 2'!$B$39+(($N$82/3)*COS($K$83)))),($H35*'Alternative 2'!$B$39))))</f>
        <v>34013.322958334618</v>
      </c>
      <c r="BP35" s="78">
        <f>BN35*'Alternative 2'!$K36/'Alternative 2'!$L36</f>
        <v>352957.48587435699</v>
      </c>
      <c r="BQ35" s="78">
        <f>BO35/'Alternative 2'!$M36</f>
        <v>20325.992104669225</v>
      </c>
      <c r="BR35" s="78">
        <f t="shared" si="10"/>
        <v>0.37328347797902622</v>
      </c>
      <c r="BT35" s="78">
        <f>'Alternative 2'!$B$39*$B35*$C35*COS($K$93)-($K$92/3)*$E35*SIN($K$93)-($K$92/3)*$F35*SIN($K$93)-($K$92/3)*$G35*SIN($K$93)</f>
        <v>4.1671370068711553E-12</v>
      </c>
      <c r="BU35" s="79">
        <f>IF(($A35&lt;'Alternative 2'!$B$27),(($H35*'Alternative 2'!$B$39)+(3*($N$92/3)*COS($K$93))),IF(($A35&lt;'Alternative 2'!$B$28),(($H35*'Alternative 2'!$B$39)+(2*(($N$92/3)*COS($K$93)))),IF(($A35&lt;'Alternative 2'!$B$29),(($H$3*'Alternative 2'!$B$39+(($N$92/3)*COS($K$93)))),($H35*'Alternative 2'!$B$39))))</f>
        <v>34013.322958334618</v>
      </c>
      <c r="BV35" s="78">
        <f>BT35*'Alternative 2'!$K36/'Alternative 2'!$L36</f>
        <v>1.2451190800770227E-10</v>
      </c>
      <c r="BW35" s="78">
        <f>BU35/'Alternative 2'!$M36</f>
        <v>20325.992104669225</v>
      </c>
      <c r="BX35" s="78">
        <f t="shared" si="11"/>
        <v>2.0325992104669351E-2</v>
      </c>
      <c r="BZ35" s="77">
        <v>150</v>
      </c>
      <c r="CA35" s="77">
        <v>-150</v>
      </c>
    </row>
    <row r="36" spans="1:79" ht="15" customHeight="1" x14ac:dyDescent="0.25">
      <c r="A36" s="13">
        <f>IF('Alternative 2'!F37&gt;0,'Alternative 2'!F37,"x")</f>
        <v>34</v>
      </c>
      <c r="B36" s="13">
        <f t="shared" si="17"/>
        <v>3</v>
      </c>
      <c r="C36" s="13">
        <f t="shared" si="12"/>
        <v>1.5</v>
      </c>
      <c r="D36" s="13">
        <f t="shared" si="13"/>
        <v>34</v>
      </c>
      <c r="E36" s="74">
        <f>IF($A36&lt;='Alternative 2'!$B$27, IF($A36='Alternative 2'!$B$27,0,E37+1),0)</f>
        <v>0</v>
      </c>
      <c r="F36" s="74">
        <f>IF($A36&lt;=('Alternative 2'!$B$28), IF($A36=ROUNDDOWN('Alternative 2'!$B$28,0),0,F37+1),0)</f>
        <v>0</v>
      </c>
      <c r="G36" s="74">
        <f>IF($A36&lt;=('Alternative 2'!$B$29), IF($A36=ROUNDDOWN('Alternative 2'!$B$29,0),0,G37+1),0)</f>
        <v>0</v>
      </c>
      <c r="H36" s="13">
        <f t="shared" si="14"/>
        <v>3</v>
      </c>
      <c r="J36" s="77">
        <f t="shared" si="15"/>
        <v>33</v>
      </c>
      <c r="K36" s="77">
        <f t="shared" si="16"/>
        <v>0.57595865315812877</v>
      </c>
      <c r="L36" s="78">
        <f>'Alternative 2'!$B$27*SIN(K36)+'Alternative 2'!$B$28*SIN(K36)+'Alternative 2'!$B$29*SIN(K36)</f>
        <v>37.035454381021843</v>
      </c>
      <c r="M36" s="77">
        <f>(('Alternative 2'!$B$27)*(((('Alternative 2'!$B$28-'Alternative 2'!$B$27)/2)+'Alternative 2'!$B$27)*'Alternative 2'!$B$39)*COS('Alternative 2-Tilt Up'!K36))+(('Alternative 2'!$B$28)*((('Alternative 2'!$B$28-'Alternative 2'!$B$27)/2)+(('Alternative 2'!$B$29-'Alternative 2'!$B$28)/2))*('Alternative 2'!$B$39)*COS('Alternative 2-Tilt Up'!K36))+(('Alternative 2'!$B$29)*((('Alternative 2'!$B$12-'Alternative 2'!$B$29+(('Alternative 2'!$B$29-'Alternative 2'!$B$28)/2)*('Alternative 2'!$B$39)*COS('Alternative 2-Tilt Up'!K36)))))</f>
        <v>3980456.3626346057</v>
      </c>
      <c r="N36" s="77">
        <f t="shared" si="0"/>
        <v>322430.74339120183</v>
      </c>
      <c r="O36" s="77">
        <f>(((('Alternative 2'!$B$28-'Alternative 2'!$B$27)/2)+'Alternative 2'!$B$27)*('Alternative 2'!$B$39)*COS('Alternative 2-Tilt Up'!K36))+(((('Alternative 2'!$B$28-'Alternative 2'!$B$27)/2)+(('Alternative 2'!$B$29-'Alternative 2'!$B$28)/2))*('Alternative 2'!$B$39)*COS('Alternative 2-Tilt Up'!K36))+(((('Alternative 2'!$B$12-'Alternative 2'!$B$29)+(('Alternative 2'!$B$29-'Alternative 2'!$B$28)/2))*('Alternative 2'!$B$39)*COS('Alternative 2-Tilt Up'!K36)))</f>
        <v>256733.75594859861</v>
      </c>
      <c r="P36" s="77">
        <f t="shared" si="1"/>
        <v>270413.17468296451</v>
      </c>
      <c r="R36" s="78">
        <f>'Alternative 2'!$B$39*$B36*$C36*COS($K$5)-($N$5/3)*$E36*SIN($K$5)-($N$5/3)*$F36*SIN($K$5)-($N$5/3)*$G36*SIN($K$5)</f>
        <v>38241.678331122341</v>
      </c>
      <c r="S36" s="79">
        <f>IF(($A36&lt;'Alternative 2'!$B$27),(($H36*'Alternative 2'!$B$39)+(3*($N$5/3)*COS($K$5))),IF(($A36&lt;'Alternative 2'!$B$28),(($H36*'Alternative 2'!$B$39)+(2*(($N$5/3)*COS($K$5)))),IF(($A36&lt;'Alternative 2'!$B$29),(($H$3*'Alternative 2'!$B$39+(($N$5/3)*COS($K$5)))),($H36*'Alternative 2'!$B$39))))</f>
        <v>25509.992218750966</v>
      </c>
      <c r="T36" s="78">
        <f>R36*'Alternative 2'!$K37/'Alternative 2'!$L37</f>
        <v>1174428.283124279</v>
      </c>
      <c r="U36" s="78">
        <f>S36/'Alternative 2'!$M37</f>
        <v>15668.573693450064</v>
      </c>
      <c r="V36" s="78">
        <f t="shared" si="2"/>
        <v>1.190096856817729</v>
      </c>
      <c r="X36" s="78">
        <f>'Alternative 2'!$B$39*$B36*$C36*COS($K$13)-($N$12/3)*$E36*SIN($K$13)-($N$12/3)*$F36*SIN($K$13)-($N$12/3)*$G36*SIN($K$13)</f>
        <v>37683.657174460575</v>
      </c>
      <c r="Y36" s="79">
        <f>IF(($A36&lt;'Alternative 2'!$B$27),(($H36*'Alternative 2'!$B$39)+(3*($N$12/3)*COS($K$13))),IF(($A36&lt;'Alternative 2'!$B$28),(($H36*'Alternative 2'!$B$39)+(2*(($N$12/3)*COS($K$13)))),IF(($A36&lt;'Alternative 2'!$B$29),(($H$3*'Alternative 2'!$B$39+(($N$12/3)*COS($K$13)))),($H36*'Alternative 2'!$B$39))))</f>
        <v>25509.992218750966</v>
      </c>
      <c r="Z36" s="78">
        <f>X36*'Alternative 2'!$K37/'Alternative 2'!$L37</f>
        <v>1157291.0690279</v>
      </c>
      <c r="AA36" s="78">
        <f>Y36/'Alternative 2'!$M37</f>
        <v>15668.573693450064</v>
      </c>
      <c r="AB36" s="78">
        <f t="shared" si="3"/>
        <v>1.17295964272135</v>
      </c>
      <c r="AD36" s="78">
        <f>'Alternative 2'!$B$39*$B36*$C36*COS($K$23)-($N$22/3)*$E36*SIN($K$23)-($N$22/3)*$F36*SIN($K$23)-($N$22/3)*$G36*SIN($K$23)</f>
        <v>35957.327166399336</v>
      </c>
      <c r="AE36" s="79">
        <f>IF(($A36&lt;'Alternative 2'!$B$27),(($H36*'Alternative 2'!$B$39)+(3*($N$22/3)*COS($K$23))),IF(($A36&lt;'Alternative 2'!$B$28),(($H36*'Alternative 2'!$B$39)+(2*(($N$22/3)*COS($K$23)))),IF(($A36&lt;'Alternative 2'!$B$29),(($H$3*'Alternative 2'!$B$39+(($N$22/3)*COS($K$23)))),($H36*'Alternative 2'!$B$39))))</f>
        <v>25509.992218750966</v>
      </c>
      <c r="AF36" s="78">
        <f>AD36*'Alternative 2'!$K37/'Alternative 2'!$L37</f>
        <v>1104274.2853522922</v>
      </c>
      <c r="AG36" s="78">
        <f>AE36/'Alternative 2'!$M37</f>
        <v>15668.573693450064</v>
      </c>
      <c r="AH36" s="78">
        <f t="shared" si="4"/>
        <v>1.1199428590457423</v>
      </c>
      <c r="AJ36" s="78">
        <f>'Alternative 2'!$B$39*$B36*$C36*COS($K$33)-($N$32/3)*$E36*SIN($K$33)-($N$32/3)*$F36*SIN($K$33)-($N$32/3)*$G36*SIN($K$33)</f>
        <v>33138.451967672539</v>
      </c>
      <c r="AK36" s="79">
        <f>IF(($A36&lt;'Alternative 2'!$B$27),(($H36*'Alternative 2'!$B$39)+(3*($N$32/3)*COS($K$33))),IF(($A36&lt;'Alternative 2'!$B$28),(($H36*'Alternative 2'!$B$39)+(2*(($N$32/3)*COS($K$33)))),IF(($A36&lt;'Alternative 2'!$B$29),(($H$3*'Alternative 2'!$B$39+(($N$32/3)*COS($K$33)))),($H36*'Alternative 2'!$B$39))))</f>
        <v>25509.992218750966</v>
      </c>
      <c r="AL36" s="78">
        <f>AJ36*'Alternative 2'!$K37/'Alternative 2'!$L37</f>
        <v>1017704.6863060059</v>
      </c>
      <c r="AM36" s="78">
        <f>AK36/'Alternative 2'!$M37</f>
        <v>15668.573693450064</v>
      </c>
      <c r="AN36" s="78">
        <f t="shared" si="5"/>
        <v>1.0333732599994561</v>
      </c>
      <c r="AP36" s="78">
        <f>'Alternative 2'!$B$39*$B36*$C36*COS($K$43)-($N$42/3)*$E36*SIN($K$43)-($N$42/3)*$F36*SIN($K$43)-($N$42/3)*$G36*SIN($K$43)</f>
        <v>29312.681674773819</v>
      </c>
      <c r="AQ36" s="79">
        <f>IF(($A36&lt;'Alternative 2'!$B$27),(($H36*'Alternative 2'!$B$39)+(3*($N$42/3)*COS($K$43))),IF(($A36&lt;'Alternative 2'!$B$28),(($H36*'Alternative 2'!$B$39)+(2*(($N$42/3)*COS($K$43)))),IF(($A36&lt;'Alternative 2'!$B$29),(($H$3*'Alternative 2'!$B$39+(($N$42/3)*COS($K$43)))),($H36*'Alternative 2'!$B$39))))</f>
        <v>25509.992218750966</v>
      </c>
      <c r="AR36" s="78">
        <f>AP36*'Alternative 2'!$K37/'Alternative 2'!$L37</f>
        <v>900212.64534973097</v>
      </c>
      <c r="AS36" s="78">
        <f>AQ36/'Alternative 2'!$M37</f>
        <v>15668.573693450064</v>
      </c>
      <c r="AT36" s="78">
        <f t="shared" si="6"/>
        <v>0.91588121904318109</v>
      </c>
      <c r="AV36" s="78">
        <f>'Alternative 2'!$B$39*$B36*$C36*COS($K$53)-($N$52/3)*$E36*SIN($K$53)-($N$52/3)*$F36*SIN($K$53)-($N$52/3)*$G36*SIN($K$53)</f>
        <v>24596.260382119726</v>
      </c>
      <c r="AW36" s="79">
        <f>IF(($A36&lt;'Alternative 2'!$B$27),(($H36*'Alternative 2'!$B$39)+(3*($N$52/3)*COS($K$53))),IF(($A36&lt;'Alternative 2'!$B$28),(($H36*'Alternative 2'!$B$39)+(2*(($N$52/3)*COS($K$53)))),IF(($A36&lt;'Alternative 2'!$B$29),(($H$3*'Alternative 2'!$B$39+(($N$52/3)*COS($K$53)))),($H36*'Alternative 2'!$B$39))))</f>
        <v>25509.992218750966</v>
      </c>
      <c r="AX36" s="78">
        <f>AV36*'Alternative 2'!$K37/'Alternative 2'!$L37</f>
        <v>755368.09869408282</v>
      </c>
      <c r="AY36" s="78">
        <f>AW36/'Alternative 2'!$M37</f>
        <v>15668.573693450064</v>
      </c>
      <c r="AZ36" s="78">
        <f t="shared" si="7"/>
        <v>0.77103667238753293</v>
      </c>
      <c r="BB36" s="78">
        <f>'Alternative 2'!$B$39*$B36*$C36*COS($K$63)-($N$62/3)*$E36*SIN($K$63)-($N$62/3)*$F36*SIN($K$63)-($N$62/3)*$G36*SIN($K$63)</f>
        <v>19132.494164063228</v>
      </c>
      <c r="BC36" s="79">
        <f>IF(($A36&lt;'Alternative 2'!$B$27),(($H36*'Alternative 2'!$B$39)+(3*($N$62/3)*COS($K$63))),IF(($A36&lt;'Alternative 2'!$B$28),(($H36*'Alternative 2'!$B$39)+(2*(($N$62/3)*COS($K$63)))),IF(($A36&lt;'Alternative 2'!$B$29),(($H$3*'Alternative 2'!$B$39+(($N$62/3)*COS($K$63)))),($H36*'Alternative 2'!$B$39))))</f>
        <v>25509.992218750966</v>
      </c>
      <c r="BD36" s="78">
        <f>BB36*'Alternative 2'!$K37/'Alternative 2'!$L37</f>
        <v>587572.07459431619</v>
      </c>
      <c r="BE36" s="78">
        <f>BC36/'Alternative 2'!$M37</f>
        <v>15668.573693450064</v>
      </c>
      <c r="BF36" s="78">
        <f t="shared" si="8"/>
        <v>0.60324064828776625</v>
      </c>
      <c r="BH36" s="78">
        <f>'Alternative 2'!$B$39*$B36*$C36*COS($K$73)-($N$72/3)*$E36*SIN($K$73)-($N$72/3)*$F36*SIN($K$73)-($N$72/3)*$G36*SIN($K$73)</f>
        <v>13087.396792340853</v>
      </c>
      <c r="BI36" s="79">
        <f>IF(($A36&lt;'Alternative 2'!$B$27),(($H36*'Alternative 2'!$B$39)+(3*($N$72/3)*COS($K$73))),IF(($A36&lt;'Alternative 2'!$B$28),(($H36*'Alternative 2'!$B$39)+(2*(($N$72/3)*COS($K$73)))),IF(($A36&lt;'Alternative 2'!$B$29),(($H$3*'Alternative 2'!$B$39+(($N$72/3)*COS($K$73)))),($H36*'Alternative 2'!$B$39))))</f>
        <v>25509.992218750966</v>
      </c>
      <c r="BJ36" s="78">
        <f>BH36*'Alternative 2'!$K37/'Alternative 2'!$L37</f>
        <v>401922.97033381718</v>
      </c>
      <c r="BK36" s="78">
        <f>BI36/'Alternative 2'!$M37</f>
        <v>15668.573693450064</v>
      </c>
      <c r="BL36" s="78">
        <f t="shared" si="9"/>
        <v>0.41759154402726728</v>
      </c>
      <c r="BN36" s="78">
        <f>'Alternative 2'!$B$39*$B36*$C36*COS($K$83)-($N$82/3)*$E36*SIN($K$83)-($N$82/3)*$F36*SIN($K$83)-($N$82/3)*$G36*SIN($K$83)</f>
        <v>6644.6454916255198</v>
      </c>
      <c r="BO36" s="79">
        <f>IF(($A36&lt;'Alternative 2'!$B$27),(($H36*'Alternative 2'!$B$39)+(3*($N$82/3)*COS($K$83))),IF(($A36&lt;'Alternative 2'!$B$28),(($H36*'Alternative 2'!$B$39)+(2*(($N$82/3)*COS($K$83)))),IF(($A36&lt;'Alternative 2'!$B$29),(($H$3*'Alternative 2'!$B$39+(($N$82/3)*COS($K$83)))),($H36*'Alternative 2'!$B$39))))</f>
        <v>25509.992218750966</v>
      </c>
      <c r="BP36" s="78">
        <f>BN36*'Alternative 2'!$K37/'Alternative 2'!$L37</f>
        <v>204061.64000256135</v>
      </c>
      <c r="BQ36" s="78">
        <f>BO36/'Alternative 2'!$M37</f>
        <v>15668.573693450064</v>
      </c>
      <c r="BR36" s="78">
        <f t="shared" si="10"/>
        <v>0.21973021369601142</v>
      </c>
      <c r="BT36" s="78">
        <f>'Alternative 2'!$B$39*$B36*$C36*COS($K$93)-($K$92/3)*$E36*SIN($K$93)-($K$92/3)*$F36*SIN($K$93)-($K$92/3)*$G36*SIN($K$93)</f>
        <v>2.3440145663650249E-12</v>
      </c>
      <c r="BU36" s="79">
        <f>IF(($A36&lt;'Alternative 2'!$B$27),(($H36*'Alternative 2'!$B$39)+(3*($N$92/3)*COS($K$93))),IF(($A36&lt;'Alternative 2'!$B$28),(($H36*'Alternative 2'!$B$39)+(2*(($N$92/3)*COS($K$93)))),IF(($A36&lt;'Alternative 2'!$B$29),(($H$3*'Alternative 2'!$B$39+(($N$92/3)*COS($K$93)))),($H36*'Alternative 2'!$B$39))))</f>
        <v>25509.992218750966</v>
      </c>
      <c r="BV36" s="78">
        <f>BT36*'Alternative 2'!$K37/'Alternative 2'!$L37</f>
        <v>7.1986301933667882E-11</v>
      </c>
      <c r="BW36" s="78">
        <f>BU36/'Alternative 2'!$M37</f>
        <v>15668.573693450064</v>
      </c>
      <c r="BX36" s="78">
        <f t="shared" si="11"/>
        <v>1.5668573693450136E-2</v>
      </c>
      <c r="BZ36" s="77">
        <v>150</v>
      </c>
      <c r="CA36" s="77">
        <v>-150</v>
      </c>
    </row>
    <row r="37" spans="1:79" ht="15" customHeight="1" x14ac:dyDescent="0.25">
      <c r="A37" s="13">
        <f>IF('Alternative 2'!F38&gt;0,'Alternative 2'!F38,"x")</f>
        <v>35</v>
      </c>
      <c r="B37" s="13">
        <f t="shared" si="17"/>
        <v>2</v>
      </c>
      <c r="C37" s="13">
        <f t="shared" si="12"/>
        <v>1</v>
      </c>
      <c r="D37" s="13">
        <f t="shared" si="13"/>
        <v>35</v>
      </c>
      <c r="E37" s="74">
        <f>IF($A37&lt;='Alternative 2'!$B$27, IF($A37='Alternative 2'!$B$27,0,E38+1),0)</f>
        <v>0</v>
      </c>
      <c r="F37" s="74">
        <f>IF($A37&lt;=('Alternative 2'!$B$28), IF($A37=ROUNDDOWN('Alternative 2'!$B$28,0),0,F38+1),0)</f>
        <v>0</v>
      </c>
      <c r="G37" s="74">
        <f>IF($A37&lt;=('Alternative 2'!$B$29), IF($A37=ROUNDDOWN('Alternative 2'!$B$29,0),0,G38+1),0)</f>
        <v>0</v>
      </c>
      <c r="H37" s="13">
        <f t="shared" si="14"/>
        <v>2</v>
      </c>
      <c r="J37" s="77">
        <f t="shared" si="15"/>
        <v>34</v>
      </c>
      <c r="K37" s="77">
        <f t="shared" si="16"/>
        <v>0.59341194567807209</v>
      </c>
      <c r="L37" s="78">
        <f>'Alternative 2'!$B$27*SIN(K37)+'Alternative 2'!$B$28*SIN(K37)+'Alternative 2'!$B$29*SIN(K37)</f>
        <v>38.025117436010788</v>
      </c>
      <c r="M37" s="77">
        <f>(('Alternative 2'!$B$27)*(((('Alternative 2'!$B$28-'Alternative 2'!$B$27)/2)+'Alternative 2'!$B$27)*'Alternative 2'!$B$39)*COS('Alternative 2-Tilt Up'!K37))+(('Alternative 2'!$B$28)*((('Alternative 2'!$B$28-'Alternative 2'!$B$27)/2)+(('Alternative 2'!$B$29-'Alternative 2'!$B$28)/2))*('Alternative 2'!$B$39)*COS('Alternative 2-Tilt Up'!K37))+(('Alternative 2'!$B$29)*((('Alternative 2'!$B$12-'Alternative 2'!$B$29+(('Alternative 2'!$B$29-'Alternative 2'!$B$28)/2)*('Alternative 2'!$B$39)*COS('Alternative 2-Tilt Up'!K37)))))</f>
        <v>3934738.9680522224</v>
      </c>
      <c r="N37" s="77">
        <f t="shared" si="0"/>
        <v>310432.09594345029</v>
      </c>
      <c r="O37" s="77">
        <f>(((('Alternative 2'!$B$28-'Alternative 2'!$B$27)/2)+'Alternative 2'!$B$27)*('Alternative 2'!$B$39)*COS('Alternative 2-Tilt Up'!K37))+(((('Alternative 2'!$B$28-'Alternative 2'!$B$27)/2)+(('Alternative 2'!$B$29-'Alternative 2'!$B$28)/2))*('Alternative 2'!$B$39)*COS('Alternative 2-Tilt Up'!K37))+(((('Alternative 2'!$B$12-'Alternative 2'!$B$29)+(('Alternative 2'!$B$29-'Alternative 2'!$B$28)/2))*('Alternative 2'!$B$39)*COS('Alternative 2-Tilt Up'!K37)))</f>
        <v>253784.9042991756</v>
      </c>
      <c r="P37" s="77">
        <f t="shared" si="1"/>
        <v>257359.8712641318</v>
      </c>
      <c r="R37" s="78">
        <f>'Alternative 2'!$B$39*$B37*$C37*COS($K$5)-($N$5/3)*$E37*SIN($K$5)-($N$5/3)*$F37*SIN($K$5)-($N$5/3)*$G37*SIN($K$5)</f>
        <v>16996.301480498816</v>
      </c>
      <c r="S37" s="79">
        <f>IF(($A37&lt;'Alternative 2'!$B$27),(($H37*'Alternative 2'!$B$39)+(3*($N$5/3)*COS($K$5))),IF(($A37&lt;'Alternative 2'!$B$28),(($H37*'Alternative 2'!$B$39)+(2*(($N$5/3)*COS($K$5)))),IF(($A37&lt;'Alternative 2'!$B$29),(($H$3*'Alternative 2'!$B$39+(($N$5/3)*COS($K$5)))),($H37*'Alternative 2'!$B$39))))</f>
        <v>17006.661479167309</v>
      </c>
      <c r="T37" s="78">
        <f>R37*'Alternative 2'!$K38/'Alternative 2'!$L38</f>
        <v>536693.32564853202</v>
      </c>
      <c r="U37" s="78">
        <f>S37/'Alternative 2'!$M38</f>
        <v>10740.3990237737</v>
      </c>
      <c r="V37" s="78">
        <f t="shared" si="2"/>
        <v>0.54743372467230578</v>
      </c>
      <c r="X37" s="78">
        <f>'Alternative 2'!$B$39*$B37*$C37*COS($K$13)-($N$12/3)*$E37*SIN($K$13)-($N$12/3)*$F37*SIN($K$13)-($N$12/3)*$G37*SIN($K$13)</f>
        <v>16748.292077538033</v>
      </c>
      <c r="Y37" s="79">
        <f>IF(($A37&lt;'Alternative 2'!$B$27),(($H37*'Alternative 2'!$B$39)+(3*($N$12/3)*COS($K$13))),IF(($A37&lt;'Alternative 2'!$B$28),(($H37*'Alternative 2'!$B$39)+(2*(($N$12/3)*COS($K$13)))),IF(($A37&lt;'Alternative 2'!$B$29),(($H$3*'Alternative 2'!$B$39+(($N$12/3)*COS($K$13)))),($H37*'Alternative 2'!$B$39))))</f>
        <v>17006.661479167309</v>
      </c>
      <c r="Z37" s="78">
        <f>X37*'Alternative 2'!$K38/'Alternative 2'!$L38</f>
        <v>528861.91647872818</v>
      </c>
      <c r="AA37" s="78">
        <f>Y37/'Alternative 2'!$M38</f>
        <v>10740.3990237737</v>
      </c>
      <c r="AB37" s="78">
        <f t="shared" si="3"/>
        <v>0.53960231550250193</v>
      </c>
      <c r="AD37" s="78">
        <f>'Alternative 2'!$B$39*$B37*$C37*COS($K$23)-($N$22/3)*$E37*SIN($K$23)-($N$22/3)*$F37*SIN($K$23)-($N$22/3)*$G37*SIN($K$23)</f>
        <v>15981.034296177482</v>
      </c>
      <c r="AE37" s="79">
        <f>IF(($A37&lt;'Alternative 2'!$B$27),(($H37*'Alternative 2'!$B$39)+(3*($N$22/3)*COS($K$23))),IF(($A37&lt;'Alternative 2'!$B$28),(($H37*'Alternative 2'!$B$39)+(2*(($N$22/3)*COS($K$23)))),IF(($A37&lt;'Alternative 2'!$B$29),(($H$3*'Alternative 2'!$B$39+(($N$22/3)*COS($K$23)))),($H37*'Alternative 2'!$B$39))))</f>
        <v>17006.661479167309</v>
      </c>
      <c r="AF37" s="78">
        <f>AD37*'Alternative 2'!$K38/'Alternative 2'!$L38</f>
        <v>504634.16723689582</v>
      </c>
      <c r="AG37" s="78">
        <f>AE37/'Alternative 2'!$M38</f>
        <v>10740.3990237737</v>
      </c>
      <c r="AH37" s="78">
        <f t="shared" si="4"/>
        <v>0.51537456626066946</v>
      </c>
      <c r="AJ37" s="78">
        <f>'Alternative 2'!$B$39*$B37*$C37*COS($K$33)-($N$32/3)*$E37*SIN($K$33)-($N$32/3)*$F37*SIN($K$33)-($N$32/3)*$G37*SIN($K$33)</f>
        <v>14728.200874521128</v>
      </c>
      <c r="AK37" s="79">
        <f>IF(($A37&lt;'Alternative 2'!$B$27),(($H37*'Alternative 2'!$B$39)+(3*($N$32/3)*COS($K$33))),IF(($A37&lt;'Alternative 2'!$B$28),(($H37*'Alternative 2'!$B$39)+(2*(($N$32/3)*COS($K$33)))),IF(($A37&lt;'Alternative 2'!$B$29),(($H$3*'Alternative 2'!$B$39+(($N$32/3)*COS($K$33)))),($H37*'Alternative 2'!$B$39))))</f>
        <v>17006.661479167309</v>
      </c>
      <c r="AL37" s="78">
        <f>AJ37*'Alternative 2'!$K38/'Alternative 2'!$L38</f>
        <v>465073.36418078031</v>
      </c>
      <c r="AM37" s="78">
        <f>AK37/'Alternative 2'!$M38</f>
        <v>10740.3990237737</v>
      </c>
      <c r="AN37" s="78">
        <f t="shared" si="5"/>
        <v>0.47581376320455399</v>
      </c>
      <c r="AP37" s="78">
        <f>'Alternative 2'!$B$39*$B37*$C37*COS($K$43)-($N$42/3)*$E37*SIN($K$43)-($N$42/3)*$F37*SIN($K$43)-($N$42/3)*$G37*SIN($K$43)</f>
        <v>13027.858522121696</v>
      </c>
      <c r="AQ37" s="79">
        <f>IF(($A37&lt;'Alternative 2'!$B$27),(($H37*'Alternative 2'!$B$39)+(3*($N$42/3)*COS($K$43))),IF(($A37&lt;'Alternative 2'!$B$28),(($H37*'Alternative 2'!$B$39)+(2*(($N$42/3)*COS($K$43)))),IF(($A37&lt;'Alternative 2'!$B$29),(($H$3*'Alternative 2'!$B$39+(($N$42/3)*COS($K$43)))),($H37*'Alternative 2'!$B$39))))</f>
        <v>17006.661479167309</v>
      </c>
      <c r="AR37" s="78">
        <f>AP37*'Alternative 2'!$K38/'Alternative 2'!$L38</f>
        <v>411381.54229250929</v>
      </c>
      <c r="AS37" s="78">
        <f>AQ37/'Alternative 2'!$M38</f>
        <v>10740.3990237737</v>
      </c>
      <c r="AT37" s="78">
        <f t="shared" si="6"/>
        <v>0.42212194131628294</v>
      </c>
      <c r="AV37" s="78">
        <f>'Alternative 2'!$B$39*$B37*$C37*COS($K$53)-($N$52/3)*$E37*SIN($K$53)-($N$52/3)*$F37*SIN($K$53)-($N$52/3)*$G37*SIN($K$53)</f>
        <v>10931.671280942101</v>
      </c>
      <c r="AW37" s="79">
        <f>IF(($A37&lt;'Alternative 2'!$B$27),(($H37*'Alternative 2'!$B$39)+(3*($N$52/3)*COS($K$53))),IF(($A37&lt;'Alternative 2'!$B$28),(($H37*'Alternative 2'!$B$39)+(2*(($N$52/3)*COS($K$53)))),IF(($A37&lt;'Alternative 2'!$B$29),(($H$3*'Alternative 2'!$B$39+(($N$52/3)*COS($K$53)))),($H37*'Alternative 2'!$B$39))))</f>
        <v>17006.661479167309</v>
      </c>
      <c r="AX37" s="78">
        <f>AV37*'Alternative 2'!$K38/'Alternative 2'!$L38</f>
        <v>345190.10041078523</v>
      </c>
      <c r="AY37" s="78">
        <f>AW37/'Alternative 2'!$M38</f>
        <v>10740.3990237737</v>
      </c>
      <c r="AZ37" s="78">
        <f t="shared" si="7"/>
        <v>0.3559304994345589</v>
      </c>
      <c r="BB37" s="78">
        <f>'Alternative 2'!$B$39*$B37*$C37*COS($K$63)-($N$62/3)*$E37*SIN($K$63)-($N$62/3)*$F37*SIN($K$63)-($N$62/3)*$G37*SIN($K$63)</f>
        <v>8503.3307395836564</v>
      </c>
      <c r="BC37" s="79">
        <f>IF(($A37&lt;'Alternative 2'!$B$27),(($H37*'Alternative 2'!$B$39)+(3*($N$62/3)*COS($K$63))),IF(($A37&lt;'Alternative 2'!$B$28),(($H37*'Alternative 2'!$B$39)+(2*(($N$62/3)*COS($K$63)))),IF(($A37&lt;'Alternative 2'!$B$29),(($H$3*'Alternative 2'!$B$39+(($N$62/3)*COS($K$63)))),($H37*'Alternative 2'!$B$39))))</f>
        <v>17006.661479167309</v>
      </c>
      <c r="BD37" s="78">
        <f>BB37*'Alternative 2'!$K38/'Alternative 2'!$L38</f>
        <v>268510.23200269841</v>
      </c>
      <c r="BE37" s="78">
        <f>BC37/'Alternative 2'!$M38</f>
        <v>10740.3990237737</v>
      </c>
      <c r="BF37" s="78">
        <f t="shared" si="8"/>
        <v>0.27925063102647207</v>
      </c>
      <c r="BH37" s="78">
        <f>'Alternative 2'!$B$39*$B37*$C37*COS($K$73)-($N$72/3)*$E37*SIN($K$73)-($N$72/3)*$F37*SIN($K$73)-($N$72/3)*$G37*SIN($K$73)</f>
        <v>5816.6207965959338</v>
      </c>
      <c r="BI37" s="79">
        <f>IF(($A37&lt;'Alternative 2'!$B$27),(($H37*'Alternative 2'!$B$39)+(3*($N$72/3)*COS($K$73))),IF(($A37&lt;'Alternative 2'!$B$28),(($H37*'Alternative 2'!$B$39)+(2*(($N$72/3)*COS($K$73)))),IF(($A37&lt;'Alternative 2'!$B$29),(($H$3*'Alternative 2'!$B$39+(($N$72/3)*COS($K$73)))),($H37*'Alternative 2'!$B$39))))</f>
        <v>17006.661479167309</v>
      </c>
      <c r="BJ37" s="78">
        <f>BH37*'Alternative 2'!$K38/'Alternative 2'!$L38</f>
        <v>183671.81606794294</v>
      </c>
      <c r="BK37" s="78">
        <f>BI37/'Alternative 2'!$M38</f>
        <v>10740.3990237737</v>
      </c>
      <c r="BL37" s="78">
        <f t="shared" si="9"/>
        <v>0.19441221509171663</v>
      </c>
      <c r="BN37" s="78">
        <f>'Alternative 2'!$B$39*$B37*$C37*COS($K$83)-($N$82/3)*$E37*SIN($K$83)-($N$82/3)*$F37*SIN($K$83)-($N$82/3)*$G37*SIN($K$83)</f>
        <v>2953.1757740557864</v>
      </c>
      <c r="BO37" s="79">
        <f>IF(($A37&lt;'Alternative 2'!$B$27),(($H37*'Alternative 2'!$B$39)+(3*($N$82/3)*COS($K$83))),IF(($A37&lt;'Alternative 2'!$B$28),(($H37*'Alternative 2'!$B$39)+(2*(($N$82/3)*COS($K$83)))),IF(($A37&lt;'Alternative 2'!$B$29),(($H$3*'Alternative 2'!$B$39+(($N$82/3)*COS($K$83)))),($H37*'Alternative 2'!$B$39))))</f>
        <v>17006.661479167309</v>
      </c>
      <c r="BP37" s="78">
        <f>BN37*'Alternative 2'!$K38/'Alternative 2'!$L38</f>
        <v>93252.624944386538</v>
      </c>
      <c r="BQ37" s="78">
        <f>BO37/'Alternative 2'!$M38</f>
        <v>10740.3990237737</v>
      </c>
      <c r="BR37" s="78">
        <f t="shared" si="10"/>
        <v>0.10399302396816024</v>
      </c>
      <c r="BT37" s="78">
        <f>'Alternative 2'!$B$39*$B37*$C37*COS($K$93)-($K$92/3)*$E37*SIN($K$93)-($K$92/3)*$F37*SIN($K$93)-($K$92/3)*$G37*SIN($K$93)</f>
        <v>1.0417842517177888E-12</v>
      </c>
      <c r="BU37" s="79">
        <f>IF(($A37&lt;'Alternative 2'!$B$27),(($H37*'Alternative 2'!$B$39)+(3*($N$92/3)*COS($K$93))),IF(($A37&lt;'Alternative 2'!$B$28),(($H37*'Alternative 2'!$B$39)+(2*(($N$92/3)*COS($K$93)))),IF(($A37&lt;'Alternative 2'!$B$29),(($H$3*'Alternative 2'!$B$39+(($N$92/3)*COS($K$93)))),($H37*'Alternative 2'!$B$39))))</f>
        <v>17006.661479167309</v>
      </c>
      <c r="BV37" s="78">
        <f>BT37*'Alternative 2'!$K38/'Alternative 2'!$L38</f>
        <v>3.2896489586526101E-11</v>
      </c>
      <c r="BW37" s="78">
        <f>BU37/'Alternative 2'!$M38</f>
        <v>10740.3990237737</v>
      </c>
      <c r="BX37" s="78">
        <f t="shared" si="11"/>
        <v>1.0740399023773732E-2</v>
      </c>
      <c r="BZ37" s="77">
        <v>150</v>
      </c>
      <c r="CA37" s="77">
        <v>-150</v>
      </c>
    </row>
    <row r="38" spans="1:79" ht="15" customHeight="1" x14ac:dyDescent="0.25">
      <c r="A38" s="13">
        <f>IF('Alternative 2'!F39&gt;0,'Alternative 2'!F39,"x")</f>
        <v>36</v>
      </c>
      <c r="B38" s="13">
        <f t="shared" si="17"/>
        <v>1</v>
      </c>
      <c r="C38" s="13">
        <f t="shared" si="12"/>
        <v>0.5</v>
      </c>
      <c r="D38" s="13">
        <f t="shared" si="13"/>
        <v>36</v>
      </c>
      <c r="E38" s="74">
        <f>IF($A38&lt;='Alternative 2'!$B$27, IF($A38='Alternative 2'!$B$27,0,E39+1),0)</f>
        <v>0</v>
      </c>
      <c r="F38" s="74">
        <f>IF($A38&lt;=('Alternative 2'!$B$28), IF($A38=ROUNDDOWN('Alternative 2'!$B$28,0),0,F39+1),0)</f>
        <v>0</v>
      </c>
      <c r="G38" s="74">
        <f>IF($A38&lt;=('Alternative 2'!$B$29), IF($A38=ROUNDDOWN('Alternative 2'!$B$29,0),0,G39+1),0)</f>
        <v>0</v>
      </c>
      <c r="H38" s="13">
        <f t="shared" si="14"/>
        <v>1</v>
      </c>
      <c r="J38" s="77">
        <f t="shared" si="15"/>
        <v>35</v>
      </c>
      <c r="K38" s="77">
        <f t="shared" si="16"/>
        <v>0.6108652381980153</v>
      </c>
      <c r="L38" s="78">
        <f>'Alternative 2'!$B$27*SIN(K38)+'Alternative 2'!$B$28*SIN(K38)+'Alternative 2'!$B$29*SIN(K38)</f>
        <v>39.003197671871135</v>
      </c>
      <c r="M38" s="77">
        <f>(('Alternative 2'!$B$27)*(((('Alternative 2'!$B$28-'Alternative 2'!$B$27)/2)+'Alternative 2'!$B$27)*'Alternative 2'!$B$39)*COS('Alternative 2-Tilt Up'!K38))+(('Alternative 2'!$B$28)*((('Alternative 2'!$B$28-'Alternative 2'!$B$27)/2)+(('Alternative 2'!$B$29-'Alternative 2'!$B$28)/2))*('Alternative 2'!$B$39)*COS('Alternative 2-Tilt Up'!K38))+(('Alternative 2'!$B$29)*((('Alternative 2'!$B$12-'Alternative 2'!$B$29+(('Alternative 2'!$B$29-'Alternative 2'!$B$28)/2)*('Alternative 2'!$B$39)*COS('Alternative 2-Tilt Up'!K38)))))</f>
        <v>3887823.0734546264</v>
      </c>
      <c r="N38" s="77">
        <f t="shared" si="0"/>
        <v>299038.79467748106</v>
      </c>
      <c r="O38" s="77">
        <f>(((('Alternative 2'!$B$28-'Alternative 2'!$B$27)/2)+'Alternative 2'!$B$27)*('Alternative 2'!$B$39)*COS('Alternative 2-Tilt Up'!K38))+(((('Alternative 2'!$B$28-'Alternative 2'!$B$27)/2)+(('Alternative 2'!$B$29-'Alternative 2'!$B$28)/2))*('Alternative 2'!$B$39)*COS('Alternative 2-Tilt Up'!K38))+(((('Alternative 2'!$B$12-'Alternative 2'!$B$29)+(('Alternative 2'!$B$29-'Alternative 2'!$B$28)/2))*('Alternative 2'!$B$39)*COS('Alternative 2-Tilt Up'!K38)))</f>
        <v>250758.74730943347</v>
      </c>
      <c r="P38" s="77">
        <f t="shared" si="1"/>
        <v>244958.23998177468</v>
      </c>
      <c r="R38" s="78">
        <f>'Alternative 2'!$B$39*$B38*$C38*COS($K$5)-($N$5/3)*$E38*SIN($K$5)-($N$5/3)*$F38*SIN($K$5)-($N$5/3)*$G38*SIN($K$5)</f>
        <v>4249.075370124704</v>
      </c>
      <c r="S38" s="79">
        <f>IF(($A38&lt;'Alternative 2'!$B$27),(($H38*'Alternative 2'!$B$39)+(3*($N$5/3)*COS($K$5))),IF(($A38&lt;'Alternative 2'!$B$28),(($H38*'Alternative 2'!$B$39)+(2*(($N$5/3)*COS($K$5)))),IF(($A38&lt;'Alternative 2'!$B$29),(($H$3*'Alternative 2'!$B$39+(($N$5/3)*COS($K$5)))),($H38*'Alternative 2'!$B$39))))</f>
        <v>8503.3307395836546</v>
      </c>
      <c r="T38" s="78">
        <f>R38*'Alternative 2'!$K39/'Alternative 2'!$L39</f>
        <v>138012.63672232218</v>
      </c>
      <c r="U38" s="78">
        <f>S38/'Alternative 2'!$M39</f>
        <v>5523.865186620912</v>
      </c>
      <c r="V38" s="78">
        <f t="shared" si="2"/>
        <v>0.1435365019089431</v>
      </c>
      <c r="X38" s="78">
        <f>'Alternative 2'!$B$39*$B38*$C38*COS($K$13)-($N$12/3)*$E38*SIN($K$13)-($N$12/3)*$F38*SIN($K$13)-($N$12/3)*$G38*SIN($K$13)</f>
        <v>4187.0730193845084</v>
      </c>
      <c r="Y38" s="79">
        <f>IF(($A38&lt;'Alternative 2'!$B$27),(($H38*'Alternative 2'!$B$39)+(3*($N$12/3)*COS($K$13))),IF(($A38&lt;'Alternative 2'!$B$28),(($H38*'Alternative 2'!$B$39)+(2*(($N$12/3)*COS($K$13)))),IF(($A38&lt;'Alternative 2'!$B$29),(($H$3*'Alternative 2'!$B$39+(($N$12/3)*COS($K$13)))),($H38*'Alternative 2'!$B$39))))</f>
        <v>8503.3307395836546</v>
      </c>
      <c r="Z38" s="78">
        <f>X38*'Alternative 2'!$K39/'Alternative 2'!$L39</f>
        <v>135998.76142869904</v>
      </c>
      <c r="AA38" s="78">
        <f>Y38/'Alternative 2'!$M39</f>
        <v>5523.865186620912</v>
      </c>
      <c r="AB38" s="78">
        <f t="shared" si="3"/>
        <v>0.14152262661531995</v>
      </c>
      <c r="AD38" s="78">
        <f>'Alternative 2'!$B$39*$B38*$C38*COS($K$23)-($N$22/3)*$E38*SIN($K$23)-($N$22/3)*$F38*SIN($K$23)-($N$22/3)*$G38*SIN($K$23)</f>
        <v>3995.2585740443706</v>
      </c>
      <c r="AE38" s="79">
        <f>IF(($A38&lt;'Alternative 2'!$B$27),(($H38*'Alternative 2'!$B$39)+(3*($N$22/3)*COS($K$23))),IF(($A38&lt;'Alternative 2'!$B$28),(($H38*'Alternative 2'!$B$39)+(2*(($N$22/3)*COS($K$23)))),IF(($A38&lt;'Alternative 2'!$B$29),(($H$3*'Alternative 2'!$B$39+(($N$22/3)*COS($K$23)))),($H38*'Alternative 2'!$B$39))))</f>
        <v>8503.3307395836546</v>
      </c>
      <c r="AF38" s="78">
        <f>AD38*'Alternative 2'!$K39/'Alternative 2'!$L39</f>
        <v>129768.50777187932</v>
      </c>
      <c r="AG38" s="78">
        <f>AE38/'Alternative 2'!$M39</f>
        <v>5523.865186620912</v>
      </c>
      <c r="AH38" s="78">
        <f t="shared" si="4"/>
        <v>0.13529237295850022</v>
      </c>
      <c r="AJ38" s="78">
        <f>'Alternative 2'!$B$39*$B38*$C38*COS($K$33)-($N$32/3)*$E38*SIN($K$33)-($N$32/3)*$F38*SIN($K$33)-($N$32/3)*$G38*SIN($K$33)</f>
        <v>3682.050218630282</v>
      </c>
      <c r="AK38" s="79">
        <f>IF(($A38&lt;'Alternative 2'!$B$27),(($H38*'Alternative 2'!$B$39)+(3*($N$32/3)*COS($K$33))),IF(($A38&lt;'Alternative 2'!$B$28),(($H38*'Alternative 2'!$B$39)+(2*(($N$32/3)*COS($K$33)))),IF(($A38&lt;'Alternative 2'!$B$29),(($H$3*'Alternative 2'!$B$39+(($N$32/3)*COS($K$33)))),($H38*'Alternative 2'!$B$39))))</f>
        <v>8503.3307395836546</v>
      </c>
      <c r="AL38" s="78">
        <f>AJ38*'Alternative 2'!$K39/'Alternative 2'!$L39</f>
        <v>119595.3036724444</v>
      </c>
      <c r="AM38" s="78">
        <f>AK38/'Alternative 2'!$M39</f>
        <v>5523.865186620912</v>
      </c>
      <c r="AN38" s="78">
        <f t="shared" si="5"/>
        <v>0.12511916885906529</v>
      </c>
      <c r="AP38" s="78">
        <f>'Alternative 2'!$B$39*$B38*$C38*COS($K$43)-($N$42/3)*$E38*SIN($K$43)-($N$42/3)*$F38*SIN($K$43)-($N$42/3)*$G38*SIN($K$43)</f>
        <v>3256.9646305304241</v>
      </c>
      <c r="AQ38" s="79">
        <f>IF(($A38&lt;'Alternative 2'!$B$27),(($H38*'Alternative 2'!$B$39)+(3*($N$42/3)*COS($K$43))),IF(($A38&lt;'Alternative 2'!$B$28),(($H38*'Alternative 2'!$B$39)+(2*(($N$42/3)*COS($K$43)))),IF(($A38&lt;'Alternative 2'!$B$29),(($H$3*'Alternative 2'!$B$39+(($N$42/3)*COS($K$43)))),($H38*'Alternative 2'!$B$39))))</f>
        <v>8503.3307395836546</v>
      </c>
      <c r="AR38" s="78">
        <f>AP38*'Alternative 2'!$K39/'Alternative 2'!$L39</f>
        <v>105788.25678906596</v>
      </c>
      <c r="AS38" s="78">
        <f>AQ38/'Alternative 2'!$M39</f>
        <v>5523.865186620912</v>
      </c>
      <c r="AT38" s="78">
        <f t="shared" si="6"/>
        <v>0.11131212197568686</v>
      </c>
      <c r="AV38" s="78">
        <f>'Alternative 2'!$B$39*$B38*$C38*COS($K$53)-($N$52/3)*$E38*SIN($K$53)-($N$52/3)*$F38*SIN($K$53)-($N$52/3)*$G38*SIN($K$53)</f>
        <v>2732.9178202355251</v>
      </c>
      <c r="AW38" s="79">
        <f>IF(($A38&lt;'Alternative 2'!$B$27),(($H38*'Alternative 2'!$B$39)+(3*($N$52/3)*COS($K$53))),IF(($A38&lt;'Alternative 2'!$B$28),(($H38*'Alternative 2'!$B$39)+(2*(($N$52/3)*COS($K$53)))),IF(($A38&lt;'Alternative 2'!$B$29),(($H$3*'Alternative 2'!$B$39+(($N$52/3)*COS($K$53)))),($H38*'Alternative 2'!$B$39))))</f>
        <v>8503.3307395836546</v>
      </c>
      <c r="AX38" s="78">
        <f>AV38*'Alternative 2'!$K39/'Alternative 2'!$L39</f>
        <v>88766.887254592628</v>
      </c>
      <c r="AY38" s="78">
        <f>AW38/'Alternative 2'!$M39</f>
        <v>5523.865186620912</v>
      </c>
      <c r="AZ38" s="78">
        <f t="shared" si="7"/>
        <v>9.4290752441213543E-2</v>
      </c>
      <c r="BB38" s="78">
        <f>'Alternative 2'!$B$39*$B38*$C38*COS($K$63)-($N$62/3)*$E38*SIN($K$63)-($N$62/3)*$F38*SIN($K$63)-($N$62/3)*$G38*SIN($K$63)</f>
        <v>2125.8326848959141</v>
      </c>
      <c r="BC38" s="79">
        <f>IF(($A38&lt;'Alternative 2'!$B$27),(($H38*'Alternative 2'!$B$39)+(3*($N$62/3)*COS($K$63))),IF(($A38&lt;'Alternative 2'!$B$28),(($H38*'Alternative 2'!$B$39)+(2*(($N$62/3)*COS($K$63)))),IF(($A38&lt;'Alternative 2'!$B$29),(($H$3*'Alternative 2'!$B$39+(($N$62/3)*COS($K$63)))),($H38*'Alternative 2'!$B$39))))</f>
        <v>8503.3307395836546</v>
      </c>
      <c r="BD38" s="78">
        <f>BB38*'Alternative 2'!$K39/'Alternative 2'!$L39</f>
        <v>69048.380769100811</v>
      </c>
      <c r="BE38" s="78">
        <f>BC38/'Alternative 2'!$M39</f>
        <v>5523.865186620912</v>
      </c>
      <c r="BF38" s="78">
        <f t="shared" si="8"/>
        <v>7.4572245955721719E-2</v>
      </c>
      <c r="BH38" s="78">
        <f>'Alternative 2'!$B$39*$B38*$C38*COS($K$73)-($N$72/3)*$E38*SIN($K$73)-($N$72/3)*$F38*SIN($K$73)-($N$72/3)*$G38*SIN($K$73)</f>
        <v>1454.1551991489835</v>
      </c>
      <c r="BI38" s="79">
        <f>IF(($A38&lt;'Alternative 2'!$B$27),(($H38*'Alternative 2'!$B$39)+(3*($N$72/3)*COS($K$73))),IF(($A38&lt;'Alternative 2'!$B$28),(($H38*'Alternative 2'!$B$39)+(2*(($N$72/3)*COS($K$73)))),IF(($A38&lt;'Alternative 2'!$B$29),(($H$3*'Alternative 2'!$B$39+(($N$72/3)*COS($K$73)))),($H38*'Alternative 2'!$B$39))))</f>
        <v>8503.3307395836546</v>
      </c>
      <c r="BJ38" s="78">
        <f>BH38*'Alternative 2'!$K39/'Alternative 2'!$L39</f>
        <v>47231.874174106422</v>
      </c>
      <c r="BK38" s="78">
        <f>BI38/'Alternative 2'!$M39</f>
        <v>5523.865186620912</v>
      </c>
      <c r="BL38" s="78">
        <f t="shared" si="9"/>
        <v>5.2755739360727333E-2</v>
      </c>
      <c r="BN38" s="78">
        <f>'Alternative 2'!$B$39*$B38*$C38*COS($K$83)-($N$82/3)*$E38*SIN($K$83)-($N$82/3)*$F38*SIN($K$83)-($N$82/3)*$G38*SIN($K$83)</f>
        <v>738.2939435139466</v>
      </c>
      <c r="BO38" s="79">
        <f>IF(($A38&lt;'Alternative 2'!$B$27),(($H38*'Alternative 2'!$B$39)+(3*($N$82/3)*COS($K$83))),IF(($A38&lt;'Alternative 2'!$B$28),(($H38*'Alternative 2'!$B$39)+(2*(($N$82/3)*COS($K$83)))),IF(($A38&lt;'Alternative 2'!$B$29),(($H$3*'Alternative 2'!$B$39+(($N$82/3)*COS($K$83)))),($H38*'Alternative 2'!$B$39))))</f>
        <v>8503.3307395836546</v>
      </c>
      <c r="BP38" s="78">
        <f>BN38*'Alternative 2'!$K39/'Alternative 2'!$L39</f>
        <v>23980.250982813355</v>
      </c>
      <c r="BQ38" s="78">
        <f>BO38/'Alternative 2'!$M39</f>
        <v>5523.865186620912</v>
      </c>
      <c r="BR38" s="78">
        <f t="shared" si="10"/>
        <v>2.9504116169434266E-2</v>
      </c>
      <c r="BT38" s="78">
        <f>'Alternative 2'!$B$39*$B38*$C38*COS($K$93)-($K$92/3)*$E38*SIN($K$93)-($K$92/3)*$F38*SIN($K$93)-($K$92/3)*$G38*SIN($K$93)</f>
        <v>2.6044606292944721E-13</v>
      </c>
      <c r="BU38" s="79">
        <f>IF(($A38&lt;'Alternative 2'!$B$27),(($H38*'Alternative 2'!$B$39)+(3*($N$92/3)*COS($K$93))),IF(($A38&lt;'Alternative 2'!$B$28),(($H38*'Alternative 2'!$B$39)+(2*(($N$92/3)*COS($K$93)))),IF(($A38&lt;'Alternative 2'!$B$29),(($H$3*'Alternative 2'!$B$39+(($N$92/3)*COS($K$93)))),($H38*'Alternative 2'!$B$39))))</f>
        <v>8503.3307395836546</v>
      </c>
      <c r="BV38" s="78">
        <f>BT38*'Alternative 2'!$K39/'Alternative 2'!$L39</f>
        <v>8.4594517013205931E-12</v>
      </c>
      <c r="BW38" s="78">
        <f>BU38/'Alternative 2'!$M39</f>
        <v>5523.865186620912</v>
      </c>
      <c r="BX38" s="78">
        <f t="shared" si="11"/>
        <v>5.5238651866209203E-3</v>
      </c>
      <c r="BZ38" s="77">
        <v>150</v>
      </c>
      <c r="CA38" s="77">
        <v>-150</v>
      </c>
    </row>
    <row r="39" spans="1:79" ht="15" customHeight="1" x14ac:dyDescent="0.25">
      <c r="A39" s="13" t="str">
        <f>IF('Alternative 2'!F40&gt;0,'Alternative 2'!F40,"x")</f>
        <v>x</v>
      </c>
      <c r="B39" s="13" t="str">
        <f t="shared" si="17"/>
        <v>x</v>
      </c>
      <c r="C39" s="13">
        <f t="shared" si="12"/>
        <v>0</v>
      </c>
      <c r="D39" s="13" t="str">
        <f t="shared" si="13"/>
        <v>x</v>
      </c>
      <c r="E39" s="74">
        <f>IF($A39&lt;='Alternative 2'!$B$27, IF($A39='Alternative 2'!$B$27,0,E40+1),0)</f>
        <v>0</v>
      </c>
      <c r="F39" s="74">
        <f>IF($A39&lt;=('Alternative 2'!$B$28), IF($A39=ROUNDDOWN('Alternative 2'!$B$28,0),0,F40+1),0)</f>
        <v>0</v>
      </c>
      <c r="G39" s="74">
        <f>IF($A39&lt;=('Alternative 2'!$B$29), IF($A39=ROUNDDOWN('Alternative 2'!$B$29,0),0,G40+1),0)</f>
        <v>0</v>
      </c>
      <c r="H39" s="13" t="str">
        <f t="shared" si="14"/>
        <v>x</v>
      </c>
      <c r="J39" s="77">
        <f t="shared" si="15"/>
        <v>36</v>
      </c>
      <c r="K39" s="77">
        <f t="shared" si="16"/>
        <v>0.62831853071795862</v>
      </c>
      <c r="L39" s="78">
        <f>'Alternative 2'!$B$27*SIN(K39)+'Alternative 2'!$B$28*SIN(K39)+'Alternative 2'!$B$29*SIN(K39)</f>
        <v>39.969397155888174</v>
      </c>
      <c r="M39" s="77">
        <f>(('Alternative 2'!$B$27)*(((('Alternative 2'!$B$28-'Alternative 2'!$B$27)/2)+'Alternative 2'!$B$27)*'Alternative 2'!$B$39)*COS('Alternative 2-Tilt Up'!K39))+(('Alternative 2'!$B$28)*((('Alternative 2'!$B$28-'Alternative 2'!$B$27)/2)+(('Alternative 2'!$B$29-'Alternative 2'!$B$28)/2))*('Alternative 2'!$B$39)*COS('Alternative 2-Tilt Up'!K39))+(('Alternative 2'!$B$29)*((('Alternative 2'!$B$12-'Alternative 2'!$B$29+(('Alternative 2'!$B$29-'Alternative 2'!$B$28)/2)*('Alternative 2'!$B$39)*COS('Alternative 2-Tilt Up'!K39)))))</f>
        <v>3839722.9698777962</v>
      </c>
      <c r="N39" s="77">
        <f t="shared" si="0"/>
        <v>288199.71601539198</v>
      </c>
      <c r="O39" s="77">
        <f>(((('Alternative 2'!$B$28-'Alternative 2'!$B$27)/2)+'Alternative 2'!$B$27)*('Alternative 2'!$B$39)*COS('Alternative 2-Tilt Up'!K39))+(((('Alternative 2'!$B$28-'Alternative 2'!$B$27)/2)+(('Alternative 2'!$B$29-'Alternative 2'!$B$28)/2))*('Alternative 2'!$B$39)*COS('Alternative 2-Tilt Up'!K39))+(((('Alternative 2'!$B$12-'Alternative 2'!$B$29)+(('Alternative 2'!$B$29-'Alternative 2'!$B$28)/2))*('Alternative 2'!$B$39)*COS('Alternative 2-Tilt Up'!K39)))</f>
        <v>247656.20677610641</v>
      </c>
      <c r="P39" s="77">
        <f t="shared" si="1"/>
        <v>233158.46803048582</v>
      </c>
      <c r="R39" s="78" t="e">
        <f>'Alternative 2'!$B$39*$B39*$C39*COS($K$5)-($N$5/3)*$E39*SIN($K$5)-($N$5/3)*$F39*SIN($K$5)-($N$5/3)*$G39*SIN($K$5)</f>
        <v>#VALUE!</v>
      </c>
      <c r="S39" s="79" t="e">
        <f>IF(($A39&lt;'Alternative 2'!$B$27),(($H39*'Alternative 2'!$B$39)+(3*($N$5/3)*COS($K$5))),IF(($A39&lt;'Alternative 2'!$B$28),(($H39*'Alternative 2'!$B$39)+(2*(($N$5/3)*COS($K$5)))),IF(($A39&lt;'Alternative 2'!$B$29),(($H$3*'Alternative 2'!$B$39+(($N$5/3)*COS($K$5)))),($H39*'Alternative 2'!$B$39))))</f>
        <v>#VALUE!</v>
      </c>
      <c r="T39" s="78" t="e">
        <f>R39*'Alternative 2'!$K40/'Alternative 2'!$L40</f>
        <v>#VALUE!</v>
      </c>
      <c r="U39" s="78" t="e">
        <f>S39/'Alternative 2'!$M40</f>
        <v>#VALUE!</v>
      </c>
      <c r="V39" s="78" t="e">
        <f t="shared" si="2"/>
        <v>#VALUE!</v>
      </c>
      <c r="X39" s="78" t="e">
        <f>'Alternative 2'!$B$39*$B39*$C39*COS($K$13)-($N$12/3)*$E39*SIN($K$13)-($N$12/3)*$F39*SIN($K$13)-($N$12/3)*$G39*SIN($K$13)</f>
        <v>#VALUE!</v>
      </c>
      <c r="Y39" s="79" t="e">
        <f>IF(($A39&lt;'Alternative 2'!$B$27),(($H39*'Alternative 2'!$B$39)+(3*($N$12/3)*COS($K$13))),IF(($A39&lt;'Alternative 2'!$B$28),(($H39*'Alternative 2'!$B$39)+(2*(($N$12/3)*COS($K$13)))),IF(($A39&lt;'Alternative 2'!$B$29),(($H$3*'Alternative 2'!$B$39+(($N$12/3)*COS($K$13)))),($H39*'Alternative 2'!$B$39))))</f>
        <v>#VALUE!</v>
      </c>
      <c r="Z39" s="78" t="e">
        <f>X39*'Alternative 2'!$K40/'Alternative 2'!$L40</f>
        <v>#VALUE!</v>
      </c>
      <c r="AA39" s="78" t="e">
        <f>Y39/'Alternative 2'!$M40</f>
        <v>#VALUE!</v>
      </c>
      <c r="AB39" s="78" t="e">
        <f t="shared" si="3"/>
        <v>#VALUE!</v>
      </c>
      <c r="AD39" s="78" t="e">
        <f>'Alternative 2'!$B$39*$B39*$C39*COS($K$23)-($N$22/3)*$E39*SIN($K$23)-($N$22/3)*$F39*SIN($K$23)-($N$22/3)*$G39*SIN($K$23)</f>
        <v>#VALUE!</v>
      </c>
      <c r="AE39" s="79" t="e">
        <f>IF(($A39&lt;'Alternative 2'!$B$27),(($H39*'Alternative 2'!$B$39)+(3*($N$22/3)*COS($K$23))),IF(($A39&lt;'Alternative 2'!$B$28),(($H39*'Alternative 2'!$B$39)+(2*(($N$22/3)*COS($K$23)))),IF(($A39&lt;'Alternative 2'!$B$29),(($H$3*'Alternative 2'!$B$39+(($N$22/3)*COS($K$23)))),($H39*'Alternative 2'!$B$39))))</f>
        <v>#VALUE!</v>
      </c>
      <c r="AF39" s="78" t="e">
        <f>AD39*'Alternative 2'!$K40/'Alternative 2'!$L40</f>
        <v>#VALUE!</v>
      </c>
      <c r="AG39" s="78" t="e">
        <f>AE39/'Alternative 2'!$M40</f>
        <v>#VALUE!</v>
      </c>
      <c r="AH39" s="78" t="e">
        <f t="shared" si="4"/>
        <v>#VALUE!</v>
      </c>
      <c r="AJ39" s="78" t="e">
        <f>'Alternative 2'!$B$39*$B39*$C39*COS($K$33)-($N$32/3)*$E39*SIN($K$33)-($N$32/3)*$F39*SIN($K$33)-($N$32/3)*$G39*SIN($K$33)</f>
        <v>#VALUE!</v>
      </c>
      <c r="AK39" s="79" t="e">
        <f>IF(($A39&lt;'Alternative 2'!$B$27),(($H39*'Alternative 2'!$B$39)+(3*($N$32/3)*COS($K$33))),IF(($A39&lt;'Alternative 2'!$B$28),(($H39*'Alternative 2'!$B$39)+(2*(($N$32/3)*COS($K$33)))),IF(($A39&lt;'Alternative 2'!$B$29),(($H$3*'Alternative 2'!$B$39+(($N$32/3)*COS($K$33)))),($H39*'Alternative 2'!$B$39))))</f>
        <v>#VALUE!</v>
      </c>
      <c r="AL39" s="78" t="e">
        <f>AJ39*'Alternative 2'!$K40/'Alternative 2'!$L40</f>
        <v>#VALUE!</v>
      </c>
      <c r="AM39" s="78" t="e">
        <f>AK39/'Alternative 2'!$M40</f>
        <v>#VALUE!</v>
      </c>
      <c r="AN39" s="78" t="e">
        <f t="shared" si="5"/>
        <v>#VALUE!</v>
      </c>
      <c r="AP39" s="78" t="e">
        <f>'Alternative 2'!$B$39*$B39*$C39*COS($K$43)-($N$42/3)*$E39*SIN($K$43)-($N$42/3)*$F39*SIN($K$43)-($N$42/3)*$G39*SIN($K$43)</f>
        <v>#VALUE!</v>
      </c>
      <c r="AQ39" s="79" t="e">
        <f>IF(($A39&lt;'Alternative 2'!$B$27),(($H39*'Alternative 2'!$B$39)+(3*($N$42/3)*COS($K$43))),IF(($A39&lt;'Alternative 2'!$B$28),(($H39*'Alternative 2'!$B$39)+(2*(($N$42/3)*COS($K$43)))),IF(($A39&lt;'Alternative 2'!$B$29),(($H$3*'Alternative 2'!$B$39+(($N$42/3)*COS($K$43)))),($H39*'Alternative 2'!$B$39))))</f>
        <v>#VALUE!</v>
      </c>
      <c r="AR39" s="78" t="e">
        <f>AP39*'Alternative 2'!$K40/'Alternative 2'!$L40</f>
        <v>#VALUE!</v>
      </c>
      <c r="AS39" s="78" t="e">
        <f>AQ39/'Alternative 2'!$M40</f>
        <v>#VALUE!</v>
      </c>
      <c r="AT39" s="78" t="e">
        <f t="shared" si="6"/>
        <v>#VALUE!</v>
      </c>
      <c r="AV39" s="78" t="e">
        <f>'Alternative 2'!$B$39*$B39*$C39*COS($K$53)-($N$52/3)*$E39*SIN($K$53)-($N$52/3)*$F39*SIN($K$53)-($N$52/3)*$G39*SIN($K$53)</f>
        <v>#VALUE!</v>
      </c>
      <c r="AW39" s="79" t="e">
        <f>IF(($A39&lt;'Alternative 2'!$B$27),(($H39*'Alternative 2'!$B$39)+(3*($N$52/3)*COS($K$53))),IF(($A39&lt;'Alternative 2'!$B$28),(($H39*'Alternative 2'!$B$39)+(2*(($N$52/3)*COS($K$53)))),IF(($A39&lt;'Alternative 2'!$B$29),(($H$3*'Alternative 2'!$B$39+(($N$52/3)*COS($K$53)))),($H39*'Alternative 2'!$B$39))))</f>
        <v>#VALUE!</v>
      </c>
      <c r="AX39" s="78" t="e">
        <f>AV39*'Alternative 2'!$K40/'Alternative 2'!$L40</f>
        <v>#VALUE!</v>
      </c>
      <c r="AY39" s="78" t="e">
        <f>AW39/'Alternative 2'!$M40</f>
        <v>#VALUE!</v>
      </c>
      <c r="AZ39" s="78" t="e">
        <f t="shared" si="7"/>
        <v>#VALUE!</v>
      </c>
      <c r="BB39" s="78" t="e">
        <f>'Alternative 2'!$B$39*$B39*$C39*COS($K$63)-($N$62/3)*$E39*SIN($K$63)-($N$62/3)*$F39*SIN($K$63)-($N$62/3)*$G39*SIN($K$63)</f>
        <v>#VALUE!</v>
      </c>
      <c r="BC39" s="79" t="e">
        <f>IF(($A39&lt;'Alternative 2'!$B$27),(($H39*'Alternative 2'!$B$39)+(3*($N$62/3)*COS($K$63))),IF(($A39&lt;'Alternative 2'!$B$28),(($H39*'Alternative 2'!$B$39)+(2*(($N$62/3)*COS($K$63)))),IF(($A39&lt;'Alternative 2'!$B$29),(($H$3*'Alternative 2'!$B$39+(($N$62/3)*COS($K$63)))),($H39*'Alternative 2'!$B$39))))</f>
        <v>#VALUE!</v>
      </c>
      <c r="BD39" s="78" t="e">
        <f>BB39*'Alternative 2'!$K40/'Alternative 2'!$L40</f>
        <v>#VALUE!</v>
      </c>
      <c r="BE39" s="78" t="e">
        <f>BC39/'Alternative 2'!$M40</f>
        <v>#VALUE!</v>
      </c>
      <c r="BF39" s="78" t="e">
        <f t="shared" si="8"/>
        <v>#VALUE!</v>
      </c>
      <c r="BH39" s="78" t="e">
        <f>'Alternative 2'!$B$39*$B39*$C39*COS($K$73)-($N$72/3)*$E39*SIN($K$73)-($N$72/3)*$F39*SIN($K$73)-($N$72/3)*$G39*SIN($K$73)</f>
        <v>#VALUE!</v>
      </c>
      <c r="BI39" s="79" t="e">
        <f>IF(($A39&lt;'Alternative 2'!$B$27),(($H39*'Alternative 2'!$B$39)+(3*($N$72/3)*COS($K$73))),IF(($A39&lt;'Alternative 2'!$B$28),(($H39*'Alternative 2'!$B$39)+(2*(($N$72/3)*COS($K$73)))),IF(($A39&lt;'Alternative 2'!$B$29),(($H$3*'Alternative 2'!$B$39+(($N$72/3)*COS($K$73)))),($H39*'Alternative 2'!$B$39))))</f>
        <v>#VALUE!</v>
      </c>
      <c r="BJ39" s="78" t="e">
        <f>BH39*'Alternative 2'!$K40/'Alternative 2'!$L40</f>
        <v>#VALUE!</v>
      </c>
      <c r="BK39" s="78" t="e">
        <f>BI39/'Alternative 2'!$M40</f>
        <v>#VALUE!</v>
      </c>
      <c r="BL39" s="78" t="e">
        <f t="shared" si="9"/>
        <v>#VALUE!</v>
      </c>
      <c r="BN39" s="78" t="e">
        <f>'Alternative 2'!$B$39*$B39*$C39*COS($K$83)-($N$82/3)*$E39*SIN($K$83)-($N$82/3)*$F39*SIN($K$83)-($N$82/3)*$G39*SIN($K$83)</f>
        <v>#VALUE!</v>
      </c>
      <c r="BO39" s="79" t="e">
        <f>IF(($A39&lt;'Alternative 2'!$B$27),(($H39*'Alternative 2'!$B$39)+(3*($N$82/3)*COS($K$83))),IF(($A39&lt;'Alternative 2'!$B$28),(($H39*'Alternative 2'!$B$39)+(2*(($N$82/3)*COS($K$83)))),IF(($A39&lt;'Alternative 2'!$B$29),(($H$3*'Alternative 2'!$B$39+(($N$82/3)*COS($K$83)))),($H39*'Alternative 2'!$B$39))))</f>
        <v>#VALUE!</v>
      </c>
      <c r="BP39" s="78" t="e">
        <f>BN39*'Alternative 2'!$K40/'Alternative 2'!$L40</f>
        <v>#VALUE!</v>
      </c>
      <c r="BQ39" s="78" t="e">
        <f>BO39/'Alternative 2'!$M40</f>
        <v>#VALUE!</v>
      </c>
      <c r="BR39" s="78" t="e">
        <f t="shared" si="10"/>
        <v>#VALUE!</v>
      </c>
      <c r="BT39" s="78" t="e">
        <f>'Alternative 2'!$B$39*$B39*$C39*COS($K$93)-($K$92/3)*$E39*SIN($K$93)-($K$92/3)*$F39*SIN($K$93)-($K$92/3)*$G39*SIN($K$93)</f>
        <v>#VALUE!</v>
      </c>
      <c r="BU39" s="79" t="e">
        <f>IF(($A39&lt;'Alternative 2'!$B$27),(($H39*'Alternative 2'!$B$39)+(3*($N$92/3)*COS($K$93))),IF(($A39&lt;'Alternative 2'!$B$28),(($H39*'Alternative 2'!$B$39)+(2*(($N$92/3)*COS($K$93)))),IF(($A39&lt;'Alternative 2'!$B$29),(($H$3*'Alternative 2'!$B$39+(($N$92/3)*COS($K$93)))),($H39*'Alternative 2'!$B$39))))</f>
        <v>#VALUE!</v>
      </c>
      <c r="BV39" s="78" t="e">
        <f>BT39*'Alternative 2'!$K40/'Alternative 2'!$L40</f>
        <v>#VALUE!</v>
      </c>
      <c r="BW39" s="78" t="e">
        <f>BU39/'Alternative 2'!$M40</f>
        <v>#VALUE!</v>
      </c>
      <c r="BX39" s="78" t="e">
        <f t="shared" si="11"/>
        <v>#VALUE!</v>
      </c>
      <c r="BZ39" s="77">
        <v>150</v>
      </c>
      <c r="CA39" s="77">
        <v>-150</v>
      </c>
    </row>
    <row r="40" spans="1:79" ht="15" customHeight="1" x14ac:dyDescent="0.25">
      <c r="A40" s="13" t="str">
        <f>IF('Alternative 2'!F41&gt;0,'Alternative 2'!F41,"x")</f>
        <v>x</v>
      </c>
      <c r="B40" s="13" t="e">
        <f t="shared" si="17"/>
        <v>#VALUE!</v>
      </c>
      <c r="C40" s="13">
        <f t="shared" si="12"/>
        <v>0</v>
      </c>
      <c r="D40" s="13" t="str">
        <f t="shared" si="13"/>
        <v>x</v>
      </c>
      <c r="E40" s="74">
        <f>IF($A40&lt;='Alternative 2'!$B$27, IF($A40='Alternative 2'!$B$27,0,E41+1),0)</f>
        <v>0</v>
      </c>
      <c r="F40" s="74">
        <f>IF($A40&lt;=('Alternative 2'!$B$28), IF($A40=ROUNDDOWN('Alternative 2'!$B$28,0),0,F41+1),0)</f>
        <v>0</v>
      </c>
      <c r="G40" s="74">
        <f>IF($A40&lt;=('Alternative 2'!$B$29), IF($A40=ROUNDDOWN('Alternative 2'!$B$29,0),0,G41+1),0)</f>
        <v>0</v>
      </c>
      <c r="H40" s="13" t="e">
        <f t="shared" si="14"/>
        <v>#VALUE!</v>
      </c>
      <c r="J40" s="77">
        <f t="shared" si="15"/>
        <v>37</v>
      </c>
      <c r="K40" s="77">
        <f t="shared" si="16"/>
        <v>0.64577182323790194</v>
      </c>
      <c r="L40" s="78">
        <f>'Alternative 2'!$B$27*SIN(K40)+'Alternative 2'!$B$28*SIN(K40)+'Alternative 2'!$B$29*SIN(K40)</f>
        <v>40.923421574339287</v>
      </c>
      <c r="M40" s="77">
        <f>(('Alternative 2'!$B$27)*(((('Alternative 2'!$B$28-'Alternative 2'!$B$27)/2)+'Alternative 2'!$B$27)*'Alternative 2'!$B$39)*COS('Alternative 2-Tilt Up'!K40))+(('Alternative 2'!$B$28)*((('Alternative 2'!$B$28-'Alternative 2'!$B$27)/2)+(('Alternative 2'!$B$29-'Alternative 2'!$B$28)/2))*('Alternative 2'!$B$39)*COS('Alternative 2-Tilt Up'!K40))+(('Alternative 2'!$B$29)*((('Alternative 2'!$B$12-'Alternative 2'!$B$29+(('Alternative 2'!$B$29-'Alternative 2'!$B$28)/2)*('Alternative 2'!$B$39)*COS('Alternative 2-Tilt Up'!K40)))))</f>
        <v>3790453.3090792373</v>
      </c>
      <c r="N40" s="77">
        <f t="shared" si="0"/>
        <v>277869.23697426205</v>
      </c>
      <c r="O40" s="77">
        <f>(((('Alternative 2'!$B$28-'Alternative 2'!$B$27)/2)+'Alternative 2'!$B$27)*('Alternative 2'!$B$39)*COS('Alternative 2-Tilt Up'!K40))+(((('Alternative 2'!$B$28-'Alternative 2'!$B$27)/2)+(('Alternative 2'!$B$29-'Alternative 2'!$B$28)/2))*('Alternative 2'!$B$39)*COS('Alternative 2-Tilt Up'!K40))+(((('Alternative 2'!$B$12-'Alternative 2'!$B$29)+(('Alternative 2'!$B$29-'Alternative 2'!$B$28)/2))*('Alternative 2'!$B$39)*COS('Alternative 2-Tilt Up'!K40)))</f>
        <v>244478.22776309578</v>
      </c>
      <c r="P40" s="77">
        <f t="shared" si="1"/>
        <v>221916.23979739184</v>
      </c>
      <c r="R40" s="78" t="e">
        <f>'Alternative 2'!$B$39*$B40*$C40*COS($K$5)-($N$5/3)*$E40*SIN($K$5)-($N$5/3)*$F40*SIN($K$5)-($N$5/3)*$G40*SIN($K$5)</f>
        <v>#VALUE!</v>
      </c>
      <c r="S40" s="79" t="e">
        <f>IF(($A40&lt;'Alternative 2'!$B$27),(($H40*'Alternative 2'!$B$39)+(3*($N$5/3)*COS($K$5))),IF(($A40&lt;'Alternative 2'!$B$28),(($H40*'Alternative 2'!$B$39)+(2*(($N$5/3)*COS($K$5)))),IF(($A40&lt;'Alternative 2'!$B$29),(($H$3*'Alternative 2'!$B$39+(($N$5/3)*COS($K$5)))),($H40*'Alternative 2'!$B$39))))</f>
        <v>#VALUE!</v>
      </c>
      <c r="T40" s="78" t="e">
        <f>R40*'Alternative 2'!$K41/'Alternative 2'!$L41</f>
        <v>#VALUE!</v>
      </c>
      <c r="U40" s="78" t="e">
        <f>S40/'Alternative 2'!$M41</f>
        <v>#VALUE!</v>
      </c>
      <c r="V40" s="78" t="e">
        <f t="shared" si="2"/>
        <v>#VALUE!</v>
      </c>
      <c r="X40" s="78" t="e">
        <f>'Alternative 2'!$B$39*$B40*$C40*COS($K$13)-($N$12/3)*$E40*SIN($K$13)-($N$12/3)*$F40*SIN($K$13)-($N$12/3)*$G40*SIN($K$13)</f>
        <v>#VALUE!</v>
      </c>
      <c r="Y40" s="79" t="e">
        <f>IF(($A40&lt;'Alternative 2'!$B$27),(($H40*'Alternative 2'!$B$39)+(3*($N$12/3)*COS($K$13))),IF(($A40&lt;'Alternative 2'!$B$28),(($H40*'Alternative 2'!$B$39)+(2*(($N$12/3)*COS($K$13)))),IF(($A40&lt;'Alternative 2'!$B$29),(($H$3*'Alternative 2'!$B$39+(($N$12/3)*COS($K$13)))),($H40*'Alternative 2'!$B$39))))</f>
        <v>#VALUE!</v>
      </c>
      <c r="Z40" s="78" t="e">
        <f>X40*'Alternative 2'!$K41/'Alternative 2'!$L41</f>
        <v>#VALUE!</v>
      </c>
      <c r="AA40" s="78" t="e">
        <f>Y40/'Alternative 2'!$M41</f>
        <v>#VALUE!</v>
      </c>
      <c r="AB40" s="78" t="e">
        <f t="shared" si="3"/>
        <v>#VALUE!</v>
      </c>
      <c r="AD40" s="78" t="e">
        <f>'Alternative 2'!$B$39*$B40*$C40*COS($K$23)-($N$22/3)*$E40*SIN($K$23)-($N$22/3)*$F40*SIN($K$23)-($N$22/3)*$G40*SIN($K$23)</f>
        <v>#VALUE!</v>
      </c>
      <c r="AE40" s="79" t="e">
        <f>IF(($A40&lt;'Alternative 2'!$B$27),(($H40*'Alternative 2'!$B$39)+(3*($N$22/3)*COS($K$23))),IF(($A40&lt;'Alternative 2'!$B$28),(($H40*'Alternative 2'!$B$39)+(2*(($N$22/3)*COS($K$23)))),IF(($A40&lt;'Alternative 2'!$B$29),(($H$3*'Alternative 2'!$B$39+(($N$22/3)*COS($K$23)))),($H40*'Alternative 2'!$B$39))))</f>
        <v>#VALUE!</v>
      </c>
      <c r="AF40" s="78" t="e">
        <f>AD40*'Alternative 2'!$K41/'Alternative 2'!$L41</f>
        <v>#VALUE!</v>
      </c>
      <c r="AG40" s="78" t="e">
        <f>AE40/'Alternative 2'!$M41</f>
        <v>#VALUE!</v>
      </c>
      <c r="AH40" s="78" t="e">
        <f t="shared" si="4"/>
        <v>#VALUE!</v>
      </c>
      <c r="AJ40" s="78" t="e">
        <f>'Alternative 2'!$B$39*$B40*$C40*COS($K$33)-($N$32/3)*$E40*SIN($K$33)-($N$32/3)*$F40*SIN($K$33)-($N$32/3)*$G40*SIN($K$33)</f>
        <v>#VALUE!</v>
      </c>
      <c r="AK40" s="79" t="e">
        <f>IF(($A40&lt;'Alternative 2'!$B$27),(($H40*'Alternative 2'!$B$39)+(3*($N$32/3)*COS($K$33))),IF(($A40&lt;'Alternative 2'!$B$28),(($H40*'Alternative 2'!$B$39)+(2*(($N$32/3)*COS($K$33)))),IF(($A40&lt;'Alternative 2'!$B$29),(($H$3*'Alternative 2'!$B$39+(($N$32/3)*COS($K$33)))),($H40*'Alternative 2'!$B$39))))</f>
        <v>#VALUE!</v>
      </c>
      <c r="AL40" s="78" t="e">
        <f>AJ40*'Alternative 2'!$K41/'Alternative 2'!$L41</f>
        <v>#VALUE!</v>
      </c>
      <c r="AM40" s="78" t="e">
        <f>AK40/'Alternative 2'!$M41</f>
        <v>#VALUE!</v>
      </c>
      <c r="AN40" s="78" t="e">
        <f t="shared" si="5"/>
        <v>#VALUE!</v>
      </c>
      <c r="AP40" s="78" t="e">
        <f>'Alternative 2'!$B$39*$B40*$C40*COS($K$43)-($N$42/3)*$E40*SIN($K$43)-($N$42/3)*$F40*SIN($K$43)-($N$42/3)*$G40*SIN($K$43)</f>
        <v>#VALUE!</v>
      </c>
      <c r="AQ40" s="79" t="e">
        <f>IF(($A40&lt;'Alternative 2'!$B$27),(($H40*'Alternative 2'!$B$39)+(3*($N$42/3)*COS($K$43))),IF(($A40&lt;'Alternative 2'!$B$28),(($H40*'Alternative 2'!$B$39)+(2*(($N$42/3)*COS($K$43)))),IF(($A40&lt;'Alternative 2'!$B$29),(($H$3*'Alternative 2'!$B$39+(($N$42/3)*COS($K$43)))),($H40*'Alternative 2'!$B$39))))</f>
        <v>#VALUE!</v>
      </c>
      <c r="AR40" s="78" t="e">
        <f>AP40*'Alternative 2'!$K41/'Alternative 2'!$L41</f>
        <v>#VALUE!</v>
      </c>
      <c r="AS40" s="78" t="e">
        <f>AQ40/'Alternative 2'!$M41</f>
        <v>#VALUE!</v>
      </c>
      <c r="AT40" s="78" t="e">
        <f t="shared" si="6"/>
        <v>#VALUE!</v>
      </c>
      <c r="AV40" s="78" t="e">
        <f>'Alternative 2'!$B$39*$B40*$C40*COS($K$53)-($N$52/3)*$E40*SIN($K$53)-($N$52/3)*$F40*SIN($K$53)-($N$52/3)*$G40*SIN($K$53)</f>
        <v>#VALUE!</v>
      </c>
      <c r="AW40" s="79" t="e">
        <f>IF(($A40&lt;'Alternative 2'!$B$27),(($H40*'Alternative 2'!$B$39)+(3*($N$52/3)*COS($K$53))),IF(($A40&lt;'Alternative 2'!$B$28),(($H40*'Alternative 2'!$B$39)+(2*(($N$52/3)*COS($K$53)))),IF(($A40&lt;'Alternative 2'!$B$29),(($H$3*'Alternative 2'!$B$39+(($N$52/3)*COS($K$53)))),($H40*'Alternative 2'!$B$39))))</f>
        <v>#VALUE!</v>
      </c>
      <c r="AX40" s="78" t="e">
        <f>AV40*'Alternative 2'!$K41/'Alternative 2'!$L41</f>
        <v>#VALUE!</v>
      </c>
      <c r="AY40" s="78" t="e">
        <f>AW40/'Alternative 2'!$M41</f>
        <v>#VALUE!</v>
      </c>
      <c r="AZ40" s="78" t="e">
        <f t="shared" si="7"/>
        <v>#VALUE!</v>
      </c>
      <c r="BB40" s="78" t="e">
        <f>'Alternative 2'!$B$39*$B40*$C40*COS($K$63)-($N$62/3)*$E40*SIN($K$63)-($N$62/3)*$F40*SIN($K$63)-($N$62/3)*$G40*SIN($K$63)</f>
        <v>#VALUE!</v>
      </c>
      <c r="BC40" s="79" t="e">
        <f>IF(($A40&lt;'Alternative 2'!$B$27),(($H40*'Alternative 2'!$B$39)+(3*($N$62/3)*COS($K$63))),IF(($A40&lt;'Alternative 2'!$B$28),(($H40*'Alternative 2'!$B$39)+(2*(($N$62/3)*COS($K$63)))),IF(($A40&lt;'Alternative 2'!$B$29),(($H$3*'Alternative 2'!$B$39+(($N$62/3)*COS($K$63)))),($H40*'Alternative 2'!$B$39))))</f>
        <v>#VALUE!</v>
      </c>
      <c r="BD40" s="78" t="e">
        <f>BB40*'Alternative 2'!$K41/'Alternative 2'!$L41</f>
        <v>#VALUE!</v>
      </c>
      <c r="BE40" s="78" t="e">
        <f>BC40/'Alternative 2'!$M41</f>
        <v>#VALUE!</v>
      </c>
      <c r="BF40" s="78" t="e">
        <f t="shared" si="8"/>
        <v>#VALUE!</v>
      </c>
      <c r="BH40" s="78" t="e">
        <f>'Alternative 2'!$B$39*$B40*$C40*COS($K$73)-($N$72/3)*$E40*SIN($K$73)-($N$72/3)*$F40*SIN($K$73)-($N$72/3)*$G40*SIN($K$73)</f>
        <v>#VALUE!</v>
      </c>
      <c r="BI40" s="79" t="e">
        <f>IF(($A40&lt;'Alternative 2'!$B$27),(($H40*'Alternative 2'!$B$39)+(3*($N$72/3)*COS($K$73))),IF(($A40&lt;'Alternative 2'!$B$28),(($H40*'Alternative 2'!$B$39)+(2*(($N$72/3)*COS($K$73)))),IF(($A40&lt;'Alternative 2'!$B$29),(($H$3*'Alternative 2'!$B$39+(($N$72/3)*COS($K$73)))),($H40*'Alternative 2'!$B$39))))</f>
        <v>#VALUE!</v>
      </c>
      <c r="BJ40" s="78" t="e">
        <f>BH40*'Alternative 2'!$K41/'Alternative 2'!$L41</f>
        <v>#VALUE!</v>
      </c>
      <c r="BK40" s="78" t="e">
        <f>BI40/'Alternative 2'!$M41</f>
        <v>#VALUE!</v>
      </c>
      <c r="BL40" s="78" t="e">
        <f t="shared" si="9"/>
        <v>#VALUE!</v>
      </c>
      <c r="BN40" s="78" t="e">
        <f>'Alternative 2'!$B$39*$B40*$C40*COS($K$83)-($N$82/3)*$E40*SIN($K$83)-($N$82/3)*$F40*SIN($K$83)-($N$82/3)*$G40*SIN($K$83)</f>
        <v>#VALUE!</v>
      </c>
      <c r="BO40" s="79" t="e">
        <f>IF(($A40&lt;'Alternative 2'!$B$27),(($H40*'Alternative 2'!$B$39)+(3*($N$82/3)*COS($K$83))),IF(($A40&lt;'Alternative 2'!$B$28),(($H40*'Alternative 2'!$B$39)+(2*(($N$82/3)*COS($K$83)))),IF(($A40&lt;'Alternative 2'!$B$29),(($H$3*'Alternative 2'!$B$39+(($N$82/3)*COS($K$83)))),($H40*'Alternative 2'!$B$39))))</f>
        <v>#VALUE!</v>
      </c>
      <c r="BP40" s="78" t="e">
        <f>BN40*'Alternative 2'!$K41/'Alternative 2'!$L41</f>
        <v>#VALUE!</v>
      </c>
      <c r="BQ40" s="78" t="e">
        <f>BO40/'Alternative 2'!$M41</f>
        <v>#VALUE!</v>
      </c>
      <c r="BR40" s="78" t="e">
        <f t="shared" si="10"/>
        <v>#VALUE!</v>
      </c>
      <c r="BT40" s="78" t="e">
        <f>'Alternative 2'!$B$39*$B40*$C40*COS($K$93)-($K$92/3)*$E40*SIN($K$93)-($K$92/3)*$F40*SIN($K$93)-($K$92/3)*$G40*SIN($K$93)</f>
        <v>#VALUE!</v>
      </c>
      <c r="BU40" s="79" t="e">
        <f>IF(($A40&lt;'Alternative 2'!$B$27),(($H40*'Alternative 2'!$B$39)+(3*($N$92/3)*COS($K$93))),IF(($A40&lt;'Alternative 2'!$B$28),(($H40*'Alternative 2'!$B$39)+(2*(($N$92/3)*COS($K$93)))),IF(($A40&lt;'Alternative 2'!$B$29),(($H$3*'Alternative 2'!$B$39+(($N$92/3)*COS($K$93)))),($H40*'Alternative 2'!$B$39))))</f>
        <v>#VALUE!</v>
      </c>
      <c r="BV40" s="78" t="e">
        <f>BT40*'Alternative 2'!$K41/'Alternative 2'!$L41</f>
        <v>#VALUE!</v>
      </c>
      <c r="BW40" s="78" t="e">
        <f>BU40/'Alternative 2'!$M41</f>
        <v>#VALUE!</v>
      </c>
      <c r="BX40" s="78" t="e">
        <f t="shared" si="11"/>
        <v>#VALUE!</v>
      </c>
      <c r="BZ40" s="77">
        <v>150</v>
      </c>
      <c r="CA40" s="77">
        <v>-150</v>
      </c>
    </row>
    <row r="41" spans="1:79" ht="15" customHeight="1" x14ac:dyDescent="0.25">
      <c r="A41" s="13" t="str">
        <f>IF('Alternative 2'!F42&gt;0,'Alternative 2'!F42,"x")</f>
        <v>x</v>
      </c>
      <c r="B41" s="13" t="e">
        <f t="shared" si="17"/>
        <v>#VALUE!</v>
      </c>
      <c r="C41" s="13">
        <f t="shared" si="12"/>
        <v>0</v>
      </c>
      <c r="D41" s="13" t="str">
        <f t="shared" si="13"/>
        <v>x</v>
      </c>
      <c r="E41" s="74">
        <f>IF($A41&lt;='Alternative 2'!$B$27, IF($A41='Alternative 2'!$B$27,0,E42+1),0)</f>
        <v>0</v>
      </c>
      <c r="F41" s="74">
        <f>IF($A41&lt;=('Alternative 2'!$B$28), IF($A41=ROUNDDOWN('Alternative 2'!$B$28,0),0,F42+1),0)</f>
        <v>0</v>
      </c>
      <c r="G41" s="74">
        <f>IF($A41&lt;=('Alternative 2'!$B$29), IF($A41=ROUNDDOWN('Alternative 2'!$B$29,0),0,G42+1),0)</f>
        <v>0</v>
      </c>
      <c r="H41" s="13" t="e">
        <f t="shared" si="14"/>
        <v>#VALUE!</v>
      </c>
      <c r="J41" s="77">
        <f t="shared" si="15"/>
        <v>38</v>
      </c>
      <c r="K41" s="77">
        <f t="shared" si="16"/>
        <v>0.66322511575784515</v>
      </c>
      <c r="L41" s="78">
        <f>'Alternative 2'!$B$27*SIN(K41)+'Alternative 2'!$B$28*SIN(K41)+'Alternative 2'!$B$29*SIN(K41)</f>
        <v>41.86498032214476</v>
      </c>
      <c r="M41" s="77">
        <f>(('Alternative 2'!$B$27)*(((('Alternative 2'!$B$28-'Alternative 2'!$B$27)/2)+'Alternative 2'!$B$27)*'Alternative 2'!$B$39)*COS('Alternative 2-Tilt Up'!K41))+(('Alternative 2'!$B$28)*((('Alternative 2'!$B$28-'Alternative 2'!$B$27)/2)+(('Alternative 2'!$B$29-'Alternative 2'!$B$28)/2))*('Alternative 2'!$B$39)*COS('Alternative 2-Tilt Up'!K41))+(('Alternative 2'!$B$29)*((('Alternative 2'!$B$12-'Alternative 2'!$B$29+(('Alternative 2'!$B$29-'Alternative 2'!$B$28)/2)*('Alternative 2'!$B$39)*COS('Alternative 2-Tilt Up'!K41)))))</f>
        <v>3740029.099074916</v>
      </c>
      <c r="N41" s="77">
        <f t="shared" si="0"/>
        <v>268006.51071343775</v>
      </c>
      <c r="O41" s="77">
        <f>(((('Alternative 2'!$B$28-'Alternative 2'!$B$27)/2)+'Alternative 2'!$B$27)*('Alternative 2'!$B$39)*COS('Alternative 2-Tilt Up'!K41))+(((('Alternative 2'!$B$28-'Alternative 2'!$B$27)/2)+(('Alternative 2'!$B$29-'Alternative 2'!$B$28)/2))*('Alternative 2'!$B$39)*COS('Alternative 2-Tilt Up'!K41))+(((('Alternative 2'!$B$12-'Alternative 2'!$B$29)+(('Alternative 2'!$B$29-'Alternative 2'!$B$28)/2))*('Alternative 2'!$B$39)*COS('Alternative 2-Tilt Up'!K41)))</f>
        <v>241225.77831359472</v>
      </c>
      <c r="P41" s="77">
        <f t="shared" si="1"/>
        <v>211192.0124788041</v>
      </c>
      <c r="R41" s="78" t="e">
        <f>'Alternative 2'!$B$39*$B41*$C41*COS($K$5)-($N$5/3)*$E41*SIN($K$5)-($N$5/3)*$F41*SIN($K$5)-($N$5/3)*$G41*SIN($K$5)</f>
        <v>#VALUE!</v>
      </c>
      <c r="S41" s="79" t="e">
        <f>IF(($A41&lt;'Alternative 2'!$B$27),(($H41*'Alternative 2'!$B$39)+(3*($N$5/3)*COS($K$5))),IF(($A41&lt;'Alternative 2'!$B$28),(($H41*'Alternative 2'!$B$39)+(2*(($N$5/3)*COS($K$5)))),IF(($A41&lt;'Alternative 2'!$B$29),(($H$3*'Alternative 2'!$B$39+(($N$5/3)*COS($K$5)))),($H41*'Alternative 2'!$B$39))))</f>
        <v>#VALUE!</v>
      </c>
      <c r="T41" s="78" t="e">
        <f>R41*'Alternative 2'!$K42/'Alternative 2'!$L42</f>
        <v>#VALUE!</v>
      </c>
      <c r="U41" s="78" t="e">
        <f>S41/'Alternative 2'!$M42</f>
        <v>#VALUE!</v>
      </c>
      <c r="V41" s="78" t="e">
        <f t="shared" si="2"/>
        <v>#VALUE!</v>
      </c>
      <c r="X41" s="78" t="e">
        <f>'Alternative 2'!$B$39*$B41*$C41*COS($K$13)-($N$12/3)*$E41*SIN($K$13)-($N$12/3)*$F41*SIN($K$13)-($N$12/3)*$G41*SIN($K$13)</f>
        <v>#VALUE!</v>
      </c>
      <c r="Y41" s="79" t="e">
        <f>IF(($A41&lt;'Alternative 2'!$B$27),(($H41*'Alternative 2'!$B$39)+(3*($N$12/3)*COS($K$13))),IF(($A41&lt;'Alternative 2'!$B$28),(($H41*'Alternative 2'!$B$39)+(2*(($N$12/3)*COS($K$13)))),IF(($A41&lt;'Alternative 2'!$B$29),(($H$3*'Alternative 2'!$B$39+(($N$12/3)*COS($K$13)))),($H41*'Alternative 2'!$B$39))))</f>
        <v>#VALUE!</v>
      </c>
      <c r="Z41" s="78" t="e">
        <f>X41*'Alternative 2'!$K42/'Alternative 2'!$L42</f>
        <v>#VALUE!</v>
      </c>
      <c r="AA41" s="78" t="e">
        <f>Y41/'Alternative 2'!$M42</f>
        <v>#VALUE!</v>
      </c>
      <c r="AB41" s="78" t="e">
        <f t="shared" si="3"/>
        <v>#VALUE!</v>
      </c>
      <c r="AD41" s="78" t="e">
        <f>'Alternative 2'!$B$39*$B41*$C41*COS($K$23)-($N$22/3)*$E41*SIN($K$23)-($N$22/3)*$F41*SIN($K$23)-($N$22/3)*$G41*SIN($K$23)</f>
        <v>#VALUE!</v>
      </c>
      <c r="AE41" s="79" t="e">
        <f>IF(($A41&lt;'Alternative 2'!$B$27),(($H41*'Alternative 2'!$B$39)+(3*($N$22/3)*COS($K$23))),IF(($A41&lt;'Alternative 2'!$B$28),(($H41*'Alternative 2'!$B$39)+(2*(($N$22/3)*COS($K$23)))),IF(($A41&lt;'Alternative 2'!$B$29),(($H$3*'Alternative 2'!$B$39+(($N$22/3)*COS($K$23)))),($H41*'Alternative 2'!$B$39))))</f>
        <v>#VALUE!</v>
      </c>
      <c r="AF41" s="78" t="e">
        <f>AD41*'Alternative 2'!$K42/'Alternative 2'!$L42</f>
        <v>#VALUE!</v>
      </c>
      <c r="AG41" s="78" t="e">
        <f>AE41/'Alternative 2'!$M42</f>
        <v>#VALUE!</v>
      </c>
      <c r="AH41" s="78" t="e">
        <f t="shared" si="4"/>
        <v>#VALUE!</v>
      </c>
      <c r="AJ41" s="78" t="e">
        <f>'Alternative 2'!$B$39*$B41*$C41*COS($K$33)-($N$32/3)*$E41*SIN($K$33)-($N$32/3)*$F41*SIN($K$33)-($N$32/3)*$G41*SIN($K$33)</f>
        <v>#VALUE!</v>
      </c>
      <c r="AK41" s="79" t="e">
        <f>IF(($A41&lt;'Alternative 2'!$B$27),(($H41*'Alternative 2'!$B$39)+(3*($N$32/3)*COS($K$33))),IF(($A41&lt;'Alternative 2'!$B$28),(($H41*'Alternative 2'!$B$39)+(2*(($N$32/3)*COS($K$33)))),IF(($A41&lt;'Alternative 2'!$B$29),(($H$3*'Alternative 2'!$B$39+(($N$32/3)*COS($K$33)))),($H41*'Alternative 2'!$B$39))))</f>
        <v>#VALUE!</v>
      </c>
      <c r="AL41" s="78" t="e">
        <f>AJ41*'Alternative 2'!$K42/'Alternative 2'!$L42</f>
        <v>#VALUE!</v>
      </c>
      <c r="AM41" s="78" t="e">
        <f>AK41/'Alternative 2'!$M42</f>
        <v>#VALUE!</v>
      </c>
      <c r="AN41" s="78" t="e">
        <f t="shared" si="5"/>
        <v>#VALUE!</v>
      </c>
      <c r="AP41" s="78" t="e">
        <f>'Alternative 2'!$B$39*$B41*$C41*COS($K$43)-($N$42/3)*$E41*SIN($K$43)-($N$42/3)*$F41*SIN($K$43)-($N$42/3)*$G41*SIN($K$43)</f>
        <v>#VALUE!</v>
      </c>
      <c r="AQ41" s="79" t="e">
        <f>IF(($A41&lt;'Alternative 2'!$B$27),(($H41*'Alternative 2'!$B$39)+(3*($N$42/3)*COS($K$43))),IF(($A41&lt;'Alternative 2'!$B$28),(($H41*'Alternative 2'!$B$39)+(2*(($N$42/3)*COS($K$43)))),IF(($A41&lt;'Alternative 2'!$B$29),(($H$3*'Alternative 2'!$B$39+(($N$42/3)*COS($K$43)))),($H41*'Alternative 2'!$B$39))))</f>
        <v>#VALUE!</v>
      </c>
      <c r="AR41" s="78" t="e">
        <f>AP41*'Alternative 2'!$K42/'Alternative 2'!$L42</f>
        <v>#VALUE!</v>
      </c>
      <c r="AS41" s="78" t="e">
        <f>AQ41/'Alternative 2'!$M42</f>
        <v>#VALUE!</v>
      </c>
      <c r="AT41" s="78" t="e">
        <f t="shared" si="6"/>
        <v>#VALUE!</v>
      </c>
      <c r="AV41" s="78" t="e">
        <f>'Alternative 2'!$B$39*$B41*$C41*COS($K$53)-($N$52/3)*$E41*SIN($K$53)-($N$52/3)*$F41*SIN($K$53)-($N$52/3)*$G41*SIN($K$53)</f>
        <v>#VALUE!</v>
      </c>
      <c r="AW41" s="79" t="e">
        <f>IF(($A41&lt;'Alternative 2'!$B$27),(($H41*'Alternative 2'!$B$39)+(3*($N$52/3)*COS($K$53))),IF(($A41&lt;'Alternative 2'!$B$28),(($H41*'Alternative 2'!$B$39)+(2*(($N$52/3)*COS($K$53)))),IF(($A41&lt;'Alternative 2'!$B$29),(($H$3*'Alternative 2'!$B$39+(($N$52/3)*COS($K$53)))),($H41*'Alternative 2'!$B$39))))</f>
        <v>#VALUE!</v>
      </c>
      <c r="AX41" s="78" t="e">
        <f>AV41*'Alternative 2'!$K42/'Alternative 2'!$L42</f>
        <v>#VALUE!</v>
      </c>
      <c r="AY41" s="78" t="e">
        <f>AW41/'Alternative 2'!$M42</f>
        <v>#VALUE!</v>
      </c>
      <c r="AZ41" s="78" t="e">
        <f t="shared" si="7"/>
        <v>#VALUE!</v>
      </c>
      <c r="BB41" s="78" t="e">
        <f>'Alternative 2'!$B$39*$B41*$C41*COS($K$63)-($N$62/3)*$E41*SIN($K$63)-($N$62/3)*$F41*SIN($K$63)-($N$62/3)*$G41*SIN($K$63)</f>
        <v>#VALUE!</v>
      </c>
      <c r="BC41" s="79" t="e">
        <f>IF(($A41&lt;'Alternative 2'!$B$27),(($H41*'Alternative 2'!$B$39)+(3*($N$62/3)*COS($K$63))),IF(($A41&lt;'Alternative 2'!$B$28),(($H41*'Alternative 2'!$B$39)+(2*(($N$62/3)*COS($K$63)))),IF(($A41&lt;'Alternative 2'!$B$29),(($H$3*'Alternative 2'!$B$39+(($N$62/3)*COS($K$63)))),($H41*'Alternative 2'!$B$39))))</f>
        <v>#VALUE!</v>
      </c>
      <c r="BD41" s="78" t="e">
        <f>BB41*'Alternative 2'!$K42/'Alternative 2'!$L42</f>
        <v>#VALUE!</v>
      </c>
      <c r="BE41" s="78" t="e">
        <f>BC41/'Alternative 2'!$M42</f>
        <v>#VALUE!</v>
      </c>
      <c r="BF41" s="78" t="e">
        <f t="shared" si="8"/>
        <v>#VALUE!</v>
      </c>
      <c r="BH41" s="78" t="e">
        <f>'Alternative 2'!$B$39*$B41*$C41*COS($K$73)-($N$72/3)*$E41*SIN($K$73)-($N$72/3)*$F41*SIN($K$73)-($N$72/3)*$G41*SIN($K$73)</f>
        <v>#VALUE!</v>
      </c>
      <c r="BI41" s="79" t="e">
        <f>IF(($A41&lt;'Alternative 2'!$B$27),(($H41*'Alternative 2'!$B$39)+(3*($N$72/3)*COS($K$73))),IF(($A41&lt;'Alternative 2'!$B$28),(($H41*'Alternative 2'!$B$39)+(2*(($N$72/3)*COS($K$73)))),IF(($A41&lt;'Alternative 2'!$B$29),(($H$3*'Alternative 2'!$B$39+(($N$72/3)*COS($K$73)))),($H41*'Alternative 2'!$B$39))))</f>
        <v>#VALUE!</v>
      </c>
      <c r="BJ41" s="78" t="e">
        <f>BH41*'Alternative 2'!$K42/'Alternative 2'!$L42</f>
        <v>#VALUE!</v>
      </c>
      <c r="BK41" s="78" t="e">
        <f>BI41/'Alternative 2'!$M42</f>
        <v>#VALUE!</v>
      </c>
      <c r="BL41" s="78" t="e">
        <f t="shared" si="9"/>
        <v>#VALUE!</v>
      </c>
      <c r="BN41" s="78" t="e">
        <f>'Alternative 2'!$B$39*$B41*$C41*COS($K$83)-($N$82/3)*$E41*SIN($K$83)-($N$82/3)*$F41*SIN($K$83)-($N$82/3)*$G41*SIN($K$83)</f>
        <v>#VALUE!</v>
      </c>
      <c r="BO41" s="79" t="e">
        <f>IF(($A41&lt;'Alternative 2'!$B$27),(($H41*'Alternative 2'!$B$39)+(3*($N$82/3)*COS($K$83))),IF(($A41&lt;'Alternative 2'!$B$28),(($H41*'Alternative 2'!$B$39)+(2*(($N$82/3)*COS($K$83)))),IF(($A41&lt;'Alternative 2'!$B$29),(($H$3*'Alternative 2'!$B$39+(($N$82/3)*COS($K$83)))),($H41*'Alternative 2'!$B$39))))</f>
        <v>#VALUE!</v>
      </c>
      <c r="BP41" s="78" t="e">
        <f>BN41*'Alternative 2'!$K42/'Alternative 2'!$L42</f>
        <v>#VALUE!</v>
      </c>
      <c r="BQ41" s="78" t="e">
        <f>BO41/'Alternative 2'!$M42</f>
        <v>#VALUE!</v>
      </c>
      <c r="BR41" s="78" t="e">
        <f t="shared" si="10"/>
        <v>#VALUE!</v>
      </c>
      <c r="BT41" s="78" t="e">
        <f>'Alternative 2'!$B$39*$B41*$C41*COS($K$93)-($K$92/3)*$E41*SIN($K$93)-($K$92/3)*$F41*SIN($K$93)-($K$92/3)*$G41*SIN($K$93)</f>
        <v>#VALUE!</v>
      </c>
      <c r="BU41" s="79" t="e">
        <f>IF(($A41&lt;'Alternative 2'!$B$27),(($H41*'Alternative 2'!$B$39)+(3*($N$92/3)*COS($K$93))),IF(($A41&lt;'Alternative 2'!$B$28),(($H41*'Alternative 2'!$B$39)+(2*(($N$92/3)*COS($K$93)))),IF(($A41&lt;'Alternative 2'!$B$29),(($H$3*'Alternative 2'!$B$39+(($N$92/3)*COS($K$93)))),($H41*'Alternative 2'!$B$39))))</f>
        <v>#VALUE!</v>
      </c>
      <c r="BV41" s="78" t="e">
        <f>BT41*'Alternative 2'!$K42/'Alternative 2'!$L42</f>
        <v>#VALUE!</v>
      </c>
      <c r="BW41" s="78" t="e">
        <f>BU41/'Alternative 2'!$M42</f>
        <v>#VALUE!</v>
      </c>
      <c r="BX41" s="78" t="e">
        <f t="shared" si="11"/>
        <v>#VALUE!</v>
      </c>
      <c r="BZ41" s="77">
        <v>150</v>
      </c>
      <c r="CA41" s="77">
        <v>-150</v>
      </c>
    </row>
    <row r="42" spans="1:79" ht="15" customHeight="1" x14ac:dyDescent="0.25">
      <c r="A42" s="13" t="str">
        <f>IF('Alternative 2'!F43&gt;0,'Alternative 2'!F43,"x")</f>
        <v>x</v>
      </c>
      <c r="B42" s="13" t="e">
        <f t="shared" si="17"/>
        <v>#VALUE!</v>
      </c>
      <c r="C42" s="13">
        <f t="shared" si="12"/>
        <v>0</v>
      </c>
      <c r="D42" s="13" t="str">
        <f t="shared" si="13"/>
        <v>x</v>
      </c>
      <c r="E42" s="74">
        <f>IF($A42&lt;='Alternative 2'!$B$27, IF($A42='Alternative 2'!$B$27,0,E43+1),0)</f>
        <v>0</v>
      </c>
      <c r="F42" s="74">
        <f>IF($A42&lt;=('Alternative 2'!$B$28), IF($A42=ROUNDDOWN('Alternative 2'!$B$28,0),0,F43+1),0)</f>
        <v>0</v>
      </c>
      <c r="G42" s="74">
        <f>IF($A42&lt;=('Alternative 2'!$B$29), IF($A42=ROUNDDOWN('Alternative 2'!$B$29,0),0,G43+1),0)</f>
        <v>0</v>
      </c>
      <c r="H42" s="13" t="e">
        <f t="shared" si="14"/>
        <v>#VALUE!</v>
      </c>
      <c r="J42" s="77">
        <f t="shared" si="15"/>
        <v>39</v>
      </c>
      <c r="K42" s="77">
        <f t="shared" si="16"/>
        <v>0.68067840827778847</v>
      </c>
      <c r="L42" s="78">
        <f>'Alternative 2'!$B$27*SIN(K42)+'Alternative 2'!$B$28*SIN(K42)+'Alternative 2'!$B$29*SIN(K42)</f>
        <v>42.793786591388944</v>
      </c>
      <c r="M42" s="77">
        <f>(('Alternative 2'!$B$27)*(((('Alternative 2'!$B$28-'Alternative 2'!$B$27)/2)+'Alternative 2'!$B$27)*'Alternative 2'!$B$39)*COS('Alternative 2-Tilt Up'!K42))+(('Alternative 2'!$B$28)*((('Alternative 2'!$B$28-'Alternative 2'!$B$27)/2)+(('Alternative 2'!$B$29-'Alternative 2'!$B$28)/2))*('Alternative 2'!$B$39)*COS('Alternative 2-Tilt Up'!K42))+(('Alternative 2'!$B$29)*((('Alternative 2'!$B$12-'Alternative 2'!$B$29+(('Alternative 2'!$B$29-'Alternative 2'!$B$28)/2)*('Alternative 2'!$B$39)*COS('Alternative 2-Tilt Up'!K42)))))</f>
        <v>3688465.6995676691</v>
      </c>
      <c r="N42" s="82">
        <f t="shared" si="0"/>
        <v>258574.85350290575</v>
      </c>
      <c r="O42" s="77">
        <f>(((('Alternative 2'!$B$28-'Alternative 2'!$B$27)/2)+'Alternative 2'!$B$27)*('Alternative 2'!$B$39)*COS('Alternative 2-Tilt Up'!K42))+(((('Alternative 2'!$B$28-'Alternative 2'!$B$27)/2)+(('Alternative 2'!$B$29-'Alternative 2'!$B$28)/2))*('Alternative 2'!$B$39)*COS('Alternative 2-Tilt Up'!K42))+(((('Alternative 2'!$B$12-'Alternative 2'!$B$29)+(('Alternative 2'!$B$29-'Alternative 2'!$B$28)/2))*('Alternative 2'!$B$39)*COS('Alternative 2-Tilt Up'!K42)))</f>
        <v>237899.84915521275</v>
      </c>
      <c r="P42" s="77">
        <f t="shared" si="1"/>
        <v>200950.40313411108</v>
      </c>
      <c r="R42" s="78" t="e">
        <f>'Alternative 2'!$B$39*$B42*$C42*COS($K$5)-($N$5/3)*$E42*SIN($K$5)-($N$5/3)*$F42*SIN($K$5)-($N$5/3)*$G42*SIN($K$5)</f>
        <v>#VALUE!</v>
      </c>
      <c r="S42" s="79" t="e">
        <f>IF(($A42&lt;'Alternative 2'!$B$27),(($H42*'Alternative 2'!$B$39)+(3*($N$5/3)*COS($K$5))),IF(($A42&lt;'Alternative 2'!$B$28),(($H42*'Alternative 2'!$B$39)+(2*(($N$5/3)*COS($K$5)))),IF(($A42&lt;'Alternative 2'!$B$29),(($H$3*'Alternative 2'!$B$39+(($N$5/3)*COS($K$5)))),($H42*'Alternative 2'!$B$39))))</f>
        <v>#VALUE!</v>
      </c>
      <c r="T42" s="78" t="e">
        <f>R42*'Alternative 2'!$K43/'Alternative 2'!$L43</f>
        <v>#VALUE!</v>
      </c>
      <c r="U42" s="78" t="e">
        <f>S42/'Alternative 2'!$M43</f>
        <v>#VALUE!</v>
      </c>
      <c r="V42" s="78" t="e">
        <f t="shared" si="2"/>
        <v>#VALUE!</v>
      </c>
      <c r="X42" s="78" t="e">
        <f>'Alternative 2'!$B$39*$B42*$C42*COS($K$13)-($N$12/3)*$E42*SIN($K$13)-($N$12/3)*$F42*SIN($K$13)-($N$12/3)*$G42*SIN($K$13)</f>
        <v>#VALUE!</v>
      </c>
      <c r="Y42" s="79" t="e">
        <f>IF(($A42&lt;'Alternative 2'!$B$27),(($H42*'Alternative 2'!$B$39)+(3*($N$12/3)*COS($K$13))),IF(($A42&lt;'Alternative 2'!$B$28),(($H42*'Alternative 2'!$B$39)+(2*(($N$12/3)*COS($K$13)))),IF(($A42&lt;'Alternative 2'!$B$29),(($H$3*'Alternative 2'!$B$39+(($N$12/3)*COS($K$13)))),($H42*'Alternative 2'!$B$39))))</f>
        <v>#VALUE!</v>
      </c>
      <c r="Z42" s="78" t="e">
        <f>X42*'Alternative 2'!$K43/'Alternative 2'!$L43</f>
        <v>#VALUE!</v>
      </c>
      <c r="AA42" s="78" t="e">
        <f>Y42/'Alternative 2'!$M43</f>
        <v>#VALUE!</v>
      </c>
      <c r="AB42" s="78" t="e">
        <f t="shared" si="3"/>
        <v>#VALUE!</v>
      </c>
      <c r="AD42" s="78" t="e">
        <f>'Alternative 2'!$B$39*$B42*$C42*COS($K$23)-($N$22/3)*$E42*SIN($K$23)-($N$22/3)*$F42*SIN($K$23)-($N$22/3)*$G42*SIN($K$23)</f>
        <v>#VALUE!</v>
      </c>
      <c r="AE42" s="79" t="e">
        <f>IF(($A42&lt;'Alternative 2'!$B$27),(($H42*'Alternative 2'!$B$39)+(3*($N$22/3)*COS($K$23))),IF(($A42&lt;'Alternative 2'!$B$28),(($H42*'Alternative 2'!$B$39)+(2*(($N$22/3)*COS($K$23)))),IF(($A42&lt;'Alternative 2'!$B$29),(($H$3*'Alternative 2'!$B$39+(($N$22/3)*COS($K$23)))),($H42*'Alternative 2'!$B$39))))</f>
        <v>#VALUE!</v>
      </c>
      <c r="AF42" s="78" t="e">
        <f>AD42*'Alternative 2'!$K43/'Alternative 2'!$L43</f>
        <v>#VALUE!</v>
      </c>
      <c r="AG42" s="78" t="e">
        <f>AE42/'Alternative 2'!$M43</f>
        <v>#VALUE!</v>
      </c>
      <c r="AH42" s="78" t="e">
        <f t="shared" si="4"/>
        <v>#VALUE!</v>
      </c>
      <c r="AJ42" s="78" t="e">
        <f>'Alternative 2'!$B$39*$B42*$C42*COS($K$33)-($N$32/3)*$E42*SIN($K$33)-($N$32/3)*$F42*SIN($K$33)-($N$32/3)*$G42*SIN($K$33)</f>
        <v>#VALUE!</v>
      </c>
      <c r="AK42" s="79" t="e">
        <f>IF(($A42&lt;'Alternative 2'!$B$27),(($H42*'Alternative 2'!$B$39)+(3*($N$32/3)*COS($K$33))),IF(($A42&lt;'Alternative 2'!$B$28),(($H42*'Alternative 2'!$B$39)+(2*(($N$32/3)*COS($K$33)))),IF(($A42&lt;'Alternative 2'!$B$29),(($H$3*'Alternative 2'!$B$39+(($N$32/3)*COS($K$33)))),($H42*'Alternative 2'!$B$39))))</f>
        <v>#VALUE!</v>
      </c>
      <c r="AL42" s="78" t="e">
        <f>AJ42*'Alternative 2'!$K43/'Alternative 2'!$L43</f>
        <v>#VALUE!</v>
      </c>
      <c r="AM42" s="78" t="e">
        <f>AK42/'Alternative 2'!$M43</f>
        <v>#VALUE!</v>
      </c>
      <c r="AN42" s="78" t="e">
        <f t="shared" si="5"/>
        <v>#VALUE!</v>
      </c>
      <c r="AP42" s="78" t="e">
        <f>'Alternative 2'!$B$39*$B42*$C42*COS($K$43)-($N$42/3)*$E42*SIN($K$43)-($N$42/3)*$F42*SIN($K$43)-($N$42/3)*$G42*SIN($K$43)</f>
        <v>#VALUE!</v>
      </c>
      <c r="AQ42" s="79" t="e">
        <f>IF(($A42&lt;'Alternative 2'!$B$27),(($H42*'Alternative 2'!$B$39)+(3*($N$42/3)*COS($K$43))),IF(($A42&lt;'Alternative 2'!$B$28),(($H42*'Alternative 2'!$B$39)+(2*(($N$42/3)*COS($K$43)))),IF(($A42&lt;'Alternative 2'!$B$29),(($H$3*'Alternative 2'!$B$39+(($N$42/3)*COS($K$43)))),($H42*'Alternative 2'!$B$39))))</f>
        <v>#VALUE!</v>
      </c>
      <c r="AR42" s="78" t="e">
        <f>AP42*'Alternative 2'!$K43/'Alternative 2'!$L43</f>
        <v>#VALUE!</v>
      </c>
      <c r="AS42" s="78" t="e">
        <f>AQ42/'Alternative 2'!$M43</f>
        <v>#VALUE!</v>
      </c>
      <c r="AT42" s="78" t="e">
        <f t="shared" si="6"/>
        <v>#VALUE!</v>
      </c>
      <c r="AV42" s="78" t="e">
        <f>'Alternative 2'!$B$39*$B42*$C42*COS($K$53)-($N$52/3)*$E42*SIN($K$53)-($N$52/3)*$F42*SIN($K$53)-($N$52/3)*$G42*SIN($K$53)</f>
        <v>#VALUE!</v>
      </c>
      <c r="AW42" s="79" t="e">
        <f>IF(($A42&lt;'Alternative 2'!$B$27),(($H42*'Alternative 2'!$B$39)+(3*($N$52/3)*COS($K$53))),IF(($A42&lt;'Alternative 2'!$B$28),(($H42*'Alternative 2'!$B$39)+(2*(($N$52/3)*COS($K$53)))),IF(($A42&lt;'Alternative 2'!$B$29),(($H$3*'Alternative 2'!$B$39+(($N$52/3)*COS($K$53)))),($H42*'Alternative 2'!$B$39))))</f>
        <v>#VALUE!</v>
      </c>
      <c r="AX42" s="78" t="e">
        <f>AV42*'Alternative 2'!$K43/'Alternative 2'!$L43</f>
        <v>#VALUE!</v>
      </c>
      <c r="AY42" s="78" t="e">
        <f>AW42/'Alternative 2'!$M43</f>
        <v>#VALUE!</v>
      </c>
      <c r="AZ42" s="78" t="e">
        <f t="shared" si="7"/>
        <v>#VALUE!</v>
      </c>
      <c r="BB42" s="78" t="e">
        <f>'Alternative 2'!$B$39*$B42*$C42*COS($K$63)-($N$62/3)*$E42*SIN($K$63)-($N$62/3)*$F42*SIN($K$63)-($N$62/3)*$G42*SIN($K$63)</f>
        <v>#VALUE!</v>
      </c>
      <c r="BC42" s="79" t="e">
        <f>IF(($A42&lt;'Alternative 2'!$B$27),(($H42*'Alternative 2'!$B$39)+(3*($N$62/3)*COS($K$63))),IF(($A42&lt;'Alternative 2'!$B$28),(($H42*'Alternative 2'!$B$39)+(2*(($N$62/3)*COS($K$63)))),IF(($A42&lt;'Alternative 2'!$B$29),(($H$3*'Alternative 2'!$B$39+(($N$62/3)*COS($K$63)))),($H42*'Alternative 2'!$B$39))))</f>
        <v>#VALUE!</v>
      </c>
      <c r="BD42" s="78" t="e">
        <f>BB42*'Alternative 2'!$K43/'Alternative 2'!$L43</f>
        <v>#VALUE!</v>
      </c>
      <c r="BE42" s="78" t="e">
        <f>BC42/'Alternative 2'!$M43</f>
        <v>#VALUE!</v>
      </c>
      <c r="BF42" s="78" t="e">
        <f t="shared" si="8"/>
        <v>#VALUE!</v>
      </c>
      <c r="BH42" s="78" t="e">
        <f>'Alternative 2'!$B$39*$B42*$C42*COS($K$73)-($N$72/3)*$E42*SIN($K$73)-($N$72/3)*$F42*SIN($K$73)-($N$72/3)*$G42*SIN($K$73)</f>
        <v>#VALUE!</v>
      </c>
      <c r="BI42" s="79" t="e">
        <f>IF(($A42&lt;'Alternative 2'!$B$27),(($H42*'Alternative 2'!$B$39)+(3*($N$72/3)*COS($K$73))),IF(($A42&lt;'Alternative 2'!$B$28),(($H42*'Alternative 2'!$B$39)+(2*(($N$72/3)*COS($K$73)))),IF(($A42&lt;'Alternative 2'!$B$29),(($H$3*'Alternative 2'!$B$39+(($N$72/3)*COS($K$73)))),($H42*'Alternative 2'!$B$39))))</f>
        <v>#VALUE!</v>
      </c>
      <c r="BJ42" s="78" t="e">
        <f>BH42*'Alternative 2'!$K43/'Alternative 2'!$L43</f>
        <v>#VALUE!</v>
      </c>
      <c r="BK42" s="78" t="e">
        <f>BI42/'Alternative 2'!$M43</f>
        <v>#VALUE!</v>
      </c>
      <c r="BL42" s="78" t="e">
        <f t="shared" si="9"/>
        <v>#VALUE!</v>
      </c>
      <c r="BN42" s="78" t="e">
        <f>'Alternative 2'!$B$39*$B42*$C42*COS($K$83)-($N$82/3)*$E42*SIN($K$83)-($N$82/3)*$F42*SIN($K$83)-($N$82/3)*$G42*SIN($K$83)</f>
        <v>#VALUE!</v>
      </c>
      <c r="BO42" s="79" t="e">
        <f>IF(($A42&lt;'Alternative 2'!$B$27),(($H42*'Alternative 2'!$B$39)+(3*($N$82/3)*COS($K$83))),IF(($A42&lt;'Alternative 2'!$B$28),(($H42*'Alternative 2'!$B$39)+(2*(($N$82/3)*COS($K$83)))),IF(($A42&lt;'Alternative 2'!$B$29),(($H$3*'Alternative 2'!$B$39+(($N$82/3)*COS($K$83)))),($H42*'Alternative 2'!$B$39))))</f>
        <v>#VALUE!</v>
      </c>
      <c r="BP42" s="78" t="e">
        <f>BN42*'Alternative 2'!$K43/'Alternative 2'!$L43</f>
        <v>#VALUE!</v>
      </c>
      <c r="BQ42" s="78" t="e">
        <f>BO42/'Alternative 2'!$M43</f>
        <v>#VALUE!</v>
      </c>
      <c r="BR42" s="78" t="e">
        <f t="shared" si="10"/>
        <v>#VALUE!</v>
      </c>
      <c r="BT42" s="78" t="e">
        <f>'Alternative 2'!$B$39*$B42*$C42*COS($K$93)-($K$92/3)*$E42*SIN($K$93)-($K$92/3)*$F42*SIN($K$93)-($K$92/3)*$G42*SIN($K$93)</f>
        <v>#VALUE!</v>
      </c>
      <c r="BU42" s="79" t="e">
        <f>IF(($A42&lt;'Alternative 2'!$B$27),(($H42*'Alternative 2'!$B$39)+(3*($N$92/3)*COS($K$93))),IF(($A42&lt;'Alternative 2'!$B$28),(($H42*'Alternative 2'!$B$39)+(2*(($N$92/3)*COS($K$93)))),IF(($A42&lt;'Alternative 2'!$B$29),(($H$3*'Alternative 2'!$B$39+(($N$92/3)*COS($K$93)))),($H42*'Alternative 2'!$B$39))))</f>
        <v>#VALUE!</v>
      </c>
      <c r="BV42" s="78" t="e">
        <f>BT42*'Alternative 2'!$K43/'Alternative 2'!$L43</f>
        <v>#VALUE!</v>
      </c>
      <c r="BW42" s="78" t="e">
        <f>BU42/'Alternative 2'!$M43</f>
        <v>#VALUE!</v>
      </c>
      <c r="BX42" s="78" t="e">
        <f t="shared" si="11"/>
        <v>#VALUE!</v>
      </c>
      <c r="BZ42" s="77">
        <v>150</v>
      </c>
      <c r="CA42" s="77">
        <v>-150</v>
      </c>
    </row>
    <row r="43" spans="1:79" ht="15" customHeight="1" x14ac:dyDescent="0.25">
      <c r="A43" s="13" t="str">
        <f>IF('Alternative 2'!F44&gt;0,'Alternative 2'!F44,"x")</f>
        <v>x</v>
      </c>
      <c r="B43" s="13" t="e">
        <f t="shared" si="17"/>
        <v>#VALUE!</v>
      </c>
      <c r="C43" s="13">
        <f t="shared" si="12"/>
        <v>0</v>
      </c>
      <c r="D43" s="13" t="str">
        <f t="shared" si="13"/>
        <v>x</v>
      </c>
      <c r="E43" s="74">
        <f>IF($A43&lt;='Alternative 2'!$B$27, IF($A43='Alternative 2'!$B$27,0,E44+1),0)</f>
        <v>0</v>
      </c>
      <c r="F43" s="74">
        <f>IF($A43&lt;=('Alternative 2'!$B$28), IF($A43=ROUNDDOWN('Alternative 2'!$B$28,0),0,F44+1),0)</f>
        <v>0</v>
      </c>
      <c r="G43" s="74">
        <f>IF($A43&lt;=('Alternative 2'!$B$29), IF($A43=ROUNDDOWN('Alternative 2'!$B$29,0),0,G44+1),0)</f>
        <v>0</v>
      </c>
      <c r="H43" s="13" t="e">
        <f t="shared" si="14"/>
        <v>#VALUE!</v>
      </c>
      <c r="J43" s="77">
        <f t="shared" si="15"/>
        <v>40</v>
      </c>
      <c r="K43" s="82">
        <f t="shared" si="16"/>
        <v>0.69813170079773179</v>
      </c>
      <c r="L43" s="78">
        <f>'Alternative 2'!$B$27*SIN(K43)+'Alternative 2'!$B$28*SIN(K43)+'Alternative 2'!$B$29*SIN(K43)</f>
        <v>43.709557458684671</v>
      </c>
      <c r="M43" s="77">
        <f>(('Alternative 2'!$B$27)*(((('Alternative 2'!$B$28-'Alternative 2'!$B$27)/2)+'Alternative 2'!$B$27)*'Alternative 2'!$B$39)*COS('Alternative 2-Tilt Up'!K43))+(('Alternative 2'!$B$28)*((('Alternative 2'!$B$28-'Alternative 2'!$B$27)/2)+(('Alternative 2'!$B$29-'Alternative 2'!$B$28)/2))*('Alternative 2'!$B$39)*COS('Alternative 2-Tilt Up'!K43))+(('Alternative 2'!$B$29)*((('Alternative 2'!$B$12-'Alternative 2'!$B$29+(('Alternative 2'!$B$29-'Alternative 2'!$B$28)/2)*('Alternative 2'!$B$39)*COS('Alternative 2-Tilt Up'!K43)))))</f>
        <v>3635778.8172684922</v>
      </c>
      <c r="N43" s="77">
        <f t="shared" si="0"/>
        <v>249541.22361260129</v>
      </c>
      <c r="O43" s="77">
        <f>(((('Alternative 2'!$B$28-'Alternative 2'!$B$27)/2)+'Alternative 2'!$B$27)*('Alternative 2'!$B$39)*COS('Alternative 2-Tilt Up'!K43))+(((('Alternative 2'!$B$28-'Alternative 2'!$B$27)/2)+(('Alternative 2'!$B$29-'Alternative 2'!$B$28)/2))*('Alternative 2'!$B$39)*COS('Alternative 2-Tilt Up'!K43))+(((('Alternative 2'!$B$12-'Alternative 2'!$B$29)+(('Alternative 2'!$B$29-'Alternative 2'!$B$28)/2))*('Alternative 2'!$B$39)*COS('Alternative 2-Tilt Up'!K43)))</f>
        <v>234501.45339819053</v>
      </c>
      <c r="P43" s="82">
        <f t="shared" si="1"/>
        <v>191159.66767754353</v>
      </c>
      <c r="R43" s="78" t="e">
        <f>'Alternative 2'!$B$39*$B43*$C43*COS($K$5)-($N$5/3)*$E43*SIN($K$5)-($N$5/3)*$F43*SIN($K$5)-($N$5/3)*$G43*SIN($K$5)</f>
        <v>#VALUE!</v>
      </c>
      <c r="S43" s="79" t="e">
        <f>IF(($A43&lt;'Alternative 2'!$B$27),(($H43*'Alternative 2'!$B$39)+(3*($N$5/3)*COS($K$5))),IF(($A43&lt;'Alternative 2'!$B$28),(($H43*'Alternative 2'!$B$39)+(2*(($N$5/3)*COS($K$5)))),IF(($A43&lt;'Alternative 2'!$B$29),(($H$3*'Alternative 2'!$B$39+(($N$5/3)*COS($K$5)))),($H43*'Alternative 2'!$B$39))))</f>
        <v>#VALUE!</v>
      </c>
      <c r="T43" s="78" t="e">
        <f>R43*'Alternative 2'!$K44/'Alternative 2'!$L44</f>
        <v>#VALUE!</v>
      </c>
      <c r="U43" s="78" t="e">
        <f>S43/'Alternative 2'!$M44</f>
        <v>#VALUE!</v>
      </c>
      <c r="V43" s="78" t="e">
        <f t="shared" si="2"/>
        <v>#VALUE!</v>
      </c>
      <c r="X43" s="78" t="e">
        <f>'Alternative 2'!$B$39*$B43*$C43*COS($K$13)-($N$12/3)*$E43*SIN($K$13)-($N$12/3)*$F43*SIN($K$13)-($N$12/3)*$G43*SIN($K$13)</f>
        <v>#VALUE!</v>
      </c>
      <c r="Y43" s="79" t="e">
        <f>IF(($A43&lt;'Alternative 2'!$B$27),(($H43*'Alternative 2'!$B$39)+(3*($N$12/3)*COS($K$13))),IF(($A43&lt;'Alternative 2'!$B$28),(($H43*'Alternative 2'!$B$39)+(2*(($N$12/3)*COS($K$13)))),IF(($A43&lt;'Alternative 2'!$B$29),(($H$3*'Alternative 2'!$B$39+(($N$12/3)*COS($K$13)))),($H43*'Alternative 2'!$B$39))))</f>
        <v>#VALUE!</v>
      </c>
      <c r="Z43" s="78" t="e">
        <f>X43*'Alternative 2'!$K44/'Alternative 2'!$L44</f>
        <v>#VALUE!</v>
      </c>
      <c r="AA43" s="78" t="e">
        <f>Y43/'Alternative 2'!$M44</f>
        <v>#VALUE!</v>
      </c>
      <c r="AB43" s="78" t="e">
        <f t="shared" si="3"/>
        <v>#VALUE!</v>
      </c>
      <c r="AD43" s="78" t="e">
        <f>'Alternative 2'!$B$39*$B43*$C43*COS($K$23)-($N$22/3)*$E43*SIN($K$23)-($N$22/3)*$F43*SIN($K$23)-($N$22/3)*$G43*SIN($K$23)</f>
        <v>#VALUE!</v>
      </c>
      <c r="AE43" s="79" t="e">
        <f>IF(($A43&lt;'Alternative 2'!$B$27),(($H43*'Alternative 2'!$B$39)+(3*($N$22/3)*COS($K$23))),IF(($A43&lt;'Alternative 2'!$B$28),(($H43*'Alternative 2'!$B$39)+(2*(($N$22/3)*COS($K$23)))),IF(($A43&lt;'Alternative 2'!$B$29),(($H$3*'Alternative 2'!$B$39+(($N$22/3)*COS($K$23)))),($H43*'Alternative 2'!$B$39))))</f>
        <v>#VALUE!</v>
      </c>
      <c r="AF43" s="78" t="e">
        <f>AD43*'Alternative 2'!$K44/'Alternative 2'!$L44</f>
        <v>#VALUE!</v>
      </c>
      <c r="AG43" s="78" t="e">
        <f>AE43/'Alternative 2'!$M44</f>
        <v>#VALUE!</v>
      </c>
      <c r="AH43" s="78" t="e">
        <f t="shared" si="4"/>
        <v>#VALUE!</v>
      </c>
      <c r="AJ43" s="78" t="e">
        <f>'Alternative 2'!$B$39*$B43*$C43*COS($K$33)-($N$32/3)*$E43*SIN($K$33)-($N$32/3)*$F43*SIN($K$33)-($N$32/3)*$G43*SIN($K$33)</f>
        <v>#VALUE!</v>
      </c>
      <c r="AK43" s="79" t="e">
        <f>IF(($A43&lt;'Alternative 2'!$B$27),(($H43*'Alternative 2'!$B$39)+(3*($N$32/3)*COS($K$33))),IF(($A43&lt;'Alternative 2'!$B$28),(($H43*'Alternative 2'!$B$39)+(2*(($N$32/3)*COS($K$33)))),IF(($A43&lt;'Alternative 2'!$B$29),(($H$3*'Alternative 2'!$B$39+(($N$32/3)*COS($K$33)))),($H43*'Alternative 2'!$B$39))))</f>
        <v>#VALUE!</v>
      </c>
      <c r="AL43" s="78" t="e">
        <f>AJ43*'Alternative 2'!$K44/'Alternative 2'!$L44</f>
        <v>#VALUE!</v>
      </c>
      <c r="AM43" s="78" t="e">
        <f>AK43/'Alternative 2'!$M44</f>
        <v>#VALUE!</v>
      </c>
      <c r="AN43" s="78" t="e">
        <f t="shared" si="5"/>
        <v>#VALUE!</v>
      </c>
      <c r="AP43" s="78" t="e">
        <f>'Alternative 2'!$B$39*$B43*$C43*COS($K$43)-($N$42/3)*$E43*SIN($K$43)-($N$42/3)*$F43*SIN($K$43)-($N$42/3)*$G43*SIN($K$43)</f>
        <v>#VALUE!</v>
      </c>
      <c r="AQ43" s="79" t="e">
        <f>IF(($A43&lt;'Alternative 2'!$B$27),(($H43*'Alternative 2'!$B$39)+(3*($N$42/3)*COS($K$43))),IF(($A43&lt;'Alternative 2'!$B$28),(($H43*'Alternative 2'!$B$39)+(2*(($N$42/3)*COS($K$43)))),IF(($A43&lt;'Alternative 2'!$B$29),(($H$3*'Alternative 2'!$B$39+(($N$42/3)*COS($K$43)))),($H43*'Alternative 2'!$B$39))))</f>
        <v>#VALUE!</v>
      </c>
      <c r="AR43" s="78" t="e">
        <f>AP43*'Alternative 2'!$K44/'Alternative 2'!$L44</f>
        <v>#VALUE!</v>
      </c>
      <c r="AS43" s="78" t="e">
        <f>AQ43/'Alternative 2'!$M44</f>
        <v>#VALUE!</v>
      </c>
      <c r="AT43" s="78" t="e">
        <f t="shared" si="6"/>
        <v>#VALUE!</v>
      </c>
      <c r="AV43" s="78" t="e">
        <f>'Alternative 2'!$B$39*$B43*$C43*COS($K$53)-($N$52/3)*$E43*SIN($K$53)-($N$52/3)*$F43*SIN($K$53)-($N$52/3)*$G43*SIN($K$53)</f>
        <v>#VALUE!</v>
      </c>
      <c r="AW43" s="79" t="e">
        <f>IF(($A43&lt;'Alternative 2'!$B$27),(($H43*'Alternative 2'!$B$39)+(3*($N$52/3)*COS($K$53))),IF(($A43&lt;'Alternative 2'!$B$28),(($H43*'Alternative 2'!$B$39)+(2*(($N$52/3)*COS($K$53)))),IF(($A43&lt;'Alternative 2'!$B$29),(($H$3*'Alternative 2'!$B$39+(($N$52/3)*COS($K$53)))),($H43*'Alternative 2'!$B$39))))</f>
        <v>#VALUE!</v>
      </c>
      <c r="AX43" s="78" t="e">
        <f>AV43*'Alternative 2'!$K44/'Alternative 2'!$L44</f>
        <v>#VALUE!</v>
      </c>
      <c r="AY43" s="78" t="e">
        <f>AW43/'Alternative 2'!$M44</f>
        <v>#VALUE!</v>
      </c>
      <c r="AZ43" s="78" t="e">
        <f t="shared" si="7"/>
        <v>#VALUE!</v>
      </c>
      <c r="BB43" s="78" t="e">
        <f>'Alternative 2'!$B$39*$B43*$C43*COS($K$63)-($N$62/3)*$E43*SIN($K$63)-($N$62/3)*$F43*SIN($K$63)-($N$62/3)*$G43*SIN($K$63)</f>
        <v>#VALUE!</v>
      </c>
      <c r="BC43" s="79" t="e">
        <f>IF(($A43&lt;'Alternative 2'!$B$27),(($H43*'Alternative 2'!$B$39)+(3*($N$62/3)*COS($K$63))),IF(($A43&lt;'Alternative 2'!$B$28),(($H43*'Alternative 2'!$B$39)+(2*(($N$62/3)*COS($K$63)))),IF(($A43&lt;'Alternative 2'!$B$29),(($H$3*'Alternative 2'!$B$39+(($N$62/3)*COS($K$63)))),($H43*'Alternative 2'!$B$39))))</f>
        <v>#VALUE!</v>
      </c>
      <c r="BD43" s="78" t="e">
        <f>BB43*'Alternative 2'!$K44/'Alternative 2'!$L44</f>
        <v>#VALUE!</v>
      </c>
      <c r="BE43" s="78" t="e">
        <f>BC43/'Alternative 2'!$M44</f>
        <v>#VALUE!</v>
      </c>
      <c r="BF43" s="78" t="e">
        <f t="shared" si="8"/>
        <v>#VALUE!</v>
      </c>
      <c r="BH43" s="78" t="e">
        <f>'Alternative 2'!$B$39*$B43*$C43*COS($K$73)-($N$72/3)*$E43*SIN($K$73)-($N$72/3)*$F43*SIN($K$73)-($N$72/3)*$G43*SIN($K$73)</f>
        <v>#VALUE!</v>
      </c>
      <c r="BI43" s="79" t="e">
        <f>IF(($A43&lt;'Alternative 2'!$B$27),(($H43*'Alternative 2'!$B$39)+(3*($N$72/3)*COS($K$73))),IF(($A43&lt;'Alternative 2'!$B$28),(($H43*'Alternative 2'!$B$39)+(2*(($N$72/3)*COS($K$73)))),IF(($A43&lt;'Alternative 2'!$B$29),(($H$3*'Alternative 2'!$B$39+(($N$72/3)*COS($K$73)))),($H43*'Alternative 2'!$B$39))))</f>
        <v>#VALUE!</v>
      </c>
      <c r="BJ43" s="78" t="e">
        <f>BH43*'Alternative 2'!$K44/'Alternative 2'!$L44</f>
        <v>#VALUE!</v>
      </c>
      <c r="BK43" s="78" t="e">
        <f>BI43/'Alternative 2'!$M44</f>
        <v>#VALUE!</v>
      </c>
      <c r="BL43" s="78" t="e">
        <f t="shared" si="9"/>
        <v>#VALUE!</v>
      </c>
      <c r="BN43" s="78" t="e">
        <f>'Alternative 2'!$B$39*$B43*$C43*COS($K$83)-($N$82/3)*$E43*SIN($K$83)-($N$82/3)*$F43*SIN($K$83)-($N$82/3)*$G43*SIN($K$83)</f>
        <v>#VALUE!</v>
      </c>
      <c r="BO43" s="79" t="e">
        <f>IF(($A43&lt;'Alternative 2'!$B$27),(($H43*'Alternative 2'!$B$39)+(3*($N$82/3)*COS($K$83))),IF(($A43&lt;'Alternative 2'!$B$28),(($H43*'Alternative 2'!$B$39)+(2*(($N$82/3)*COS($K$83)))),IF(($A43&lt;'Alternative 2'!$B$29),(($H$3*'Alternative 2'!$B$39+(($N$82/3)*COS($K$83)))),($H43*'Alternative 2'!$B$39))))</f>
        <v>#VALUE!</v>
      </c>
      <c r="BP43" s="78" t="e">
        <f>BN43*'Alternative 2'!$K44/'Alternative 2'!$L44</f>
        <v>#VALUE!</v>
      </c>
      <c r="BQ43" s="78" t="e">
        <f>BO43/'Alternative 2'!$M44</f>
        <v>#VALUE!</v>
      </c>
      <c r="BR43" s="78" t="e">
        <f t="shared" si="10"/>
        <v>#VALUE!</v>
      </c>
      <c r="BT43" s="78" t="e">
        <f>'Alternative 2'!$B$39*$B43*$C43*COS($K$93)-($K$92/3)*$E43*SIN($K$93)-($K$92/3)*$F43*SIN($K$93)-($K$92/3)*$G43*SIN($K$93)</f>
        <v>#VALUE!</v>
      </c>
      <c r="BU43" s="79" t="e">
        <f>IF(($A43&lt;'Alternative 2'!$B$27),(($H43*'Alternative 2'!$B$39)+(3*($N$92/3)*COS($K$93))),IF(($A43&lt;'Alternative 2'!$B$28),(($H43*'Alternative 2'!$B$39)+(2*(($N$92/3)*COS($K$93)))),IF(($A43&lt;'Alternative 2'!$B$29),(($H$3*'Alternative 2'!$B$39+(($N$92/3)*COS($K$93)))),($H43*'Alternative 2'!$B$39))))</f>
        <v>#VALUE!</v>
      </c>
      <c r="BV43" s="78" t="e">
        <f>BT43*'Alternative 2'!$K44/'Alternative 2'!$L44</f>
        <v>#VALUE!</v>
      </c>
      <c r="BW43" s="78" t="e">
        <f>BU43/'Alternative 2'!$M44</f>
        <v>#VALUE!</v>
      </c>
      <c r="BX43" s="78" t="e">
        <f t="shared" si="11"/>
        <v>#VALUE!</v>
      </c>
      <c r="BZ43" s="77">
        <v>150</v>
      </c>
      <c r="CA43" s="77">
        <v>-150</v>
      </c>
    </row>
    <row r="44" spans="1:79" ht="15" customHeight="1" x14ac:dyDescent="0.25">
      <c r="A44" s="13" t="str">
        <f>IF('Alternative 2'!F45&gt;0,'Alternative 2'!F45,"x")</f>
        <v>x</v>
      </c>
      <c r="B44" s="13" t="e">
        <f t="shared" si="17"/>
        <v>#VALUE!</v>
      </c>
      <c r="C44" s="13">
        <f t="shared" si="12"/>
        <v>0</v>
      </c>
      <c r="D44" s="13" t="str">
        <f t="shared" si="13"/>
        <v>x</v>
      </c>
      <c r="E44" s="74">
        <f>IF($A44&lt;='Alternative 2'!$B$27, IF($A44='Alternative 2'!$B$27,0,E45+1),0)</f>
        <v>0</v>
      </c>
      <c r="F44" s="74">
        <f>IF($A44&lt;=('Alternative 2'!$B$28), IF($A44=ROUNDDOWN('Alternative 2'!$B$28,0),0,F45+1),0)</f>
        <v>0</v>
      </c>
      <c r="G44" s="74">
        <f>IF($A44&lt;=('Alternative 2'!$B$29), IF($A44=ROUNDDOWN('Alternative 2'!$B$29,0),0,G45+1),0)</f>
        <v>0</v>
      </c>
      <c r="H44" s="13" t="e">
        <f t="shared" si="14"/>
        <v>#VALUE!</v>
      </c>
      <c r="J44" s="77">
        <f t="shared" si="15"/>
        <v>41</v>
      </c>
      <c r="K44" s="77">
        <f t="shared" si="16"/>
        <v>0.715584993317675</v>
      </c>
      <c r="L44" s="78">
        <f>'Alternative 2'!$B$27*SIN(K44)+'Alternative 2'!$B$28*SIN(K44)+'Alternative 2'!$B$29*SIN(K44)</f>
        <v>44.612013971354486</v>
      </c>
      <c r="M44" s="77">
        <f>(('Alternative 2'!$B$27)*(((('Alternative 2'!$B$28-'Alternative 2'!$B$27)/2)+'Alternative 2'!$B$27)*'Alternative 2'!$B$39)*COS('Alternative 2-Tilt Up'!K44))+(('Alternative 2'!$B$28)*((('Alternative 2'!$B$28-'Alternative 2'!$B$27)/2)+(('Alternative 2'!$B$29-'Alternative 2'!$B$28)/2))*('Alternative 2'!$B$39)*COS('Alternative 2-Tilt Up'!K44))+(('Alternative 2'!$B$29)*((('Alternative 2'!$B$12-'Alternative 2'!$B$29+(('Alternative 2'!$B$29-'Alternative 2'!$B$28)/2)*('Alternative 2'!$B$39)*COS('Alternative 2-Tilt Up'!K44)))))</f>
        <v>3581984.501112124</v>
      </c>
      <c r="N44" s="77">
        <f t="shared" si="0"/>
        <v>240875.77642731805</v>
      </c>
      <c r="O44" s="77">
        <f>(((('Alternative 2'!$B$28-'Alternative 2'!$B$27)/2)+'Alternative 2'!$B$27)*('Alternative 2'!$B$39)*COS('Alternative 2-Tilt Up'!K44))+(((('Alternative 2'!$B$28-'Alternative 2'!$B$27)/2)+(('Alternative 2'!$B$29-'Alternative 2'!$B$28)/2))*('Alternative 2'!$B$39)*COS('Alternative 2-Tilt Up'!K44))+(((('Alternative 2'!$B$12-'Alternative 2'!$B$29)+(('Alternative 2'!$B$29-'Alternative 2'!$B$28)/2))*('Alternative 2'!$B$39)*COS('Alternative 2-Tilt Up'!K44)))</f>
        <v>231031.62622679668</v>
      </c>
      <c r="P44" s="77">
        <f t="shared" si="1"/>
        <v>181791.2561132955</v>
      </c>
      <c r="R44" s="78" t="e">
        <f>'Alternative 2'!$B$39*$B44*$C44*COS($K$5)-($N$5/3)*$E44*SIN($K$5)-($N$5/3)*$F44*SIN($K$5)-($N$5/3)*$G44*SIN($K$5)</f>
        <v>#VALUE!</v>
      </c>
      <c r="S44" s="79" t="e">
        <f>IF(($A44&lt;'Alternative 2'!$B$27),(($H44*'Alternative 2'!$B$39)+(3*($N$5/3)*COS($K$5))),IF(($A44&lt;'Alternative 2'!$B$28),(($H44*'Alternative 2'!$B$39)+(2*(($N$5/3)*COS($K$5)))),IF(($A44&lt;'Alternative 2'!$B$29),(($H$3*'Alternative 2'!$B$39+(($N$5/3)*COS($K$5)))),($H44*'Alternative 2'!$B$39))))</f>
        <v>#VALUE!</v>
      </c>
      <c r="T44" s="78" t="e">
        <f>R44*'Alternative 2'!$K45/'Alternative 2'!$L45</f>
        <v>#VALUE!</v>
      </c>
      <c r="U44" s="78" t="e">
        <f>S44/'Alternative 2'!$M45</f>
        <v>#VALUE!</v>
      </c>
      <c r="V44" s="78" t="e">
        <f t="shared" si="2"/>
        <v>#VALUE!</v>
      </c>
      <c r="X44" s="78" t="e">
        <f>'Alternative 2'!$B$39*$B44*$C44*COS($K$13)-($N$12/3)*$E44*SIN($K$13)-($N$12/3)*$F44*SIN($K$13)-($N$12/3)*$G44*SIN($K$13)</f>
        <v>#VALUE!</v>
      </c>
      <c r="Y44" s="79" t="e">
        <f>IF(($A44&lt;'Alternative 2'!$B$27),(($H44*'Alternative 2'!$B$39)+(3*($N$12/3)*COS($K$13))),IF(($A44&lt;'Alternative 2'!$B$28),(($H44*'Alternative 2'!$B$39)+(2*(($N$12/3)*COS($K$13)))),IF(($A44&lt;'Alternative 2'!$B$29),(($H$3*'Alternative 2'!$B$39+(($N$12/3)*COS($K$13)))),($H44*'Alternative 2'!$B$39))))</f>
        <v>#VALUE!</v>
      </c>
      <c r="Z44" s="78" t="e">
        <f>X44*'Alternative 2'!$K45/'Alternative 2'!$L45</f>
        <v>#VALUE!</v>
      </c>
      <c r="AA44" s="78" t="e">
        <f>Y44/'Alternative 2'!$M45</f>
        <v>#VALUE!</v>
      </c>
      <c r="AB44" s="78" t="e">
        <f t="shared" si="3"/>
        <v>#VALUE!</v>
      </c>
      <c r="AD44" s="78" t="e">
        <f>'Alternative 2'!$B$39*$B44*$C44*COS($K$23)-($N$22/3)*$E44*SIN($K$23)-($N$22/3)*$F44*SIN($K$23)-($N$22/3)*$G44*SIN($K$23)</f>
        <v>#VALUE!</v>
      </c>
      <c r="AE44" s="79" t="e">
        <f>IF(($A44&lt;'Alternative 2'!$B$27),(($H44*'Alternative 2'!$B$39)+(3*($N$22/3)*COS($K$23))),IF(($A44&lt;'Alternative 2'!$B$28),(($H44*'Alternative 2'!$B$39)+(2*(($N$22/3)*COS($K$23)))),IF(($A44&lt;'Alternative 2'!$B$29),(($H$3*'Alternative 2'!$B$39+(($N$22/3)*COS($K$23)))),($H44*'Alternative 2'!$B$39))))</f>
        <v>#VALUE!</v>
      </c>
      <c r="AF44" s="78" t="e">
        <f>AD44*'Alternative 2'!$K45/'Alternative 2'!$L45</f>
        <v>#VALUE!</v>
      </c>
      <c r="AG44" s="78" t="e">
        <f>AE44/'Alternative 2'!$M45</f>
        <v>#VALUE!</v>
      </c>
      <c r="AH44" s="78" t="e">
        <f t="shared" si="4"/>
        <v>#VALUE!</v>
      </c>
      <c r="AJ44" s="78" t="e">
        <f>'Alternative 2'!$B$39*$B44*$C44*COS($K$33)-($N$32/3)*$E44*SIN($K$33)-($N$32/3)*$F44*SIN($K$33)-($N$32/3)*$G44*SIN($K$33)</f>
        <v>#VALUE!</v>
      </c>
      <c r="AK44" s="79" t="e">
        <f>IF(($A44&lt;'Alternative 2'!$B$27),(($H44*'Alternative 2'!$B$39)+(3*($N$32/3)*COS($K$33))),IF(($A44&lt;'Alternative 2'!$B$28),(($H44*'Alternative 2'!$B$39)+(2*(($N$32/3)*COS($K$33)))),IF(($A44&lt;'Alternative 2'!$B$29),(($H$3*'Alternative 2'!$B$39+(($N$32/3)*COS($K$33)))),($H44*'Alternative 2'!$B$39))))</f>
        <v>#VALUE!</v>
      </c>
      <c r="AL44" s="78" t="e">
        <f>AJ44*'Alternative 2'!$K45/'Alternative 2'!$L45</f>
        <v>#VALUE!</v>
      </c>
      <c r="AM44" s="78" t="e">
        <f>AK44/'Alternative 2'!$M45</f>
        <v>#VALUE!</v>
      </c>
      <c r="AN44" s="78" t="e">
        <f t="shared" si="5"/>
        <v>#VALUE!</v>
      </c>
      <c r="AP44" s="78" t="e">
        <f>'Alternative 2'!$B$39*$B44*$C44*COS($K$43)-($N$42/3)*$E44*SIN($K$43)-($N$42/3)*$F44*SIN($K$43)-($N$42/3)*$G44*SIN($K$43)</f>
        <v>#VALUE!</v>
      </c>
      <c r="AQ44" s="79" t="e">
        <f>IF(($A44&lt;'Alternative 2'!$B$27),(($H44*'Alternative 2'!$B$39)+(3*($N$42/3)*COS($K$43))),IF(($A44&lt;'Alternative 2'!$B$28),(($H44*'Alternative 2'!$B$39)+(2*(($N$42/3)*COS($K$43)))),IF(($A44&lt;'Alternative 2'!$B$29),(($H$3*'Alternative 2'!$B$39+(($N$42/3)*COS($K$43)))),($H44*'Alternative 2'!$B$39))))</f>
        <v>#VALUE!</v>
      </c>
      <c r="AR44" s="78" t="e">
        <f>AP44*'Alternative 2'!$K45/'Alternative 2'!$L45</f>
        <v>#VALUE!</v>
      </c>
      <c r="AS44" s="78" t="e">
        <f>AQ44/'Alternative 2'!$M45</f>
        <v>#VALUE!</v>
      </c>
      <c r="AT44" s="78" t="e">
        <f t="shared" si="6"/>
        <v>#VALUE!</v>
      </c>
      <c r="AV44" s="78" t="e">
        <f>'Alternative 2'!$B$39*$B44*$C44*COS($K$53)-($N$52/3)*$E44*SIN($K$53)-($N$52/3)*$F44*SIN($K$53)-($N$52/3)*$G44*SIN($K$53)</f>
        <v>#VALUE!</v>
      </c>
      <c r="AW44" s="79" t="e">
        <f>IF(($A44&lt;'Alternative 2'!$B$27),(($H44*'Alternative 2'!$B$39)+(3*($N$52/3)*COS($K$53))),IF(($A44&lt;'Alternative 2'!$B$28),(($H44*'Alternative 2'!$B$39)+(2*(($N$52/3)*COS($K$53)))),IF(($A44&lt;'Alternative 2'!$B$29),(($H$3*'Alternative 2'!$B$39+(($N$52/3)*COS($K$53)))),($H44*'Alternative 2'!$B$39))))</f>
        <v>#VALUE!</v>
      </c>
      <c r="AX44" s="78" t="e">
        <f>AV44*'Alternative 2'!$K45/'Alternative 2'!$L45</f>
        <v>#VALUE!</v>
      </c>
      <c r="AY44" s="78" t="e">
        <f>AW44/'Alternative 2'!$M45</f>
        <v>#VALUE!</v>
      </c>
      <c r="AZ44" s="78" t="e">
        <f t="shared" si="7"/>
        <v>#VALUE!</v>
      </c>
      <c r="BB44" s="78" t="e">
        <f>'Alternative 2'!$B$39*$B44*$C44*COS($K$63)-($N$62/3)*$E44*SIN($K$63)-($N$62/3)*$F44*SIN($K$63)-($N$62/3)*$G44*SIN($K$63)</f>
        <v>#VALUE!</v>
      </c>
      <c r="BC44" s="79" t="e">
        <f>IF(($A44&lt;'Alternative 2'!$B$27),(($H44*'Alternative 2'!$B$39)+(3*($N$62/3)*COS($K$63))),IF(($A44&lt;'Alternative 2'!$B$28),(($H44*'Alternative 2'!$B$39)+(2*(($N$62/3)*COS($K$63)))),IF(($A44&lt;'Alternative 2'!$B$29),(($H$3*'Alternative 2'!$B$39+(($N$62/3)*COS($K$63)))),($H44*'Alternative 2'!$B$39))))</f>
        <v>#VALUE!</v>
      </c>
      <c r="BD44" s="78" t="e">
        <f>BB44*'Alternative 2'!$K45/'Alternative 2'!$L45</f>
        <v>#VALUE!</v>
      </c>
      <c r="BE44" s="78" t="e">
        <f>BC44/'Alternative 2'!$M45</f>
        <v>#VALUE!</v>
      </c>
      <c r="BF44" s="78" t="e">
        <f t="shared" si="8"/>
        <v>#VALUE!</v>
      </c>
      <c r="BH44" s="78" t="e">
        <f>'Alternative 2'!$B$39*$B44*$C44*COS($K$73)-($N$72/3)*$E44*SIN($K$73)-($N$72/3)*$F44*SIN($K$73)-($N$72/3)*$G44*SIN($K$73)</f>
        <v>#VALUE!</v>
      </c>
      <c r="BI44" s="79" t="e">
        <f>IF(($A44&lt;'Alternative 2'!$B$27),(($H44*'Alternative 2'!$B$39)+(3*($N$72/3)*COS($K$73))),IF(($A44&lt;'Alternative 2'!$B$28),(($H44*'Alternative 2'!$B$39)+(2*(($N$72/3)*COS($K$73)))),IF(($A44&lt;'Alternative 2'!$B$29),(($H$3*'Alternative 2'!$B$39+(($N$72/3)*COS($K$73)))),($H44*'Alternative 2'!$B$39))))</f>
        <v>#VALUE!</v>
      </c>
      <c r="BJ44" s="78" t="e">
        <f>BH44*'Alternative 2'!$K45/'Alternative 2'!$L45</f>
        <v>#VALUE!</v>
      </c>
      <c r="BK44" s="78" t="e">
        <f>BI44/'Alternative 2'!$M45</f>
        <v>#VALUE!</v>
      </c>
      <c r="BL44" s="78" t="e">
        <f t="shared" si="9"/>
        <v>#VALUE!</v>
      </c>
      <c r="BN44" s="78" t="e">
        <f>'Alternative 2'!$B$39*$B44*$C44*COS($K$83)-($N$82/3)*$E44*SIN($K$83)-($N$82/3)*$F44*SIN($K$83)-($N$82/3)*$G44*SIN($K$83)</f>
        <v>#VALUE!</v>
      </c>
      <c r="BO44" s="79" t="e">
        <f>IF(($A44&lt;'Alternative 2'!$B$27),(($H44*'Alternative 2'!$B$39)+(3*($N$82/3)*COS($K$83))),IF(($A44&lt;'Alternative 2'!$B$28),(($H44*'Alternative 2'!$B$39)+(2*(($N$82/3)*COS($K$83)))),IF(($A44&lt;'Alternative 2'!$B$29),(($H$3*'Alternative 2'!$B$39+(($N$82/3)*COS($K$83)))),($H44*'Alternative 2'!$B$39))))</f>
        <v>#VALUE!</v>
      </c>
      <c r="BP44" s="78" t="e">
        <f>BN44*'Alternative 2'!$K45/'Alternative 2'!$L45</f>
        <v>#VALUE!</v>
      </c>
      <c r="BQ44" s="78" t="e">
        <f>BO44/'Alternative 2'!$M45</f>
        <v>#VALUE!</v>
      </c>
      <c r="BR44" s="78" t="e">
        <f t="shared" si="10"/>
        <v>#VALUE!</v>
      </c>
      <c r="BT44" s="78" t="e">
        <f>'Alternative 2'!$B$39*$B44*$C44*COS($K$93)-($K$92/3)*$E44*SIN($K$93)-($K$92/3)*$F44*SIN($K$93)-($K$92/3)*$G44*SIN($K$93)</f>
        <v>#VALUE!</v>
      </c>
      <c r="BU44" s="79" t="e">
        <f>IF(($A44&lt;'Alternative 2'!$B$27),(($H44*'Alternative 2'!$B$39)+(3*($N$92/3)*COS($K$93))),IF(($A44&lt;'Alternative 2'!$B$28),(($H44*'Alternative 2'!$B$39)+(2*(($N$92/3)*COS($K$93)))),IF(($A44&lt;'Alternative 2'!$B$29),(($H$3*'Alternative 2'!$B$39+(($N$92/3)*COS($K$93)))),($H44*'Alternative 2'!$B$39))))</f>
        <v>#VALUE!</v>
      </c>
      <c r="BV44" s="78" t="e">
        <f>BT44*'Alternative 2'!$K45/'Alternative 2'!$L45</f>
        <v>#VALUE!</v>
      </c>
      <c r="BW44" s="78" t="e">
        <f>BU44/'Alternative 2'!$M45</f>
        <v>#VALUE!</v>
      </c>
      <c r="BX44" s="78" t="e">
        <f t="shared" si="11"/>
        <v>#VALUE!</v>
      </c>
      <c r="BZ44" s="77">
        <v>150</v>
      </c>
      <c r="CA44" s="77">
        <v>-150</v>
      </c>
    </row>
    <row r="45" spans="1:79" ht="15" customHeight="1" x14ac:dyDescent="0.25">
      <c r="A45" s="13" t="str">
        <f>IF('Alternative 2'!F46&gt;0,'Alternative 2'!F46,"x")</f>
        <v>x</v>
      </c>
      <c r="B45" s="13" t="e">
        <f t="shared" si="17"/>
        <v>#VALUE!</v>
      </c>
      <c r="C45" s="13">
        <f t="shared" si="12"/>
        <v>0</v>
      </c>
      <c r="D45" s="13" t="str">
        <f t="shared" si="13"/>
        <v>x</v>
      </c>
      <c r="E45" s="74">
        <f>IF($A45&lt;='Alternative 2'!$B$27, IF($A45='Alternative 2'!$B$27,0,E46+1),0)</f>
        <v>0</v>
      </c>
      <c r="F45" s="74">
        <f>IF($A45&lt;=('Alternative 2'!$B$28), IF($A45=ROUNDDOWN('Alternative 2'!$B$28,0),0,F46+1),0)</f>
        <v>0</v>
      </c>
      <c r="G45" s="74">
        <f>IF($A45&lt;=('Alternative 2'!$B$29), IF($A45=ROUNDDOWN('Alternative 2'!$B$29,0),0,G46+1),0)</f>
        <v>0</v>
      </c>
      <c r="H45" s="13" t="e">
        <f t="shared" si="14"/>
        <v>#VALUE!</v>
      </c>
      <c r="J45" s="77">
        <f t="shared" si="15"/>
        <v>42</v>
      </c>
      <c r="K45" s="77">
        <f t="shared" si="16"/>
        <v>0.73303828583761843</v>
      </c>
      <c r="L45" s="78">
        <f>'Alternative 2'!$B$27*SIN(K45)+'Alternative 2'!$B$28*SIN(K45)+'Alternative 2'!$B$29*SIN(K45)</f>
        <v>45.500881232402364</v>
      </c>
      <c r="M45" s="77">
        <f>(('Alternative 2'!$B$27)*(((('Alternative 2'!$B$28-'Alternative 2'!$B$27)/2)+'Alternative 2'!$B$27)*'Alternative 2'!$B$39)*COS('Alternative 2-Tilt Up'!K45))+(('Alternative 2'!$B$28)*((('Alternative 2'!$B$28-'Alternative 2'!$B$27)/2)+(('Alternative 2'!$B$29-'Alternative 2'!$B$28)/2))*('Alternative 2'!$B$39)*COS('Alternative 2-Tilt Up'!K45))+(('Alternative 2'!$B$29)*((('Alternative 2'!$B$12-'Alternative 2'!$B$29+(('Alternative 2'!$B$29-'Alternative 2'!$B$28)/2)*('Alternative 2'!$B$39)*COS('Alternative 2-Tilt Up'!K45)))))</f>
        <v>3527099.137368381</v>
      </c>
      <c r="N45" s="77">
        <f t="shared" si="0"/>
        <v>232551.48308138538</v>
      </c>
      <c r="O45" s="77">
        <f>(((('Alternative 2'!$B$28-'Alternative 2'!$B$27)/2)+'Alternative 2'!$B$27)*('Alternative 2'!$B$39)*COS('Alternative 2-Tilt Up'!K45))+(((('Alternative 2'!$B$28-'Alternative 2'!$B$27)/2)+(('Alternative 2'!$B$29-'Alternative 2'!$B$28)/2))*('Alternative 2'!$B$39)*COS('Alternative 2-Tilt Up'!K45))+(((('Alternative 2'!$B$12-'Alternative 2'!$B$29)+(('Alternative 2'!$B$29-'Alternative 2'!$B$28)/2))*('Alternative 2'!$B$39)*COS('Alternative 2-Tilt Up'!K45)))</f>
        <v>227491.42458400043</v>
      </c>
      <c r="P45" s="77">
        <f t="shared" si="1"/>
        <v>172819.43130902533</v>
      </c>
      <c r="R45" s="78" t="e">
        <f>'Alternative 2'!$B$39*$B45*$C45*COS($K$5)-($N$5/3)*$E45*SIN($K$5)-($N$5/3)*$F45*SIN($K$5)-($N$5/3)*$G45*SIN($K$5)</f>
        <v>#VALUE!</v>
      </c>
      <c r="S45" s="79" t="e">
        <f>IF(($A45&lt;'Alternative 2'!$B$27),(($H45*'Alternative 2'!$B$39)+(3*($N$5/3)*COS($K$5))),IF(($A45&lt;'Alternative 2'!$B$28),(($H45*'Alternative 2'!$B$39)+(2*(($N$5/3)*COS($K$5)))),IF(($A45&lt;'Alternative 2'!$B$29),(($H$3*'Alternative 2'!$B$39+(($N$5/3)*COS($K$5)))),($H45*'Alternative 2'!$B$39))))</f>
        <v>#VALUE!</v>
      </c>
      <c r="T45" s="78" t="e">
        <f>R45*'Alternative 2'!$K46/'Alternative 2'!$L46</f>
        <v>#VALUE!</v>
      </c>
      <c r="U45" s="78" t="e">
        <f>S45/'Alternative 2'!$M46</f>
        <v>#VALUE!</v>
      </c>
      <c r="V45" s="78" t="e">
        <f t="shared" si="2"/>
        <v>#VALUE!</v>
      </c>
      <c r="X45" s="78" t="e">
        <f>'Alternative 2'!$B$39*$B45*$C45*COS($K$13)-($N$12/3)*$E45*SIN($K$13)-($N$12/3)*$F45*SIN($K$13)-($N$12/3)*$G45*SIN($K$13)</f>
        <v>#VALUE!</v>
      </c>
      <c r="Y45" s="79" t="e">
        <f>IF(($A45&lt;'Alternative 2'!$B$27),(($H45*'Alternative 2'!$B$39)+(3*($N$12/3)*COS($K$13))),IF(($A45&lt;'Alternative 2'!$B$28),(($H45*'Alternative 2'!$B$39)+(2*(($N$12/3)*COS($K$13)))),IF(($A45&lt;'Alternative 2'!$B$29),(($H$3*'Alternative 2'!$B$39+(($N$12/3)*COS($K$13)))),($H45*'Alternative 2'!$B$39))))</f>
        <v>#VALUE!</v>
      </c>
      <c r="Z45" s="78" t="e">
        <f>X45*'Alternative 2'!$K46/'Alternative 2'!$L46</f>
        <v>#VALUE!</v>
      </c>
      <c r="AA45" s="78" t="e">
        <f>Y45/'Alternative 2'!$M46</f>
        <v>#VALUE!</v>
      </c>
      <c r="AB45" s="78" t="e">
        <f t="shared" si="3"/>
        <v>#VALUE!</v>
      </c>
      <c r="AD45" s="78" t="e">
        <f>'Alternative 2'!$B$39*$B45*$C45*COS($K$23)-($N$22/3)*$E45*SIN($K$23)-($N$22/3)*$F45*SIN($K$23)-($N$22/3)*$G45*SIN($K$23)</f>
        <v>#VALUE!</v>
      </c>
      <c r="AE45" s="79" t="e">
        <f>IF(($A45&lt;'Alternative 2'!$B$27),(($H45*'Alternative 2'!$B$39)+(3*($N$22/3)*COS($K$23))),IF(($A45&lt;'Alternative 2'!$B$28),(($H45*'Alternative 2'!$B$39)+(2*(($N$22/3)*COS($K$23)))),IF(($A45&lt;'Alternative 2'!$B$29),(($H$3*'Alternative 2'!$B$39+(($N$22/3)*COS($K$23)))),($H45*'Alternative 2'!$B$39))))</f>
        <v>#VALUE!</v>
      </c>
      <c r="AF45" s="78" t="e">
        <f>AD45*'Alternative 2'!$K46/'Alternative 2'!$L46</f>
        <v>#VALUE!</v>
      </c>
      <c r="AG45" s="78" t="e">
        <f>AE45/'Alternative 2'!$M46</f>
        <v>#VALUE!</v>
      </c>
      <c r="AH45" s="78" t="e">
        <f t="shared" si="4"/>
        <v>#VALUE!</v>
      </c>
      <c r="AJ45" s="78" t="e">
        <f>'Alternative 2'!$B$39*$B45*$C45*COS($K$33)-($N$32/3)*$E45*SIN($K$33)-($N$32/3)*$F45*SIN($K$33)-($N$32/3)*$G45*SIN($K$33)</f>
        <v>#VALUE!</v>
      </c>
      <c r="AK45" s="79" t="e">
        <f>IF(($A45&lt;'Alternative 2'!$B$27),(($H45*'Alternative 2'!$B$39)+(3*($N$32/3)*COS($K$33))),IF(($A45&lt;'Alternative 2'!$B$28),(($H45*'Alternative 2'!$B$39)+(2*(($N$32/3)*COS($K$33)))),IF(($A45&lt;'Alternative 2'!$B$29),(($H$3*'Alternative 2'!$B$39+(($N$32/3)*COS($K$33)))),($H45*'Alternative 2'!$B$39))))</f>
        <v>#VALUE!</v>
      </c>
      <c r="AL45" s="78" t="e">
        <f>AJ45*'Alternative 2'!$K46/'Alternative 2'!$L46</f>
        <v>#VALUE!</v>
      </c>
      <c r="AM45" s="78" t="e">
        <f>AK45/'Alternative 2'!$M46</f>
        <v>#VALUE!</v>
      </c>
      <c r="AN45" s="78" t="e">
        <f t="shared" si="5"/>
        <v>#VALUE!</v>
      </c>
      <c r="AP45" s="78" t="e">
        <f>'Alternative 2'!$B$39*$B45*$C45*COS($K$43)-($N$42/3)*$E45*SIN($K$43)-($N$42/3)*$F45*SIN($K$43)-($N$42/3)*$G45*SIN($K$43)</f>
        <v>#VALUE!</v>
      </c>
      <c r="AQ45" s="79" t="e">
        <f>IF(($A45&lt;'Alternative 2'!$B$27),(($H45*'Alternative 2'!$B$39)+(3*($N$42/3)*COS($K$43))),IF(($A45&lt;'Alternative 2'!$B$28),(($H45*'Alternative 2'!$B$39)+(2*(($N$42/3)*COS($K$43)))),IF(($A45&lt;'Alternative 2'!$B$29),(($H$3*'Alternative 2'!$B$39+(($N$42/3)*COS($K$43)))),($H45*'Alternative 2'!$B$39))))</f>
        <v>#VALUE!</v>
      </c>
      <c r="AR45" s="78" t="e">
        <f>AP45*'Alternative 2'!$K46/'Alternative 2'!$L46</f>
        <v>#VALUE!</v>
      </c>
      <c r="AS45" s="78" t="e">
        <f>AQ45/'Alternative 2'!$M46</f>
        <v>#VALUE!</v>
      </c>
      <c r="AT45" s="78" t="e">
        <f t="shared" si="6"/>
        <v>#VALUE!</v>
      </c>
      <c r="AV45" s="78" t="e">
        <f>'Alternative 2'!$B$39*$B45*$C45*COS($K$53)-($N$52/3)*$E45*SIN($K$53)-($N$52/3)*$F45*SIN($K$53)-($N$52/3)*$G45*SIN($K$53)</f>
        <v>#VALUE!</v>
      </c>
      <c r="AW45" s="79" t="e">
        <f>IF(($A45&lt;'Alternative 2'!$B$27),(($H45*'Alternative 2'!$B$39)+(3*($N$52/3)*COS($K$53))),IF(($A45&lt;'Alternative 2'!$B$28),(($H45*'Alternative 2'!$B$39)+(2*(($N$52/3)*COS($K$53)))),IF(($A45&lt;'Alternative 2'!$B$29),(($H$3*'Alternative 2'!$B$39+(($N$52/3)*COS($K$53)))),($H45*'Alternative 2'!$B$39))))</f>
        <v>#VALUE!</v>
      </c>
      <c r="AX45" s="78" t="e">
        <f>AV45*'Alternative 2'!$K46/'Alternative 2'!$L46</f>
        <v>#VALUE!</v>
      </c>
      <c r="AY45" s="78" t="e">
        <f>AW45/'Alternative 2'!$M46</f>
        <v>#VALUE!</v>
      </c>
      <c r="AZ45" s="78" t="e">
        <f t="shared" si="7"/>
        <v>#VALUE!</v>
      </c>
      <c r="BB45" s="78" t="e">
        <f>'Alternative 2'!$B$39*$B45*$C45*COS($K$63)-($N$62/3)*$E45*SIN($K$63)-($N$62/3)*$F45*SIN($K$63)-($N$62/3)*$G45*SIN($K$63)</f>
        <v>#VALUE!</v>
      </c>
      <c r="BC45" s="79" t="e">
        <f>IF(($A45&lt;'Alternative 2'!$B$27),(($H45*'Alternative 2'!$B$39)+(3*($N$62/3)*COS($K$63))),IF(($A45&lt;'Alternative 2'!$B$28),(($H45*'Alternative 2'!$B$39)+(2*(($N$62/3)*COS($K$63)))),IF(($A45&lt;'Alternative 2'!$B$29),(($H$3*'Alternative 2'!$B$39+(($N$62/3)*COS($K$63)))),($H45*'Alternative 2'!$B$39))))</f>
        <v>#VALUE!</v>
      </c>
      <c r="BD45" s="78" t="e">
        <f>BB45*'Alternative 2'!$K46/'Alternative 2'!$L46</f>
        <v>#VALUE!</v>
      </c>
      <c r="BE45" s="78" t="e">
        <f>BC45/'Alternative 2'!$M46</f>
        <v>#VALUE!</v>
      </c>
      <c r="BF45" s="78" t="e">
        <f t="shared" si="8"/>
        <v>#VALUE!</v>
      </c>
      <c r="BH45" s="78" t="e">
        <f>'Alternative 2'!$B$39*$B45*$C45*COS($K$73)-($N$72/3)*$E45*SIN($K$73)-($N$72/3)*$F45*SIN($K$73)-($N$72/3)*$G45*SIN($K$73)</f>
        <v>#VALUE!</v>
      </c>
      <c r="BI45" s="79" t="e">
        <f>IF(($A45&lt;'Alternative 2'!$B$27),(($H45*'Alternative 2'!$B$39)+(3*($N$72/3)*COS($K$73))),IF(($A45&lt;'Alternative 2'!$B$28),(($H45*'Alternative 2'!$B$39)+(2*(($N$72/3)*COS($K$73)))),IF(($A45&lt;'Alternative 2'!$B$29),(($H$3*'Alternative 2'!$B$39+(($N$72/3)*COS($K$73)))),($H45*'Alternative 2'!$B$39))))</f>
        <v>#VALUE!</v>
      </c>
      <c r="BJ45" s="78" t="e">
        <f>BH45*'Alternative 2'!$K46/'Alternative 2'!$L46</f>
        <v>#VALUE!</v>
      </c>
      <c r="BK45" s="78" t="e">
        <f>BI45/'Alternative 2'!$M46</f>
        <v>#VALUE!</v>
      </c>
      <c r="BL45" s="78" t="e">
        <f t="shared" si="9"/>
        <v>#VALUE!</v>
      </c>
      <c r="BN45" s="78" t="e">
        <f>'Alternative 2'!$B$39*$B45*$C45*COS($K$83)-($N$82/3)*$E45*SIN($K$83)-($N$82/3)*$F45*SIN($K$83)-($N$82/3)*$G45*SIN($K$83)</f>
        <v>#VALUE!</v>
      </c>
      <c r="BO45" s="79" t="e">
        <f>IF(($A45&lt;'Alternative 2'!$B$27),(($H45*'Alternative 2'!$B$39)+(3*($N$82/3)*COS($K$83))),IF(($A45&lt;'Alternative 2'!$B$28),(($H45*'Alternative 2'!$B$39)+(2*(($N$82/3)*COS($K$83)))),IF(($A45&lt;'Alternative 2'!$B$29),(($H$3*'Alternative 2'!$B$39+(($N$82/3)*COS($K$83)))),($H45*'Alternative 2'!$B$39))))</f>
        <v>#VALUE!</v>
      </c>
      <c r="BP45" s="78" t="e">
        <f>BN45*'Alternative 2'!$K46/'Alternative 2'!$L46</f>
        <v>#VALUE!</v>
      </c>
      <c r="BQ45" s="78" t="e">
        <f>BO45/'Alternative 2'!$M46</f>
        <v>#VALUE!</v>
      </c>
      <c r="BR45" s="78" t="e">
        <f t="shared" si="10"/>
        <v>#VALUE!</v>
      </c>
      <c r="BT45" s="78" t="e">
        <f>'Alternative 2'!$B$39*$B45*$C45*COS($K$93)-($K$92/3)*$E45*SIN($K$93)-($K$92/3)*$F45*SIN($K$93)-($K$92/3)*$G45*SIN($K$93)</f>
        <v>#VALUE!</v>
      </c>
      <c r="BU45" s="79" t="e">
        <f>IF(($A45&lt;'Alternative 2'!$B$27),(($H45*'Alternative 2'!$B$39)+(3*($N$92/3)*COS($K$93))),IF(($A45&lt;'Alternative 2'!$B$28),(($H45*'Alternative 2'!$B$39)+(2*(($N$92/3)*COS($K$93)))),IF(($A45&lt;'Alternative 2'!$B$29),(($H$3*'Alternative 2'!$B$39+(($N$92/3)*COS($K$93)))),($H45*'Alternative 2'!$B$39))))</f>
        <v>#VALUE!</v>
      </c>
      <c r="BV45" s="78" t="e">
        <f>BT45*'Alternative 2'!$K46/'Alternative 2'!$L46</f>
        <v>#VALUE!</v>
      </c>
      <c r="BW45" s="78" t="e">
        <f>BU45/'Alternative 2'!$M46</f>
        <v>#VALUE!</v>
      </c>
      <c r="BX45" s="78" t="e">
        <f t="shared" si="11"/>
        <v>#VALUE!</v>
      </c>
      <c r="BZ45" s="77">
        <v>150</v>
      </c>
      <c r="CA45" s="77">
        <v>-150</v>
      </c>
    </row>
    <row r="46" spans="1:79" ht="15" customHeight="1" x14ac:dyDescent="0.25">
      <c r="A46" s="13" t="str">
        <f>IF('Alternative 2'!F47&gt;0,'Alternative 2'!F47,"x")</f>
        <v>x</v>
      </c>
      <c r="B46" s="13" t="e">
        <f t="shared" si="17"/>
        <v>#VALUE!</v>
      </c>
      <c r="C46" s="13">
        <f t="shared" si="12"/>
        <v>0</v>
      </c>
      <c r="D46" s="13" t="str">
        <f t="shared" si="13"/>
        <v>x</v>
      </c>
      <c r="E46" s="74">
        <f>IF($A46&lt;='Alternative 2'!$B$27, IF($A46='Alternative 2'!$B$27,0,E47+1),0)</f>
        <v>0</v>
      </c>
      <c r="F46" s="74">
        <f>IF($A46&lt;=('Alternative 2'!$B$28), IF($A46=ROUNDDOWN('Alternative 2'!$B$28,0),0,F47+1),0)</f>
        <v>0</v>
      </c>
      <c r="G46" s="74">
        <f>IF($A46&lt;=('Alternative 2'!$B$29), IF($A46=ROUNDDOWN('Alternative 2'!$B$29,0),0,G47+1),0)</f>
        <v>0</v>
      </c>
      <c r="H46" s="13" t="e">
        <f t="shared" si="14"/>
        <v>#VALUE!</v>
      </c>
      <c r="J46" s="77">
        <f t="shared" si="15"/>
        <v>43</v>
      </c>
      <c r="K46" s="77">
        <f t="shared" si="16"/>
        <v>0.75049157835756164</v>
      </c>
      <c r="L46" s="78">
        <f>'Alternative 2'!$B$27*SIN(K46)+'Alternative 2'!$B$28*SIN(K46)+'Alternative 2'!$B$29*SIN(K46)</f>
        <v>46.375888484249899</v>
      </c>
      <c r="M46" s="77">
        <f>(('Alternative 2'!$B$27)*(((('Alternative 2'!$B$28-'Alternative 2'!$B$27)/2)+'Alternative 2'!$B$27)*'Alternative 2'!$B$39)*COS('Alternative 2-Tilt Up'!K46))+(('Alternative 2'!$B$28)*((('Alternative 2'!$B$28-'Alternative 2'!$B$27)/2)+(('Alternative 2'!$B$29-'Alternative 2'!$B$28)/2))*('Alternative 2'!$B$39)*COS('Alternative 2-Tilt Up'!K46))+(('Alternative 2'!$B$29)*((('Alternative 2'!$B$12-'Alternative 2'!$B$29+(('Alternative 2'!$B$29-'Alternative 2'!$B$28)/2)*('Alternative 2'!$B$39)*COS('Alternative 2-Tilt Up'!K46)))))</f>
        <v>3471139.4446507478</v>
      </c>
      <c r="N46" s="77">
        <f t="shared" si="0"/>
        <v>224543.8022710623</v>
      </c>
      <c r="O46" s="77">
        <f>(((('Alternative 2'!$B$28-'Alternative 2'!$B$27)/2)+'Alternative 2'!$B$27)*('Alternative 2'!$B$39)*COS('Alternative 2-Tilt Up'!K46))+(((('Alternative 2'!$B$28-'Alternative 2'!$B$27)/2)+(('Alternative 2'!$B$29-'Alternative 2'!$B$28)/2))*('Alternative 2'!$B$39)*COS('Alternative 2-Tilt Up'!K46))+(((('Alternative 2'!$B$12-'Alternative 2'!$B$29)+(('Alternative 2'!$B$29-'Alternative 2'!$B$28)/2))*('Alternative 2'!$B$39)*COS('Alternative 2-Tilt Up'!K46)))</f>
        <v>223881.92684951707</v>
      </c>
      <c r="P46" s="77">
        <f t="shared" si="1"/>
        <v>164220.94096658455</v>
      </c>
      <c r="R46" s="78" t="e">
        <f>'Alternative 2'!$B$39*$B46*$C46*COS($K$5)-($N$5/3)*$E46*SIN($K$5)-($N$5/3)*$F46*SIN($K$5)-($N$5/3)*$G46*SIN($K$5)</f>
        <v>#VALUE!</v>
      </c>
      <c r="S46" s="79" t="e">
        <f>IF(($A46&lt;'Alternative 2'!$B$27),(($H46*'Alternative 2'!$B$39)+(3*($N$5/3)*COS($K$5))),IF(($A46&lt;'Alternative 2'!$B$28),(($H46*'Alternative 2'!$B$39)+(2*(($N$5/3)*COS($K$5)))),IF(($A46&lt;'Alternative 2'!$B$29),(($H$3*'Alternative 2'!$B$39+(($N$5/3)*COS($K$5)))),($H46*'Alternative 2'!$B$39))))</f>
        <v>#VALUE!</v>
      </c>
      <c r="T46" s="78" t="e">
        <f>R46*'Alternative 2'!$K47/'Alternative 2'!$L47</f>
        <v>#VALUE!</v>
      </c>
      <c r="U46" s="78" t="e">
        <f>S46/'Alternative 2'!$M47</f>
        <v>#VALUE!</v>
      </c>
      <c r="V46" s="78" t="e">
        <f t="shared" si="2"/>
        <v>#VALUE!</v>
      </c>
      <c r="X46" s="78" t="e">
        <f>'Alternative 2'!$B$39*$B46*$C46*COS($K$13)-($N$12/3)*$E46*SIN($K$13)-($N$12/3)*$F46*SIN($K$13)-($N$12/3)*$G46*SIN($K$13)</f>
        <v>#VALUE!</v>
      </c>
      <c r="Y46" s="79" t="e">
        <f>IF(($A46&lt;'Alternative 2'!$B$27),(($H46*'Alternative 2'!$B$39)+(3*($N$12/3)*COS($K$13))),IF(($A46&lt;'Alternative 2'!$B$28),(($H46*'Alternative 2'!$B$39)+(2*(($N$12/3)*COS($K$13)))),IF(($A46&lt;'Alternative 2'!$B$29),(($H$3*'Alternative 2'!$B$39+(($N$12/3)*COS($K$13)))),($H46*'Alternative 2'!$B$39))))</f>
        <v>#VALUE!</v>
      </c>
      <c r="Z46" s="78" t="e">
        <f>X46*'Alternative 2'!$K47/'Alternative 2'!$L47</f>
        <v>#VALUE!</v>
      </c>
      <c r="AA46" s="78" t="e">
        <f>Y46/'Alternative 2'!$M47</f>
        <v>#VALUE!</v>
      </c>
      <c r="AB46" s="78" t="e">
        <f t="shared" si="3"/>
        <v>#VALUE!</v>
      </c>
      <c r="AD46" s="78" t="e">
        <f>'Alternative 2'!$B$39*$B46*$C46*COS($K$23)-($N$22/3)*$E46*SIN($K$23)-($N$22/3)*$F46*SIN($K$23)-($N$22/3)*$G46*SIN($K$23)</f>
        <v>#VALUE!</v>
      </c>
      <c r="AE46" s="79" t="e">
        <f>IF(($A46&lt;'Alternative 2'!$B$27),(($H46*'Alternative 2'!$B$39)+(3*($N$22/3)*COS($K$23))),IF(($A46&lt;'Alternative 2'!$B$28),(($H46*'Alternative 2'!$B$39)+(2*(($N$22/3)*COS($K$23)))),IF(($A46&lt;'Alternative 2'!$B$29),(($H$3*'Alternative 2'!$B$39+(($N$22/3)*COS($K$23)))),($H46*'Alternative 2'!$B$39))))</f>
        <v>#VALUE!</v>
      </c>
      <c r="AF46" s="78" t="e">
        <f>AD46*'Alternative 2'!$K47/'Alternative 2'!$L47</f>
        <v>#VALUE!</v>
      </c>
      <c r="AG46" s="78" t="e">
        <f>AE46/'Alternative 2'!$M47</f>
        <v>#VALUE!</v>
      </c>
      <c r="AH46" s="78" t="e">
        <f t="shared" si="4"/>
        <v>#VALUE!</v>
      </c>
      <c r="AJ46" s="78" t="e">
        <f>'Alternative 2'!$B$39*$B46*$C46*COS($K$33)-($N$32/3)*$E46*SIN($K$33)-($N$32/3)*$F46*SIN($K$33)-($N$32/3)*$G46*SIN($K$33)</f>
        <v>#VALUE!</v>
      </c>
      <c r="AK46" s="79" t="e">
        <f>IF(($A46&lt;'Alternative 2'!$B$27),(($H46*'Alternative 2'!$B$39)+(3*($N$32/3)*COS($K$33))),IF(($A46&lt;'Alternative 2'!$B$28),(($H46*'Alternative 2'!$B$39)+(2*(($N$32/3)*COS($K$33)))),IF(($A46&lt;'Alternative 2'!$B$29),(($H$3*'Alternative 2'!$B$39+(($N$32/3)*COS($K$33)))),($H46*'Alternative 2'!$B$39))))</f>
        <v>#VALUE!</v>
      </c>
      <c r="AL46" s="78" t="e">
        <f>AJ46*'Alternative 2'!$K47/'Alternative 2'!$L47</f>
        <v>#VALUE!</v>
      </c>
      <c r="AM46" s="78" t="e">
        <f>AK46/'Alternative 2'!$M47</f>
        <v>#VALUE!</v>
      </c>
      <c r="AN46" s="78" t="e">
        <f t="shared" si="5"/>
        <v>#VALUE!</v>
      </c>
      <c r="AP46" s="78" t="e">
        <f>'Alternative 2'!$B$39*$B46*$C46*COS($K$43)-($N$42/3)*$E46*SIN($K$43)-($N$42/3)*$F46*SIN($K$43)-($N$42/3)*$G46*SIN($K$43)</f>
        <v>#VALUE!</v>
      </c>
      <c r="AQ46" s="79" t="e">
        <f>IF(($A46&lt;'Alternative 2'!$B$27),(($H46*'Alternative 2'!$B$39)+(3*($N$42/3)*COS($K$43))),IF(($A46&lt;'Alternative 2'!$B$28),(($H46*'Alternative 2'!$B$39)+(2*(($N$42/3)*COS($K$43)))),IF(($A46&lt;'Alternative 2'!$B$29),(($H$3*'Alternative 2'!$B$39+(($N$42/3)*COS($K$43)))),($H46*'Alternative 2'!$B$39))))</f>
        <v>#VALUE!</v>
      </c>
      <c r="AR46" s="78" t="e">
        <f>AP46*'Alternative 2'!$K47/'Alternative 2'!$L47</f>
        <v>#VALUE!</v>
      </c>
      <c r="AS46" s="78" t="e">
        <f>AQ46/'Alternative 2'!$M47</f>
        <v>#VALUE!</v>
      </c>
      <c r="AT46" s="78" t="e">
        <f t="shared" si="6"/>
        <v>#VALUE!</v>
      </c>
      <c r="AV46" s="78" t="e">
        <f>'Alternative 2'!$B$39*$B46*$C46*COS($K$53)-($N$52/3)*$E46*SIN($K$53)-($N$52/3)*$F46*SIN($K$53)-($N$52/3)*$G46*SIN($K$53)</f>
        <v>#VALUE!</v>
      </c>
      <c r="AW46" s="79" t="e">
        <f>IF(($A46&lt;'Alternative 2'!$B$27),(($H46*'Alternative 2'!$B$39)+(3*($N$52/3)*COS($K$53))),IF(($A46&lt;'Alternative 2'!$B$28),(($H46*'Alternative 2'!$B$39)+(2*(($N$52/3)*COS($K$53)))),IF(($A46&lt;'Alternative 2'!$B$29),(($H$3*'Alternative 2'!$B$39+(($N$52/3)*COS($K$53)))),($H46*'Alternative 2'!$B$39))))</f>
        <v>#VALUE!</v>
      </c>
      <c r="AX46" s="78" t="e">
        <f>AV46*'Alternative 2'!$K47/'Alternative 2'!$L47</f>
        <v>#VALUE!</v>
      </c>
      <c r="AY46" s="78" t="e">
        <f>AW46/'Alternative 2'!$M47</f>
        <v>#VALUE!</v>
      </c>
      <c r="AZ46" s="78" t="e">
        <f t="shared" si="7"/>
        <v>#VALUE!</v>
      </c>
      <c r="BB46" s="78" t="e">
        <f>'Alternative 2'!$B$39*$B46*$C46*COS($K$63)-($N$62/3)*$E46*SIN($K$63)-($N$62/3)*$F46*SIN($K$63)-($N$62/3)*$G46*SIN($K$63)</f>
        <v>#VALUE!</v>
      </c>
      <c r="BC46" s="79" t="e">
        <f>IF(($A46&lt;'Alternative 2'!$B$27),(($H46*'Alternative 2'!$B$39)+(3*($N$62/3)*COS($K$63))),IF(($A46&lt;'Alternative 2'!$B$28),(($H46*'Alternative 2'!$B$39)+(2*(($N$62/3)*COS($K$63)))),IF(($A46&lt;'Alternative 2'!$B$29),(($H$3*'Alternative 2'!$B$39+(($N$62/3)*COS($K$63)))),($H46*'Alternative 2'!$B$39))))</f>
        <v>#VALUE!</v>
      </c>
      <c r="BD46" s="78" t="e">
        <f>BB46*'Alternative 2'!$K47/'Alternative 2'!$L47</f>
        <v>#VALUE!</v>
      </c>
      <c r="BE46" s="78" t="e">
        <f>BC46/'Alternative 2'!$M47</f>
        <v>#VALUE!</v>
      </c>
      <c r="BF46" s="78" t="e">
        <f t="shared" si="8"/>
        <v>#VALUE!</v>
      </c>
      <c r="BH46" s="78" t="e">
        <f>'Alternative 2'!$B$39*$B46*$C46*COS($K$73)-($N$72/3)*$E46*SIN($K$73)-($N$72/3)*$F46*SIN($K$73)-($N$72/3)*$G46*SIN($K$73)</f>
        <v>#VALUE!</v>
      </c>
      <c r="BI46" s="79" t="e">
        <f>IF(($A46&lt;'Alternative 2'!$B$27),(($H46*'Alternative 2'!$B$39)+(3*($N$72/3)*COS($K$73))),IF(($A46&lt;'Alternative 2'!$B$28),(($H46*'Alternative 2'!$B$39)+(2*(($N$72/3)*COS($K$73)))),IF(($A46&lt;'Alternative 2'!$B$29),(($H$3*'Alternative 2'!$B$39+(($N$72/3)*COS($K$73)))),($H46*'Alternative 2'!$B$39))))</f>
        <v>#VALUE!</v>
      </c>
      <c r="BJ46" s="78" t="e">
        <f>BH46*'Alternative 2'!$K47/'Alternative 2'!$L47</f>
        <v>#VALUE!</v>
      </c>
      <c r="BK46" s="78" t="e">
        <f>BI46/'Alternative 2'!$M47</f>
        <v>#VALUE!</v>
      </c>
      <c r="BL46" s="78" t="e">
        <f t="shared" si="9"/>
        <v>#VALUE!</v>
      </c>
      <c r="BN46" s="78" t="e">
        <f>'Alternative 2'!$B$39*$B46*$C46*COS($K$83)-($N$82/3)*$E46*SIN($K$83)-($N$82/3)*$F46*SIN($K$83)-($N$82/3)*$G46*SIN($K$83)</f>
        <v>#VALUE!</v>
      </c>
      <c r="BO46" s="79" t="e">
        <f>IF(($A46&lt;'Alternative 2'!$B$27),(($H46*'Alternative 2'!$B$39)+(3*($N$82/3)*COS($K$83))),IF(($A46&lt;'Alternative 2'!$B$28),(($H46*'Alternative 2'!$B$39)+(2*(($N$82/3)*COS($K$83)))),IF(($A46&lt;'Alternative 2'!$B$29),(($H$3*'Alternative 2'!$B$39+(($N$82/3)*COS($K$83)))),($H46*'Alternative 2'!$B$39))))</f>
        <v>#VALUE!</v>
      </c>
      <c r="BP46" s="78" t="e">
        <f>BN46*'Alternative 2'!$K47/'Alternative 2'!$L47</f>
        <v>#VALUE!</v>
      </c>
      <c r="BQ46" s="78" t="e">
        <f>BO46/'Alternative 2'!$M47</f>
        <v>#VALUE!</v>
      </c>
      <c r="BR46" s="78" t="e">
        <f t="shared" si="10"/>
        <v>#VALUE!</v>
      </c>
      <c r="BT46" s="78" t="e">
        <f>'Alternative 2'!$B$39*$B46*$C46*COS($K$93)-($K$92/3)*$E46*SIN($K$93)-($K$92/3)*$F46*SIN($K$93)-($K$92/3)*$G46*SIN($K$93)</f>
        <v>#VALUE!</v>
      </c>
      <c r="BU46" s="79" t="e">
        <f>IF(($A46&lt;'Alternative 2'!$B$27),(($H46*'Alternative 2'!$B$39)+(3*($N$92/3)*COS($K$93))),IF(($A46&lt;'Alternative 2'!$B$28),(($H46*'Alternative 2'!$B$39)+(2*(($N$92/3)*COS($K$93)))),IF(($A46&lt;'Alternative 2'!$B$29),(($H$3*'Alternative 2'!$B$39+(($N$92/3)*COS($K$93)))),($H46*'Alternative 2'!$B$39))))</f>
        <v>#VALUE!</v>
      </c>
      <c r="BV46" s="78" t="e">
        <f>BT46*'Alternative 2'!$K47/'Alternative 2'!$L47</f>
        <v>#VALUE!</v>
      </c>
      <c r="BW46" s="78" t="e">
        <f>BU46/'Alternative 2'!$M47</f>
        <v>#VALUE!</v>
      </c>
      <c r="BX46" s="78" t="e">
        <f t="shared" si="11"/>
        <v>#VALUE!</v>
      </c>
      <c r="BZ46" s="77">
        <v>150</v>
      </c>
      <c r="CA46" s="77">
        <v>-150</v>
      </c>
    </row>
    <row r="47" spans="1:79" ht="15" customHeight="1" x14ac:dyDescent="0.25">
      <c r="A47" s="13" t="str">
        <f>IF('Alternative 2'!F48&gt;0,'Alternative 2'!F48,"x")</f>
        <v>x</v>
      </c>
      <c r="B47" s="13" t="e">
        <f t="shared" si="17"/>
        <v>#VALUE!</v>
      </c>
      <c r="C47" s="13">
        <f t="shared" si="12"/>
        <v>0</v>
      </c>
      <c r="D47" s="13" t="str">
        <f t="shared" si="13"/>
        <v>x</v>
      </c>
      <c r="E47" s="74">
        <f>IF($A47&lt;='Alternative 2'!$B$27, IF($A47='Alternative 2'!$B$27,0,E48+1),0)</f>
        <v>0</v>
      </c>
      <c r="F47" s="74">
        <f>IF($A47&lt;=('Alternative 2'!$B$28), IF($A47=ROUNDDOWN('Alternative 2'!$B$28,0),0,F48+1),0)</f>
        <v>0</v>
      </c>
      <c r="G47" s="74">
        <f>IF($A47&lt;=('Alternative 2'!$B$29), IF($A47=ROUNDDOWN('Alternative 2'!$B$29,0),0,G48+1),0)</f>
        <v>0</v>
      </c>
      <c r="H47" s="13" t="e">
        <f t="shared" si="14"/>
        <v>#VALUE!</v>
      </c>
      <c r="J47" s="77">
        <f t="shared" si="15"/>
        <v>44</v>
      </c>
      <c r="K47" s="77">
        <f t="shared" si="16"/>
        <v>0.76794487087750496</v>
      </c>
      <c r="L47" s="78">
        <f>'Alternative 2'!$B$27*SIN(K47)+'Alternative 2'!$B$28*SIN(K47)+'Alternative 2'!$B$29*SIN(K47)</f>
        <v>47.236769191211813</v>
      </c>
      <c r="M47" s="77">
        <f>(('Alternative 2'!$B$27)*(((('Alternative 2'!$B$28-'Alternative 2'!$B$27)/2)+'Alternative 2'!$B$27)*'Alternative 2'!$B$39)*COS('Alternative 2-Tilt Up'!K47))+(('Alternative 2'!$B$28)*((('Alternative 2'!$B$28-'Alternative 2'!$B$27)/2)+(('Alternative 2'!$B$29-'Alternative 2'!$B$28)/2))*('Alternative 2'!$B$39)*COS('Alternative 2-Tilt Up'!K47))+(('Alternative 2'!$B$29)*((('Alternative 2'!$B$12-'Alternative 2'!$B$29+(('Alternative 2'!$B$29-'Alternative 2'!$B$28)/2)*('Alternative 2'!$B$39)*COS('Alternative 2-Tilt Up'!K47)))))</f>
        <v>3414122.4688237198</v>
      </c>
      <c r="N47" s="77">
        <f t="shared" si="0"/>
        <v>216830.39678286688</v>
      </c>
      <c r="O47" s="77">
        <f>(((('Alternative 2'!$B$28-'Alternative 2'!$B$27)/2)+'Alternative 2'!$B$27)*('Alternative 2'!$B$39)*COS('Alternative 2-Tilt Up'!K47))+(((('Alternative 2'!$B$28-'Alternative 2'!$B$27)/2)+(('Alternative 2'!$B$29-'Alternative 2'!$B$28)/2))*('Alternative 2'!$B$39)*COS('Alternative 2-Tilt Up'!K47))+(((('Alternative 2'!$B$12-'Alternative 2'!$B$29)+(('Alternative 2'!$B$29-'Alternative 2'!$B$28)/2))*('Alternative 2'!$B$39)*COS('Alternative 2-Tilt Up'!K47)))</f>
        <v>220204.23251132236</v>
      </c>
      <c r="P47" s="77">
        <f t="shared" si="1"/>
        <v>155974.73432913798</v>
      </c>
      <c r="R47" s="78" t="e">
        <f>'Alternative 2'!$B$39*$B47*$C47*COS($K$5)-($N$5/3)*$E47*SIN($K$5)-($N$5/3)*$F47*SIN($K$5)-($N$5/3)*$G47*SIN($K$5)</f>
        <v>#VALUE!</v>
      </c>
      <c r="S47" s="79" t="e">
        <f>IF(($A47&lt;'Alternative 2'!$B$27),(($H47*'Alternative 2'!$B$39)+(3*($N$5/3)*COS($K$5))),IF(($A47&lt;'Alternative 2'!$B$28),(($H47*'Alternative 2'!$B$39)+(2*(($N$5/3)*COS($K$5)))),IF(($A47&lt;'Alternative 2'!$B$29),(($H$3*'Alternative 2'!$B$39+(($N$5/3)*COS($K$5)))),($H47*'Alternative 2'!$B$39))))</f>
        <v>#VALUE!</v>
      </c>
      <c r="T47" s="78" t="e">
        <f>R47*'Alternative 2'!$K48/'Alternative 2'!$L48</f>
        <v>#VALUE!</v>
      </c>
      <c r="U47" s="78" t="e">
        <f>S47/'Alternative 2'!$M48</f>
        <v>#VALUE!</v>
      </c>
      <c r="V47" s="78" t="e">
        <f t="shared" si="2"/>
        <v>#VALUE!</v>
      </c>
      <c r="X47" s="78" t="e">
        <f>'Alternative 2'!$B$39*$B47*$C47*COS($K$13)-($N$12/3)*$E47*SIN($K$13)-($N$12/3)*$F47*SIN($K$13)-($N$12/3)*$G47*SIN($K$13)</f>
        <v>#VALUE!</v>
      </c>
      <c r="Y47" s="79" t="e">
        <f>IF(($A47&lt;'Alternative 2'!$B$27),(($H47*'Alternative 2'!$B$39)+(3*($N$12/3)*COS($K$13))),IF(($A47&lt;'Alternative 2'!$B$28),(($H47*'Alternative 2'!$B$39)+(2*(($N$12/3)*COS($K$13)))),IF(($A47&lt;'Alternative 2'!$B$29),(($H$3*'Alternative 2'!$B$39+(($N$12/3)*COS($K$13)))),($H47*'Alternative 2'!$B$39))))</f>
        <v>#VALUE!</v>
      </c>
      <c r="Z47" s="78" t="e">
        <f>X47*'Alternative 2'!$K48/'Alternative 2'!$L48</f>
        <v>#VALUE!</v>
      </c>
      <c r="AA47" s="78" t="e">
        <f>Y47/'Alternative 2'!$M48</f>
        <v>#VALUE!</v>
      </c>
      <c r="AB47" s="78" t="e">
        <f t="shared" si="3"/>
        <v>#VALUE!</v>
      </c>
      <c r="AD47" s="78" t="e">
        <f>'Alternative 2'!$B$39*$B47*$C47*COS($K$23)-($N$22/3)*$E47*SIN($K$23)-($N$22/3)*$F47*SIN($K$23)-($N$22/3)*$G47*SIN($K$23)</f>
        <v>#VALUE!</v>
      </c>
      <c r="AE47" s="79" t="e">
        <f>IF(($A47&lt;'Alternative 2'!$B$27),(($H47*'Alternative 2'!$B$39)+(3*($N$22/3)*COS($K$23))),IF(($A47&lt;'Alternative 2'!$B$28),(($H47*'Alternative 2'!$B$39)+(2*(($N$22/3)*COS($K$23)))),IF(($A47&lt;'Alternative 2'!$B$29),(($H$3*'Alternative 2'!$B$39+(($N$22/3)*COS($K$23)))),($H47*'Alternative 2'!$B$39))))</f>
        <v>#VALUE!</v>
      </c>
      <c r="AF47" s="78" t="e">
        <f>AD47*'Alternative 2'!$K48/'Alternative 2'!$L48</f>
        <v>#VALUE!</v>
      </c>
      <c r="AG47" s="78" t="e">
        <f>AE47/'Alternative 2'!$M48</f>
        <v>#VALUE!</v>
      </c>
      <c r="AH47" s="78" t="e">
        <f t="shared" si="4"/>
        <v>#VALUE!</v>
      </c>
      <c r="AJ47" s="78" t="e">
        <f>'Alternative 2'!$B$39*$B47*$C47*COS($K$33)-($N$32/3)*$E47*SIN($K$33)-($N$32/3)*$F47*SIN($K$33)-($N$32/3)*$G47*SIN($K$33)</f>
        <v>#VALUE!</v>
      </c>
      <c r="AK47" s="79" t="e">
        <f>IF(($A47&lt;'Alternative 2'!$B$27),(($H47*'Alternative 2'!$B$39)+(3*($N$32/3)*COS($K$33))),IF(($A47&lt;'Alternative 2'!$B$28),(($H47*'Alternative 2'!$B$39)+(2*(($N$32/3)*COS($K$33)))),IF(($A47&lt;'Alternative 2'!$B$29),(($H$3*'Alternative 2'!$B$39+(($N$32/3)*COS($K$33)))),($H47*'Alternative 2'!$B$39))))</f>
        <v>#VALUE!</v>
      </c>
      <c r="AL47" s="78" t="e">
        <f>AJ47*'Alternative 2'!$K48/'Alternative 2'!$L48</f>
        <v>#VALUE!</v>
      </c>
      <c r="AM47" s="78" t="e">
        <f>AK47/'Alternative 2'!$M48</f>
        <v>#VALUE!</v>
      </c>
      <c r="AN47" s="78" t="e">
        <f t="shared" si="5"/>
        <v>#VALUE!</v>
      </c>
      <c r="AP47" s="78" t="e">
        <f>'Alternative 2'!$B$39*$B47*$C47*COS($K$43)-($N$42/3)*$E47*SIN($K$43)-($N$42/3)*$F47*SIN($K$43)-($N$42/3)*$G47*SIN($K$43)</f>
        <v>#VALUE!</v>
      </c>
      <c r="AQ47" s="79" t="e">
        <f>IF(($A47&lt;'Alternative 2'!$B$27),(($H47*'Alternative 2'!$B$39)+(3*($N$42/3)*COS($K$43))),IF(($A47&lt;'Alternative 2'!$B$28),(($H47*'Alternative 2'!$B$39)+(2*(($N$42/3)*COS($K$43)))),IF(($A47&lt;'Alternative 2'!$B$29),(($H$3*'Alternative 2'!$B$39+(($N$42/3)*COS($K$43)))),($H47*'Alternative 2'!$B$39))))</f>
        <v>#VALUE!</v>
      </c>
      <c r="AR47" s="78" t="e">
        <f>AP47*'Alternative 2'!$K48/'Alternative 2'!$L48</f>
        <v>#VALUE!</v>
      </c>
      <c r="AS47" s="78" t="e">
        <f>AQ47/'Alternative 2'!$M48</f>
        <v>#VALUE!</v>
      </c>
      <c r="AT47" s="78" t="e">
        <f t="shared" si="6"/>
        <v>#VALUE!</v>
      </c>
      <c r="AV47" s="78" t="e">
        <f>'Alternative 2'!$B$39*$B47*$C47*COS($K$53)-($N$52/3)*$E47*SIN($K$53)-($N$52/3)*$F47*SIN($K$53)-($N$52/3)*$G47*SIN($K$53)</f>
        <v>#VALUE!</v>
      </c>
      <c r="AW47" s="79" t="e">
        <f>IF(($A47&lt;'Alternative 2'!$B$27),(($H47*'Alternative 2'!$B$39)+(3*($N$52/3)*COS($K$53))),IF(($A47&lt;'Alternative 2'!$B$28),(($H47*'Alternative 2'!$B$39)+(2*(($N$52/3)*COS($K$53)))),IF(($A47&lt;'Alternative 2'!$B$29),(($H$3*'Alternative 2'!$B$39+(($N$52/3)*COS($K$53)))),($H47*'Alternative 2'!$B$39))))</f>
        <v>#VALUE!</v>
      </c>
      <c r="AX47" s="78" t="e">
        <f>AV47*'Alternative 2'!$K48/'Alternative 2'!$L48</f>
        <v>#VALUE!</v>
      </c>
      <c r="AY47" s="78" t="e">
        <f>AW47/'Alternative 2'!$M48</f>
        <v>#VALUE!</v>
      </c>
      <c r="AZ47" s="78" t="e">
        <f t="shared" si="7"/>
        <v>#VALUE!</v>
      </c>
      <c r="BB47" s="78" t="e">
        <f>'Alternative 2'!$B$39*$B47*$C47*COS($K$63)-($N$62/3)*$E47*SIN($K$63)-($N$62/3)*$F47*SIN($K$63)-($N$62/3)*$G47*SIN($K$63)</f>
        <v>#VALUE!</v>
      </c>
      <c r="BC47" s="79" t="e">
        <f>IF(($A47&lt;'Alternative 2'!$B$27),(($H47*'Alternative 2'!$B$39)+(3*($N$62/3)*COS($K$63))),IF(($A47&lt;'Alternative 2'!$B$28),(($H47*'Alternative 2'!$B$39)+(2*(($N$62/3)*COS($K$63)))),IF(($A47&lt;'Alternative 2'!$B$29),(($H$3*'Alternative 2'!$B$39+(($N$62/3)*COS($K$63)))),($H47*'Alternative 2'!$B$39))))</f>
        <v>#VALUE!</v>
      </c>
      <c r="BD47" s="78" t="e">
        <f>BB47*'Alternative 2'!$K48/'Alternative 2'!$L48</f>
        <v>#VALUE!</v>
      </c>
      <c r="BE47" s="78" t="e">
        <f>BC47/'Alternative 2'!$M48</f>
        <v>#VALUE!</v>
      </c>
      <c r="BF47" s="78" t="e">
        <f t="shared" si="8"/>
        <v>#VALUE!</v>
      </c>
      <c r="BH47" s="78" t="e">
        <f>'Alternative 2'!$B$39*$B47*$C47*COS($K$73)-($N$72/3)*$E47*SIN($K$73)-($N$72/3)*$F47*SIN($K$73)-($N$72/3)*$G47*SIN($K$73)</f>
        <v>#VALUE!</v>
      </c>
      <c r="BI47" s="79" t="e">
        <f>IF(($A47&lt;'Alternative 2'!$B$27),(($H47*'Alternative 2'!$B$39)+(3*($N$72/3)*COS($K$73))),IF(($A47&lt;'Alternative 2'!$B$28),(($H47*'Alternative 2'!$B$39)+(2*(($N$72/3)*COS($K$73)))),IF(($A47&lt;'Alternative 2'!$B$29),(($H$3*'Alternative 2'!$B$39+(($N$72/3)*COS($K$73)))),($H47*'Alternative 2'!$B$39))))</f>
        <v>#VALUE!</v>
      </c>
      <c r="BJ47" s="78" t="e">
        <f>BH47*'Alternative 2'!$K48/'Alternative 2'!$L48</f>
        <v>#VALUE!</v>
      </c>
      <c r="BK47" s="78" t="e">
        <f>BI47/'Alternative 2'!$M48</f>
        <v>#VALUE!</v>
      </c>
      <c r="BL47" s="78" t="e">
        <f t="shared" si="9"/>
        <v>#VALUE!</v>
      </c>
      <c r="BN47" s="78" t="e">
        <f>'Alternative 2'!$B$39*$B47*$C47*COS($K$83)-($N$82/3)*$E47*SIN($K$83)-($N$82/3)*$F47*SIN($K$83)-($N$82/3)*$G47*SIN($K$83)</f>
        <v>#VALUE!</v>
      </c>
      <c r="BO47" s="79" t="e">
        <f>IF(($A47&lt;'Alternative 2'!$B$27),(($H47*'Alternative 2'!$B$39)+(3*($N$82/3)*COS($K$83))),IF(($A47&lt;'Alternative 2'!$B$28),(($H47*'Alternative 2'!$B$39)+(2*(($N$82/3)*COS($K$83)))),IF(($A47&lt;'Alternative 2'!$B$29),(($H$3*'Alternative 2'!$B$39+(($N$82/3)*COS($K$83)))),($H47*'Alternative 2'!$B$39))))</f>
        <v>#VALUE!</v>
      </c>
      <c r="BP47" s="78" t="e">
        <f>BN47*'Alternative 2'!$K48/'Alternative 2'!$L48</f>
        <v>#VALUE!</v>
      </c>
      <c r="BQ47" s="78" t="e">
        <f>BO47/'Alternative 2'!$M48</f>
        <v>#VALUE!</v>
      </c>
      <c r="BR47" s="78" t="e">
        <f t="shared" si="10"/>
        <v>#VALUE!</v>
      </c>
      <c r="BT47" s="78" t="e">
        <f>'Alternative 2'!$B$39*$B47*$C47*COS($K$93)-($K$92/3)*$E47*SIN($K$93)-($K$92/3)*$F47*SIN($K$93)-($K$92/3)*$G47*SIN($K$93)</f>
        <v>#VALUE!</v>
      </c>
      <c r="BU47" s="79" t="e">
        <f>IF(($A47&lt;'Alternative 2'!$B$27),(($H47*'Alternative 2'!$B$39)+(3*($N$92/3)*COS($K$93))),IF(($A47&lt;'Alternative 2'!$B$28),(($H47*'Alternative 2'!$B$39)+(2*(($N$92/3)*COS($K$93)))),IF(($A47&lt;'Alternative 2'!$B$29),(($H$3*'Alternative 2'!$B$39+(($N$92/3)*COS($K$93)))),($H47*'Alternative 2'!$B$39))))</f>
        <v>#VALUE!</v>
      </c>
      <c r="BV47" s="78" t="e">
        <f>BT47*'Alternative 2'!$K48/'Alternative 2'!$L48</f>
        <v>#VALUE!</v>
      </c>
      <c r="BW47" s="78" t="e">
        <f>BU47/'Alternative 2'!$M48</f>
        <v>#VALUE!</v>
      </c>
      <c r="BX47" s="78" t="e">
        <f t="shared" si="11"/>
        <v>#VALUE!</v>
      </c>
      <c r="BZ47" s="77">
        <v>150</v>
      </c>
      <c r="CA47" s="77">
        <v>-150</v>
      </c>
    </row>
    <row r="48" spans="1:79" ht="15" customHeight="1" x14ac:dyDescent="0.25">
      <c r="A48" s="13" t="str">
        <f>IF('Alternative 2'!F49&gt;0,'Alternative 2'!F49,"x")</f>
        <v>x</v>
      </c>
      <c r="B48" s="13" t="e">
        <f t="shared" si="17"/>
        <v>#VALUE!</v>
      </c>
      <c r="C48" s="13">
        <f t="shared" si="12"/>
        <v>0</v>
      </c>
      <c r="D48" s="13" t="str">
        <f t="shared" si="13"/>
        <v>x</v>
      </c>
      <c r="E48" s="74">
        <f>IF($A48&lt;='Alternative 2'!$B$27, IF($A48='Alternative 2'!$B$27,0,E49+1),0)</f>
        <v>0</v>
      </c>
      <c r="F48" s="74">
        <f>IF($A48&lt;=('Alternative 2'!$B$28), IF($A48=ROUNDDOWN('Alternative 2'!$B$28,0),0,F49+1),0)</f>
        <v>0</v>
      </c>
      <c r="G48" s="74">
        <f>IF($A48&lt;=('Alternative 2'!$B$29), IF($A48=ROUNDDOWN('Alternative 2'!$B$29,0),0,G49+1),0)</f>
        <v>0</v>
      </c>
      <c r="H48" s="13" t="e">
        <f t="shared" si="14"/>
        <v>#VALUE!</v>
      </c>
      <c r="J48" s="77">
        <f t="shared" si="15"/>
        <v>45</v>
      </c>
      <c r="K48" s="77">
        <f t="shared" si="16"/>
        <v>0.78539816339744828</v>
      </c>
      <c r="L48" s="78">
        <f>'Alternative 2'!$B$27*SIN(K48)+'Alternative 2'!$B$28*SIN(K48)+'Alternative 2'!$B$29*SIN(K48)</f>
        <v>48.083261120685229</v>
      </c>
      <c r="M48" s="77">
        <f>(('Alternative 2'!$B$27)*(((('Alternative 2'!$B$28-'Alternative 2'!$B$27)/2)+'Alternative 2'!$B$27)*'Alternative 2'!$B$39)*COS('Alternative 2-Tilt Up'!K48))+(('Alternative 2'!$B$28)*((('Alternative 2'!$B$28-'Alternative 2'!$B$27)/2)+(('Alternative 2'!$B$29-'Alternative 2'!$B$28)/2))*('Alternative 2'!$B$39)*COS('Alternative 2-Tilt Up'!K48))+(('Alternative 2'!$B$29)*((('Alternative 2'!$B$12-'Alternative 2'!$B$29+(('Alternative 2'!$B$29-'Alternative 2'!$B$28)/2)*('Alternative 2'!$B$39)*COS('Alternative 2-Tilt Up'!K48)))))</f>
        <v>3356065.5778104682</v>
      </c>
      <c r="N48" s="77">
        <f t="shared" si="0"/>
        <v>209390.88778028215</v>
      </c>
      <c r="O48" s="77">
        <f>(((('Alternative 2'!$B$28-'Alternative 2'!$B$27)/2)+'Alternative 2'!$B$27)*('Alternative 2'!$B$39)*COS('Alternative 2-Tilt Up'!K48))+(((('Alternative 2'!$B$28-'Alternative 2'!$B$27)/2)+(('Alternative 2'!$B$29-'Alternative 2'!$B$28)/2))*('Alternative 2'!$B$39)*COS('Alternative 2-Tilt Up'!K48))+(((('Alternative 2'!$B$12-'Alternative 2'!$B$29)+(('Alternative 2'!$B$29-'Alternative 2'!$B$28)/2))*('Alternative 2'!$B$39)*COS('Alternative 2-Tilt Up'!K48)))</f>
        <v>216459.46183073841</v>
      </c>
      <c r="P48" s="77">
        <f t="shared" si="1"/>
        <v>148061.71666810891</v>
      </c>
      <c r="R48" s="78" t="e">
        <f>'Alternative 2'!$B$39*$B48*$C48*COS($K$5)-($N$5/3)*$E48*SIN($K$5)-($N$5/3)*$F48*SIN($K$5)-($N$5/3)*$G48*SIN($K$5)</f>
        <v>#VALUE!</v>
      </c>
      <c r="S48" s="79" t="e">
        <f>IF(($A48&lt;'Alternative 2'!$B$27),(($H48*'Alternative 2'!$B$39)+(3*($N$5/3)*COS($K$5))),IF(($A48&lt;'Alternative 2'!$B$28),(($H48*'Alternative 2'!$B$39)+(2*(($N$5/3)*COS($K$5)))),IF(($A48&lt;'Alternative 2'!$B$29),(($H$3*'Alternative 2'!$B$39+(($N$5/3)*COS($K$5)))),($H48*'Alternative 2'!$B$39))))</f>
        <v>#VALUE!</v>
      </c>
      <c r="T48" s="78" t="e">
        <f>R48*'Alternative 2'!$K49/'Alternative 2'!$L49</f>
        <v>#VALUE!</v>
      </c>
      <c r="U48" s="78" t="e">
        <f>S48/'Alternative 2'!$M49</f>
        <v>#VALUE!</v>
      </c>
      <c r="V48" s="78" t="e">
        <f t="shared" si="2"/>
        <v>#VALUE!</v>
      </c>
      <c r="X48" s="78" t="e">
        <f>'Alternative 2'!$B$39*$B48*$C48*COS($K$13)-($N$12/3)*$E48*SIN($K$13)-($N$12/3)*$F48*SIN($K$13)-($N$12/3)*$G48*SIN($K$13)</f>
        <v>#VALUE!</v>
      </c>
      <c r="Y48" s="79" t="e">
        <f>IF(($A48&lt;'Alternative 2'!$B$27),(($H48*'Alternative 2'!$B$39)+(3*($N$12/3)*COS($K$13))),IF(($A48&lt;'Alternative 2'!$B$28),(($H48*'Alternative 2'!$B$39)+(2*(($N$12/3)*COS($K$13)))),IF(($A48&lt;'Alternative 2'!$B$29),(($H$3*'Alternative 2'!$B$39+(($N$12/3)*COS($K$13)))),($H48*'Alternative 2'!$B$39))))</f>
        <v>#VALUE!</v>
      </c>
      <c r="Z48" s="78" t="e">
        <f>X48*'Alternative 2'!$K49/'Alternative 2'!$L49</f>
        <v>#VALUE!</v>
      </c>
      <c r="AA48" s="78" t="e">
        <f>Y48/'Alternative 2'!$M49</f>
        <v>#VALUE!</v>
      </c>
      <c r="AB48" s="78" t="e">
        <f t="shared" si="3"/>
        <v>#VALUE!</v>
      </c>
      <c r="AD48" s="78" t="e">
        <f>'Alternative 2'!$B$39*$B48*$C48*COS($K$23)-($N$22/3)*$E48*SIN($K$23)-($N$22/3)*$F48*SIN($K$23)-($N$22/3)*$G48*SIN($K$23)</f>
        <v>#VALUE!</v>
      </c>
      <c r="AE48" s="79" t="e">
        <f>IF(($A48&lt;'Alternative 2'!$B$27),(($H48*'Alternative 2'!$B$39)+(3*($N$22/3)*COS($K$23))),IF(($A48&lt;'Alternative 2'!$B$28),(($H48*'Alternative 2'!$B$39)+(2*(($N$22/3)*COS($K$23)))),IF(($A48&lt;'Alternative 2'!$B$29),(($H$3*'Alternative 2'!$B$39+(($N$22/3)*COS($K$23)))),($H48*'Alternative 2'!$B$39))))</f>
        <v>#VALUE!</v>
      </c>
      <c r="AF48" s="78" t="e">
        <f>AD48*'Alternative 2'!$K49/'Alternative 2'!$L49</f>
        <v>#VALUE!</v>
      </c>
      <c r="AG48" s="78" t="e">
        <f>AE48/'Alternative 2'!$M49</f>
        <v>#VALUE!</v>
      </c>
      <c r="AH48" s="78" t="e">
        <f t="shared" si="4"/>
        <v>#VALUE!</v>
      </c>
      <c r="AJ48" s="78" t="e">
        <f>'Alternative 2'!$B$39*$B48*$C48*COS($K$33)-($N$32/3)*$E48*SIN($K$33)-($N$32/3)*$F48*SIN($K$33)-($N$32/3)*$G48*SIN($K$33)</f>
        <v>#VALUE!</v>
      </c>
      <c r="AK48" s="79" t="e">
        <f>IF(($A48&lt;'Alternative 2'!$B$27),(($H48*'Alternative 2'!$B$39)+(3*($N$32/3)*COS($K$33))),IF(($A48&lt;'Alternative 2'!$B$28),(($H48*'Alternative 2'!$B$39)+(2*(($N$32/3)*COS($K$33)))),IF(($A48&lt;'Alternative 2'!$B$29),(($H$3*'Alternative 2'!$B$39+(($N$32/3)*COS($K$33)))),($H48*'Alternative 2'!$B$39))))</f>
        <v>#VALUE!</v>
      </c>
      <c r="AL48" s="78" t="e">
        <f>AJ48*'Alternative 2'!$K49/'Alternative 2'!$L49</f>
        <v>#VALUE!</v>
      </c>
      <c r="AM48" s="78" t="e">
        <f>AK48/'Alternative 2'!$M49</f>
        <v>#VALUE!</v>
      </c>
      <c r="AN48" s="78" t="e">
        <f t="shared" si="5"/>
        <v>#VALUE!</v>
      </c>
      <c r="AP48" s="78" t="e">
        <f>'Alternative 2'!$B$39*$B48*$C48*COS($K$43)-($N$42/3)*$E48*SIN($K$43)-($N$42/3)*$F48*SIN($K$43)-($N$42/3)*$G48*SIN($K$43)</f>
        <v>#VALUE!</v>
      </c>
      <c r="AQ48" s="79" t="e">
        <f>IF(($A48&lt;'Alternative 2'!$B$27),(($H48*'Alternative 2'!$B$39)+(3*($N$42/3)*COS($K$43))),IF(($A48&lt;'Alternative 2'!$B$28),(($H48*'Alternative 2'!$B$39)+(2*(($N$42/3)*COS($K$43)))),IF(($A48&lt;'Alternative 2'!$B$29),(($H$3*'Alternative 2'!$B$39+(($N$42/3)*COS($K$43)))),($H48*'Alternative 2'!$B$39))))</f>
        <v>#VALUE!</v>
      </c>
      <c r="AR48" s="78" t="e">
        <f>AP48*'Alternative 2'!$K49/'Alternative 2'!$L49</f>
        <v>#VALUE!</v>
      </c>
      <c r="AS48" s="78" t="e">
        <f>AQ48/'Alternative 2'!$M49</f>
        <v>#VALUE!</v>
      </c>
      <c r="AT48" s="78" t="e">
        <f t="shared" si="6"/>
        <v>#VALUE!</v>
      </c>
      <c r="AV48" s="78" t="e">
        <f>'Alternative 2'!$B$39*$B48*$C48*COS($K$53)-($N$52/3)*$E48*SIN($K$53)-($N$52/3)*$F48*SIN($K$53)-($N$52/3)*$G48*SIN($K$53)</f>
        <v>#VALUE!</v>
      </c>
      <c r="AW48" s="79" t="e">
        <f>IF(($A48&lt;'Alternative 2'!$B$27),(($H48*'Alternative 2'!$B$39)+(3*($N$52/3)*COS($K$53))),IF(($A48&lt;'Alternative 2'!$B$28),(($H48*'Alternative 2'!$B$39)+(2*(($N$52/3)*COS($K$53)))),IF(($A48&lt;'Alternative 2'!$B$29),(($H$3*'Alternative 2'!$B$39+(($N$52/3)*COS($K$53)))),($H48*'Alternative 2'!$B$39))))</f>
        <v>#VALUE!</v>
      </c>
      <c r="AX48" s="78" t="e">
        <f>AV48*'Alternative 2'!$K49/'Alternative 2'!$L49</f>
        <v>#VALUE!</v>
      </c>
      <c r="AY48" s="78" t="e">
        <f>AW48/'Alternative 2'!$M49</f>
        <v>#VALUE!</v>
      </c>
      <c r="AZ48" s="78" t="e">
        <f t="shared" si="7"/>
        <v>#VALUE!</v>
      </c>
      <c r="BB48" s="78" t="e">
        <f>'Alternative 2'!$B$39*$B48*$C48*COS($K$63)-($N$62/3)*$E48*SIN($K$63)-($N$62/3)*$F48*SIN($K$63)-($N$62/3)*$G48*SIN($K$63)</f>
        <v>#VALUE!</v>
      </c>
      <c r="BC48" s="79" t="e">
        <f>IF(($A48&lt;'Alternative 2'!$B$27),(($H48*'Alternative 2'!$B$39)+(3*($N$62/3)*COS($K$63))),IF(($A48&lt;'Alternative 2'!$B$28),(($H48*'Alternative 2'!$B$39)+(2*(($N$62/3)*COS($K$63)))),IF(($A48&lt;'Alternative 2'!$B$29),(($H$3*'Alternative 2'!$B$39+(($N$62/3)*COS($K$63)))),($H48*'Alternative 2'!$B$39))))</f>
        <v>#VALUE!</v>
      </c>
      <c r="BD48" s="78" t="e">
        <f>BB48*'Alternative 2'!$K49/'Alternative 2'!$L49</f>
        <v>#VALUE!</v>
      </c>
      <c r="BE48" s="78" t="e">
        <f>BC48/'Alternative 2'!$M49</f>
        <v>#VALUE!</v>
      </c>
      <c r="BF48" s="78" t="e">
        <f t="shared" si="8"/>
        <v>#VALUE!</v>
      </c>
      <c r="BH48" s="78" t="e">
        <f>'Alternative 2'!$B$39*$B48*$C48*COS($K$73)-($N$72/3)*$E48*SIN($K$73)-($N$72/3)*$F48*SIN($K$73)-($N$72/3)*$G48*SIN($K$73)</f>
        <v>#VALUE!</v>
      </c>
      <c r="BI48" s="79" t="e">
        <f>IF(($A48&lt;'Alternative 2'!$B$27),(($H48*'Alternative 2'!$B$39)+(3*($N$72/3)*COS($K$73))),IF(($A48&lt;'Alternative 2'!$B$28),(($H48*'Alternative 2'!$B$39)+(2*(($N$72/3)*COS($K$73)))),IF(($A48&lt;'Alternative 2'!$B$29),(($H$3*'Alternative 2'!$B$39+(($N$72/3)*COS($K$73)))),($H48*'Alternative 2'!$B$39))))</f>
        <v>#VALUE!</v>
      </c>
      <c r="BJ48" s="78" t="e">
        <f>BH48*'Alternative 2'!$K49/'Alternative 2'!$L49</f>
        <v>#VALUE!</v>
      </c>
      <c r="BK48" s="78" t="e">
        <f>BI48/'Alternative 2'!$M49</f>
        <v>#VALUE!</v>
      </c>
      <c r="BL48" s="78" t="e">
        <f t="shared" si="9"/>
        <v>#VALUE!</v>
      </c>
      <c r="BN48" s="78" t="e">
        <f>'Alternative 2'!$B$39*$B48*$C48*COS($K$83)-($N$82/3)*$E48*SIN($K$83)-($N$82/3)*$F48*SIN($K$83)-($N$82/3)*$G48*SIN($K$83)</f>
        <v>#VALUE!</v>
      </c>
      <c r="BO48" s="79" t="e">
        <f>IF(($A48&lt;'Alternative 2'!$B$27),(($H48*'Alternative 2'!$B$39)+(3*($N$82/3)*COS($K$83))),IF(($A48&lt;'Alternative 2'!$B$28),(($H48*'Alternative 2'!$B$39)+(2*(($N$82/3)*COS($K$83)))),IF(($A48&lt;'Alternative 2'!$B$29),(($H$3*'Alternative 2'!$B$39+(($N$82/3)*COS($K$83)))),($H48*'Alternative 2'!$B$39))))</f>
        <v>#VALUE!</v>
      </c>
      <c r="BP48" s="78" t="e">
        <f>BN48*'Alternative 2'!$K49/'Alternative 2'!$L49</f>
        <v>#VALUE!</v>
      </c>
      <c r="BQ48" s="78" t="e">
        <f>BO48/'Alternative 2'!$M49</f>
        <v>#VALUE!</v>
      </c>
      <c r="BR48" s="78" t="e">
        <f t="shared" si="10"/>
        <v>#VALUE!</v>
      </c>
      <c r="BT48" s="78" t="e">
        <f>'Alternative 2'!$B$39*$B48*$C48*COS($K$93)-($K$92/3)*$E48*SIN($K$93)-($K$92/3)*$F48*SIN($K$93)-($K$92/3)*$G48*SIN($K$93)</f>
        <v>#VALUE!</v>
      </c>
      <c r="BU48" s="79" t="e">
        <f>IF(($A48&lt;'Alternative 2'!$B$27),(($H48*'Alternative 2'!$B$39)+(3*($N$92/3)*COS($K$93))),IF(($A48&lt;'Alternative 2'!$B$28),(($H48*'Alternative 2'!$B$39)+(2*(($N$92/3)*COS($K$93)))),IF(($A48&lt;'Alternative 2'!$B$29),(($H$3*'Alternative 2'!$B$39+(($N$92/3)*COS($K$93)))),($H48*'Alternative 2'!$B$39))))</f>
        <v>#VALUE!</v>
      </c>
      <c r="BV48" s="78" t="e">
        <f>BT48*'Alternative 2'!$K49/'Alternative 2'!$L49</f>
        <v>#VALUE!</v>
      </c>
      <c r="BW48" s="78" t="e">
        <f>BU48/'Alternative 2'!$M49</f>
        <v>#VALUE!</v>
      </c>
      <c r="BX48" s="78" t="e">
        <f t="shared" si="11"/>
        <v>#VALUE!</v>
      </c>
      <c r="BZ48" s="77">
        <v>150</v>
      </c>
      <c r="CA48" s="77">
        <v>-150</v>
      </c>
    </row>
    <row r="49" spans="1:79" ht="15" customHeight="1" x14ac:dyDescent="0.25">
      <c r="A49" s="13" t="str">
        <f>IF('Alternative 2'!F50&gt;0,'Alternative 2'!F50,"x")</f>
        <v>x</v>
      </c>
      <c r="B49" s="13" t="e">
        <f t="shared" si="17"/>
        <v>#VALUE!</v>
      </c>
      <c r="C49" s="13">
        <f t="shared" si="12"/>
        <v>0</v>
      </c>
      <c r="D49" s="13" t="str">
        <f t="shared" si="13"/>
        <v>x</v>
      </c>
      <c r="E49" s="74">
        <f>IF($A49&lt;='Alternative 2'!$B$27, IF($A49='Alternative 2'!$B$27,0,E50+1),0)</f>
        <v>0</v>
      </c>
      <c r="F49" s="74">
        <f>IF($A49&lt;=('Alternative 2'!$B$28), IF($A49=ROUNDDOWN('Alternative 2'!$B$28,0),0,F50+1),0)</f>
        <v>0</v>
      </c>
      <c r="G49" s="74">
        <f>IF($A49&lt;=('Alternative 2'!$B$29), IF($A49=ROUNDDOWN('Alternative 2'!$B$29,0),0,G50+1),0)</f>
        <v>0</v>
      </c>
      <c r="H49" s="13" t="e">
        <f t="shared" si="14"/>
        <v>#VALUE!</v>
      </c>
      <c r="J49" s="77">
        <f t="shared" si="15"/>
        <v>46</v>
      </c>
      <c r="K49" s="77">
        <f t="shared" si="16"/>
        <v>0.80285145591739149</v>
      </c>
      <c r="L49" s="78">
        <f>'Alternative 2'!$B$27*SIN(K49)+'Alternative 2'!$B$28*SIN(K49)+'Alternative 2'!$B$29*SIN(K49)</f>
        <v>48.915106423028277</v>
      </c>
      <c r="M49" s="77">
        <f>(('Alternative 2'!$B$27)*(((('Alternative 2'!$B$28-'Alternative 2'!$B$27)/2)+'Alternative 2'!$B$27)*'Alternative 2'!$B$39)*COS('Alternative 2-Tilt Up'!K49))+(('Alternative 2'!$B$28)*((('Alternative 2'!$B$28-'Alternative 2'!$B$27)/2)+(('Alternative 2'!$B$29-'Alternative 2'!$B$28)/2))*('Alternative 2'!$B$39)*COS('Alternative 2-Tilt Up'!K49))+(('Alternative 2'!$B$29)*((('Alternative 2'!$B$12-'Alternative 2'!$B$29+(('Alternative 2'!$B$29-'Alternative 2'!$B$28)/2)*('Alternative 2'!$B$39)*COS('Alternative 2-Tilt Up'!K49)))))</f>
        <v>3296986.4563024072</v>
      </c>
      <c r="N49" s="77">
        <f t="shared" si="0"/>
        <v>202206.64110117831</v>
      </c>
      <c r="O49" s="77">
        <f>(((('Alternative 2'!$B$28-'Alternative 2'!$B$27)/2)+'Alternative 2'!$B$27)*('Alternative 2'!$B$39)*COS('Alternative 2-Tilt Up'!K49))+(((('Alternative 2'!$B$28-'Alternative 2'!$B$27)/2)+(('Alternative 2'!$B$29-'Alternative 2'!$B$28)/2))*('Alternative 2'!$B$39)*COS('Alternative 2-Tilt Up'!K49))+(((('Alternative 2'!$B$12-'Alternative 2'!$B$29)+(('Alternative 2'!$B$29-'Alternative 2'!$B$28)/2))*('Alternative 2'!$B$39)*COS('Alternative 2-Tilt Up'!K49)))</f>
        <v>212648.75550119096</v>
      </c>
      <c r="P49" s="77">
        <f t="shared" si="1"/>
        <v>140464.53580333185</v>
      </c>
      <c r="R49" s="78" t="e">
        <f>'Alternative 2'!$B$39*$B49*$C49*COS($K$5)-($N$5/3)*$E49*SIN($K$5)-($N$5/3)*$F49*SIN($K$5)-($N$5/3)*$G49*SIN($K$5)</f>
        <v>#VALUE!</v>
      </c>
      <c r="S49" s="79" t="e">
        <f>IF(($A49&lt;'Alternative 2'!$B$27),(($H49*'Alternative 2'!$B$39)+(3*($N$5/3)*COS($K$5))),IF(($A49&lt;'Alternative 2'!$B$28),(($H49*'Alternative 2'!$B$39)+(2*(($N$5/3)*COS($K$5)))),IF(($A49&lt;'Alternative 2'!$B$29),(($H$3*'Alternative 2'!$B$39+(($N$5/3)*COS($K$5)))),($H49*'Alternative 2'!$B$39))))</f>
        <v>#VALUE!</v>
      </c>
      <c r="T49" s="78" t="e">
        <f>R49*'Alternative 2'!$K50/'Alternative 2'!$L50</f>
        <v>#VALUE!</v>
      </c>
      <c r="U49" s="78" t="e">
        <f>S49/'Alternative 2'!$M50</f>
        <v>#VALUE!</v>
      </c>
      <c r="V49" s="78" t="e">
        <f t="shared" si="2"/>
        <v>#VALUE!</v>
      </c>
      <c r="X49" s="78" t="e">
        <f>'Alternative 2'!$B$39*$B49*$C49*COS($K$13)-($N$12/3)*$E49*SIN($K$13)-($N$12/3)*$F49*SIN($K$13)-($N$12/3)*$G49*SIN($K$13)</f>
        <v>#VALUE!</v>
      </c>
      <c r="Y49" s="79" t="e">
        <f>IF(($A49&lt;'Alternative 2'!$B$27),(($H49*'Alternative 2'!$B$39)+(3*($N$12/3)*COS($K$13))),IF(($A49&lt;'Alternative 2'!$B$28),(($H49*'Alternative 2'!$B$39)+(2*(($N$12/3)*COS($K$13)))),IF(($A49&lt;'Alternative 2'!$B$29),(($H$3*'Alternative 2'!$B$39+(($N$12/3)*COS($K$13)))),($H49*'Alternative 2'!$B$39))))</f>
        <v>#VALUE!</v>
      </c>
      <c r="Z49" s="78" t="e">
        <f>X49*'Alternative 2'!$K50/'Alternative 2'!$L50</f>
        <v>#VALUE!</v>
      </c>
      <c r="AA49" s="78" t="e">
        <f>Y49/'Alternative 2'!$M50</f>
        <v>#VALUE!</v>
      </c>
      <c r="AB49" s="78" t="e">
        <f t="shared" si="3"/>
        <v>#VALUE!</v>
      </c>
      <c r="AD49" s="78" t="e">
        <f>'Alternative 2'!$B$39*$B49*$C49*COS($K$23)-($N$22/3)*$E49*SIN($K$23)-($N$22/3)*$F49*SIN($K$23)-($N$22/3)*$G49*SIN($K$23)</f>
        <v>#VALUE!</v>
      </c>
      <c r="AE49" s="79" t="e">
        <f>IF(($A49&lt;'Alternative 2'!$B$27),(($H49*'Alternative 2'!$B$39)+(3*($N$22/3)*COS($K$23))),IF(($A49&lt;'Alternative 2'!$B$28),(($H49*'Alternative 2'!$B$39)+(2*(($N$22/3)*COS($K$23)))),IF(($A49&lt;'Alternative 2'!$B$29),(($H$3*'Alternative 2'!$B$39+(($N$22/3)*COS($K$23)))),($H49*'Alternative 2'!$B$39))))</f>
        <v>#VALUE!</v>
      </c>
      <c r="AF49" s="78" t="e">
        <f>AD49*'Alternative 2'!$K50/'Alternative 2'!$L50</f>
        <v>#VALUE!</v>
      </c>
      <c r="AG49" s="78" t="e">
        <f>AE49/'Alternative 2'!$M50</f>
        <v>#VALUE!</v>
      </c>
      <c r="AH49" s="78" t="e">
        <f t="shared" si="4"/>
        <v>#VALUE!</v>
      </c>
      <c r="AJ49" s="78" t="e">
        <f>'Alternative 2'!$B$39*$B49*$C49*COS($K$33)-($N$32/3)*$E49*SIN($K$33)-($N$32/3)*$F49*SIN($K$33)-($N$32/3)*$G49*SIN($K$33)</f>
        <v>#VALUE!</v>
      </c>
      <c r="AK49" s="79" t="e">
        <f>IF(($A49&lt;'Alternative 2'!$B$27),(($H49*'Alternative 2'!$B$39)+(3*($N$32/3)*COS($K$33))),IF(($A49&lt;'Alternative 2'!$B$28),(($H49*'Alternative 2'!$B$39)+(2*(($N$32/3)*COS($K$33)))),IF(($A49&lt;'Alternative 2'!$B$29),(($H$3*'Alternative 2'!$B$39+(($N$32/3)*COS($K$33)))),($H49*'Alternative 2'!$B$39))))</f>
        <v>#VALUE!</v>
      </c>
      <c r="AL49" s="78" t="e">
        <f>AJ49*'Alternative 2'!$K50/'Alternative 2'!$L50</f>
        <v>#VALUE!</v>
      </c>
      <c r="AM49" s="78" t="e">
        <f>AK49/'Alternative 2'!$M50</f>
        <v>#VALUE!</v>
      </c>
      <c r="AN49" s="78" t="e">
        <f t="shared" si="5"/>
        <v>#VALUE!</v>
      </c>
      <c r="AP49" s="78" t="e">
        <f>'Alternative 2'!$B$39*$B49*$C49*COS($K$43)-($N$42/3)*$E49*SIN($K$43)-($N$42/3)*$F49*SIN($K$43)-($N$42/3)*$G49*SIN($K$43)</f>
        <v>#VALUE!</v>
      </c>
      <c r="AQ49" s="79" t="e">
        <f>IF(($A49&lt;'Alternative 2'!$B$27),(($H49*'Alternative 2'!$B$39)+(3*($N$42/3)*COS($K$43))),IF(($A49&lt;'Alternative 2'!$B$28),(($H49*'Alternative 2'!$B$39)+(2*(($N$42/3)*COS($K$43)))),IF(($A49&lt;'Alternative 2'!$B$29),(($H$3*'Alternative 2'!$B$39+(($N$42/3)*COS($K$43)))),($H49*'Alternative 2'!$B$39))))</f>
        <v>#VALUE!</v>
      </c>
      <c r="AR49" s="78" t="e">
        <f>AP49*'Alternative 2'!$K50/'Alternative 2'!$L50</f>
        <v>#VALUE!</v>
      </c>
      <c r="AS49" s="78" t="e">
        <f>AQ49/'Alternative 2'!$M50</f>
        <v>#VALUE!</v>
      </c>
      <c r="AT49" s="78" t="e">
        <f t="shared" si="6"/>
        <v>#VALUE!</v>
      </c>
      <c r="AV49" s="78" t="e">
        <f>'Alternative 2'!$B$39*$B49*$C49*COS($K$53)-($N$52/3)*$E49*SIN($K$53)-($N$52/3)*$F49*SIN($K$53)-($N$52/3)*$G49*SIN($K$53)</f>
        <v>#VALUE!</v>
      </c>
      <c r="AW49" s="79" t="e">
        <f>IF(($A49&lt;'Alternative 2'!$B$27),(($H49*'Alternative 2'!$B$39)+(3*($N$52/3)*COS($K$53))),IF(($A49&lt;'Alternative 2'!$B$28),(($H49*'Alternative 2'!$B$39)+(2*(($N$52/3)*COS($K$53)))),IF(($A49&lt;'Alternative 2'!$B$29),(($H$3*'Alternative 2'!$B$39+(($N$52/3)*COS($K$53)))),($H49*'Alternative 2'!$B$39))))</f>
        <v>#VALUE!</v>
      </c>
      <c r="AX49" s="78" t="e">
        <f>AV49*'Alternative 2'!$K50/'Alternative 2'!$L50</f>
        <v>#VALUE!</v>
      </c>
      <c r="AY49" s="78" t="e">
        <f>AW49/'Alternative 2'!$M50</f>
        <v>#VALUE!</v>
      </c>
      <c r="AZ49" s="78" t="e">
        <f t="shared" si="7"/>
        <v>#VALUE!</v>
      </c>
      <c r="BB49" s="78" t="e">
        <f>'Alternative 2'!$B$39*$B49*$C49*COS($K$63)-($N$62/3)*$E49*SIN($K$63)-($N$62/3)*$F49*SIN($K$63)-($N$62/3)*$G49*SIN($K$63)</f>
        <v>#VALUE!</v>
      </c>
      <c r="BC49" s="79" t="e">
        <f>IF(($A49&lt;'Alternative 2'!$B$27),(($H49*'Alternative 2'!$B$39)+(3*($N$62/3)*COS($K$63))),IF(($A49&lt;'Alternative 2'!$B$28),(($H49*'Alternative 2'!$B$39)+(2*(($N$62/3)*COS($K$63)))),IF(($A49&lt;'Alternative 2'!$B$29),(($H$3*'Alternative 2'!$B$39+(($N$62/3)*COS($K$63)))),($H49*'Alternative 2'!$B$39))))</f>
        <v>#VALUE!</v>
      </c>
      <c r="BD49" s="78" t="e">
        <f>BB49*'Alternative 2'!$K50/'Alternative 2'!$L50</f>
        <v>#VALUE!</v>
      </c>
      <c r="BE49" s="78" t="e">
        <f>BC49/'Alternative 2'!$M50</f>
        <v>#VALUE!</v>
      </c>
      <c r="BF49" s="78" t="e">
        <f t="shared" si="8"/>
        <v>#VALUE!</v>
      </c>
      <c r="BH49" s="78" t="e">
        <f>'Alternative 2'!$B$39*$B49*$C49*COS($K$73)-($N$72/3)*$E49*SIN($K$73)-($N$72/3)*$F49*SIN($K$73)-($N$72/3)*$G49*SIN($K$73)</f>
        <v>#VALUE!</v>
      </c>
      <c r="BI49" s="79" t="e">
        <f>IF(($A49&lt;'Alternative 2'!$B$27),(($H49*'Alternative 2'!$B$39)+(3*($N$72/3)*COS($K$73))),IF(($A49&lt;'Alternative 2'!$B$28),(($H49*'Alternative 2'!$B$39)+(2*(($N$72/3)*COS($K$73)))),IF(($A49&lt;'Alternative 2'!$B$29),(($H$3*'Alternative 2'!$B$39+(($N$72/3)*COS($K$73)))),($H49*'Alternative 2'!$B$39))))</f>
        <v>#VALUE!</v>
      </c>
      <c r="BJ49" s="78" t="e">
        <f>BH49*'Alternative 2'!$K50/'Alternative 2'!$L50</f>
        <v>#VALUE!</v>
      </c>
      <c r="BK49" s="78" t="e">
        <f>BI49/'Alternative 2'!$M50</f>
        <v>#VALUE!</v>
      </c>
      <c r="BL49" s="78" t="e">
        <f t="shared" si="9"/>
        <v>#VALUE!</v>
      </c>
      <c r="BN49" s="78" t="e">
        <f>'Alternative 2'!$B$39*$B49*$C49*COS($K$83)-($N$82/3)*$E49*SIN($K$83)-($N$82/3)*$F49*SIN($K$83)-($N$82/3)*$G49*SIN($K$83)</f>
        <v>#VALUE!</v>
      </c>
      <c r="BO49" s="79" t="e">
        <f>IF(($A49&lt;'Alternative 2'!$B$27),(($H49*'Alternative 2'!$B$39)+(3*($N$82/3)*COS($K$83))),IF(($A49&lt;'Alternative 2'!$B$28),(($H49*'Alternative 2'!$B$39)+(2*(($N$82/3)*COS($K$83)))),IF(($A49&lt;'Alternative 2'!$B$29),(($H$3*'Alternative 2'!$B$39+(($N$82/3)*COS($K$83)))),($H49*'Alternative 2'!$B$39))))</f>
        <v>#VALUE!</v>
      </c>
      <c r="BP49" s="78" t="e">
        <f>BN49*'Alternative 2'!$K50/'Alternative 2'!$L50</f>
        <v>#VALUE!</v>
      </c>
      <c r="BQ49" s="78" t="e">
        <f>BO49/'Alternative 2'!$M50</f>
        <v>#VALUE!</v>
      </c>
      <c r="BR49" s="78" t="e">
        <f t="shared" si="10"/>
        <v>#VALUE!</v>
      </c>
      <c r="BT49" s="78" t="e">
        <f>'Alternative 2'!$B$39*$B49*$C49*COS($K$93)-($K$92/3)*$E49*SIN($K$93)-($K$92/3)*$F49*SIN($K$93)-($K$92/3)*$G49*SIN($K$93)</f>
        <v>#VALUE!</v>
      </c>
      <c r="BU49" s="79" t="e">
        <f>IF(($A49&lt;'Alternative 2'!$B$27),(($H49*'Alternative 2'!$B$39)+(3*($N$92/3)*COS($K$93))),IF(($A49&lt;'Alternative 2'!$B$28),(($H49*'Alternative 2'!$B$39)+(2*(($N$92/3)*COS($K$93)))),IF(($A49&lt;'Alternative 2'!$B$29),(($H$3*'Alternative 2'!$B$39+(($N$92/3)*COS($K$93)))),($H49*'Alternative 2'!$B$39))))</f>
        <v>#VALUE!</v>
      </c>
      <c r="BV49" s="78" t="e">
        <f>BT49*'Alternative 2'!$K50/'Alternative 2'!$L50</f>
        <v>#VALUE!</v>
      </c>
      <c r="BW49" s="78" t="e">
        <f>BU49/'Alternative 2'!$M50</f>
        <v>#VALUE!</v>
      </c>
      <c r="BX49" s="78" t="e">
        <f t="shared" si="11"/>
        <v>#VALUE!</v>
      </c>
      <c r="BZ49" s="77">
        <v>150</v>
      </c>
      <c r="CA49" s="77">
        <v>-150</v>
      </c>
    </row>
    <row r="50" spans="1:79" ht="15" customHeight="1" x14ac:dyDescent="0.25">
      <c r="A50" s="13" t="str">
        <f>IF('Alternative 2'!F51&gt;0,'Alternative 2'!F51,"x")</f>
        <v>x</v>
      </c>
      <c r="B50" s="13" t="e">
        <f t="shared" si="17"/>
        <v>#VALUE!</v>
      </c>
      <c r="C50" s="13">
        <f t="shared" si="12"/>
        <v>0</v>
      </c>
      <c r="D50" s="13" t="str">
        <f t="shared" si="13"/>
        <v>x</v>
      </c>
      <c r="E50" s="74">
        <f>IF($A50&lt;='Alternative 2'!$B$27, IF($A50='Alternative 2'!$B$27,0,E51+1),0)</f>
        <v>0</v>
      </c>
      <c r="F50" s="74">
        <f>IF($A50&lt;=('Alternative 2'!$B$28), IF($A50=ROUNDDOWN('Alternative 2'!$B$28,0),0,F51+1),0)</f>
        <v>0</v>
      </c>
      <c r="G50" s="74">
        <f>IF($A50&lt;=('Alternative 2'!$B$29), IF($A50=ROUNDDOWN('Alternative 2'!$B$29,0),0,G51+1),0)</f>
        <v>0</v>
      </c>
      <c r="H50" s="13" t="e">
        <f t="shared" si="14"/>
        <v>#VALUE!</v>
      </c>
      <c r="J50" s="77">
        <f t="shared" si="15"/>
        <v>47</v>
      </c>
      <c r="K50" s="77">
        <f t="shared" si="16"/>
        <v>0.82030474843733492</v>
      </c>
      <c r="L50" s="78">
        <f>'Alternative 2'!$B$27*SIN(K50)+'Alternative 2'!$B$28*SIN(K50)+'Alternative 2'!$B$29*SIN(K50)</f>
        <v>49.73205171010359</v>
      </c>
      <c r="M50" s="77">
        <f>(('Alternative 2'!$B$27)*(((('Alternative 2'!$B$28-'Alternative 2'!$B$27)/2)+'Alternative 2'!$B$27)*'Alternative 2'!$B$39)*COS('Alternative 2-Tilt Up'!K50))+(('Alternative 2'!$B$28)*((('Alternative 2'!$B$28-'Alternative 2'!$B$27)/2)+(('Alternative 2'!$B$29-'Alternative 2'!$B$28)/2))*('Alternative 2'!$B$39)*COS('Alternative 2-Tilt Up'!K50))+(('Alternative 2'!$B$29)*((('Alternative 2'!$B$12-'Alternative 2'!$B$29+(('Alternative 2'!$B$29-'Alternative 2'!$B$28)/2)*('Alternative 2'!$B$39)*COS('Alternative 2-Tilt Up'!K50)))))</f>
        <v>3236903.1003722595</v>
      </c>
      <c r="N50" s="77">
        <f t="shared" si="0"/>
        <v>195260.58079650768</v>
      </c>
      <c r="O50" s="77">
        <f>(((('Alternative 2'!$B$28-'Alternative 2'!$B$27)/2)+'Alternative 2'!$B$27)*('Alternative 2'!$B$39)*COS('Alternative 2-Tilt Up'!K50))+(((('Alternative 2'!$B$28-'Alternative 2'!$B$27)/2)+(('Alternative 2'!$B$29-'Alternative 2'!$B$28)/2))*('Alternative 2'!$B$39)*COS('Alternative 2-Tilt Up'!K50))+(((('Alternative 2'!$B$12-'Alternative 2'!$B$29)+(('Alternative 2'!$B$29-'Alternative 2'!$B$28)/2))*('Alternative 2'!$B$39)*COS('Alternative 2-Tilt Up'!K50)))</f>
        <v>208773.27430074304</v>
      </c>
      <c r="P50" s="77">
        <f t="shared" si="1"/>
        <v>133167.39588806921</v>
      </c>
      <c r="R50" s="78" t="e">
        <f>'Alternative 2'!$B$39*$B50*$C50*COS($K$5)-($N$5/3)*$E50*SIN($K$5)-($N$5/3)*$F50*SIN($K$5)-($N$5/3)*$G50*SIN($K$5)</f>
        <v>#VALUE!</v>
      </c>
      <c r="S50" s="79" t="e">
        <f>IF(($A50&lt;'Alternative 2'!$B$27),(($H50*'Alternative 2'!$B$39)+(3*($N$5/3)*COS($K$5))),IF(($A50&lt;'Alternative 2'!$B$28),(($H50*'Alternative 2'!$B$39)+(2*(($N$5/3)*COS($K$5)))),IF(($A50&lt;'Alternative 2'!$B$29),(($H$3*'Alternative 2'!$B$39+(($N$5/3)*COS($K$5)))),($H50*'Alternative 2'!$B$39))))</f>
        <v>#VALUE!</v>
      </c>
      <c r="T50" s="78" t="e">
        <f>R50*'Alternative 2'!$K51/'Alternative 2'!$L51</f>
        <v>#VALUE!</v>
      </c>
      <c r="U50" s="78" t="e">
        <f>S50/'Alternative 2'!$M51</f>
        <v>#VALUE!</v>
      </c>
      <c r="V50" s="78" t="e">
        <f t="shared" si="2"/>
        <v>#VALUE!</v>
      </c>
      <c r="X50" s="78" t="e">
        <f>'Alternative 2'!$B$39*$B50*$C50*COS($K$13)-($N$12/3)*$E50*SIN($K$13)-($N$12/3)*$F50*SIN($K$13)-($N$12/3)*$G50*SIN($K$13)</f>
        <v>#VALUE!</v>
      </c>
      <c r="Y50" s="79" t="e">
        <f>IF(($A50&lt;'Alternative 2'!$B$27),(($H50*'Alternative 2'!$B$39)+(3*($N$12/3)*COS($K$13))),IF(($A50&lt;'Alternative 2'!$B$28),(($H50*'Alternative 2'!$B$39)+(2*(($N$12/3)*COS($K$13)))),IF(($A50&lt;'Alternative 2'!$B$29),(($H$3*'Alternative 2'!$B$39+(($N$12/3)*COS($K$13)))),($H50*'Alternative 2'!$B$39))))</f>
        <v>#VALUE!</v>
      </c>
      <c r="Z50" s="78" t="e">
        <f>X50*'Alternative 2'!$K51/'Alternative 2'!$L51</f>
        <v>#VALUE!</v>
      </c>
      <c r="AA50" s="78" t="e">
        <f>Y50/'Alternative 2'!$M51</f>
        <v>#VALUE!</v>
      </c>
      <c r="AB50" s="78" t="e">
        <f t="shared" si="3"/>
        <v>#VALUE!</v>
      </c>
      <c r="AD50" s="78" t="e">
        <f>'Alternative 2'!$B$39*$B50*$C50*COS($K$23)-($N$22/3)*$E50*SIN($K$23)-($N$22/3)*$F50*SIN($K$23)-($N$22/3)*$G50*SIN($K$23)</f>
        <v>#VALUE!</v>
      </c>
      <c r="AE50" s="79" t="e">
        <f>IF(($A50&lt;'Alternative 2'!$B$27),(($H50*'Alternative 2'!$B$39)+(3*($N$22/3)*COS($K$23))),IF(($A50&lt;'Alternative 2'!$B$28),(($H50*'Alternative 2'!$B$39)+(2*(($N$22/3)*COS($K$23)))),IF(($A50&lt;'Alternative 2'!$B$29),(($H$3*'Alternative 2'!$B$39+(($N$22/3)*COS($K$23)))),($H50*'Alternative 2'!$B$39))))</f>
        <v>#VALUE!</v>
      </c>
      <c r="AF50" s="78" t="e">
        <f>AD50*'Alternative 2'!$K51/'Alternative 2'!$L51</f>
        <v>#VALUE!</v>
      </c>
      <c r="AG50" s="78" t="e">
        <f>AE50/'Alternative 2'!$M51</f>
        <v>#VALUE!</v>
      </c>
      <c r="AH50" s="78" t="e">
        <f t="shared" si="4"/>
        <v>#VALUE!</v>
      </c>
      <c r="AJ50" s="78" t="e">
        <f>'Alternative 2'!$B$39*$B50*$C50*COS($K$33)-($N$32/3)*$E50*SIN($K$33)-($N$32/3)*$F50*SIN($K$33)-($N$32/3)*$G50*SIN($K$33)</f>
        <v>#VALUE!</v>
      </c>
      <c r="AK50" s="79" t="e">
        <f>IF(($A50&lt;'Alternative 2'!$B$27),(($H50*'Alternative 2'!$B$39)+(3*($N$32/3)*COS($K$33))),IF(($A50&lt;'Alternative 2'!$B$28),(($H50*'Alternative 2'!$B$39)+(2*(($N$32/3)*COS($K$33)))),IF(($A50&lt;'Alternative 2'!$B$29),(($H$3*'Alternative 2'!$B$39+(($N$32/3)*COS($K$33)))),($H50*'Alternative 2'!$B$39))))</f>
        <v>#VALUE!</v>
      </c>
      <c r="AL50" s="78" t="e">
        <f>AJ50*'Alternative 2'!$K51/'Alternative 2'!$L51</f>
        <v>#VALUE!</v>
      </c>
      <c r="AM50" s="78" t="e">
        <f>AK50/'Alternative 2'!$M51</f>
        <v>#VALUE!</v>
      </c>
      <c r="AN50" s="78" t="e">
        <f t="shared" si="5"/>
        <v>#VALUE!</v>
      </c>
      <c r="AP50" s="78" t="e">
        <f>'Alternative 2'!$B$39*$B50*$C50*COS($K$43)-($N$42/3)*$E50*SIN($K$43)-($N$42/3)*$F50*SIN($K$43)-($N$42/3)*$G50*SIN($K$43)</f>
        <v>#VALUE!</v>
      </c>
      <c r="AQ50" s="79" t="e">
        <f>IF(($A50&lt;'Alternative 2'!$B$27),(($H50*'Alternative 2'!$B$39)+(3*($N$42/3)*COS($K$43))),IF(($A50&lt;'Alternative 2'!$B$28),(($H50*'Alternative 2'!$B$39)+(2*(($N$42/3)*COS($K$43)))),IF(($A50&lt;'Alternative 2'!$B$29),(($H$3*'Alternative 2'!$B$39+(($N$42/3)*COS($K$43)))),($H50*'Alternative 2'!$B$39))))</f>
        <v>#VALUE!</v>
      </c>
      <c r="AR50" s="78" t="e">
        <f>AP50*'Alternative 2'!$K51/'Alternative 2'!$L51</f>
        <v>#VALUE!</v>
      </c>
      <c r="AS50" s="78" t="e">
        <f>AQ50/'Alternative 2'!$M51</f>
        <v>#VALUE!</v>
      </c>
      <c r="AT50" s="78" t="e">
        <f t="shared" si="6"/>
        <v>#VALUE!</v>
      </c>
      <c r="AV50" s="78" t="e">
        <f>'Alternative 2'!$B$39*$B50*$C50*COS($K$53)-($N$52/3)*$E50*SIN($K$53)-($N$52/3)*$F50*SIN($K$53)-($N$52/3)*$G50*SIN($K$53)</f>
        <v>#VALUE!</v>
      </c>
      <c r="AW50" s="79" t="e">
        <f>IF(($A50&lt;'Alternative 2'!$B$27),(($H50*'Alternative 2'!$B$39)+(3*($N$52/3)*COS($K$53))),IF(($A50&lt;'Alternative 2'!$B$28),(($H50*'Alternative 2'!$B$39)+(2*(($N$52/3)*COS($K$53)))),IF(($A50&lt;'Alternative 2'!$B$29),(($H$3*'Alternative 2'!$B$39+(($N$52/3)*COS($K$53)))),($H50*'Alternative 2'!$B$39))))</f>
        <v>#VALUE!</v>
      </c>
      <c r="AX50" s="78" t="e">
        <f>AV50*'Alternative 2'!$K51/'Alternative 2'!$L51</f>
        <v>#VALUE!</v>
      </c>
      <c r="AY50" s="78" t="e">
        <f>AW50/'Alternative 2'!$M51</f>
        <v>#VALUE!</v>
      </c>
      <c r="AZ50" s="78" t="e">
        <f t="shared" si="7"/>
        <v>#VALUE!</v>
      </c>
      <c r="BB50" s="78" t="e">
        <f>'Alternative 2'!$B$39*$B50*$C50*COS($K$63)-($N$62/3)*$E50*SIN($K$63)-($N$62/3)*$F50*SIN($K$63)-($N$62/3)*$G50*SIN($K$63)</f>
        <v>#VALUE!</v>
      </c>
      <c r="BC50" s="79" t="e">
        <f>IF(($A50&lt;'Alternative 2'!$B$27),(($H50*'Alternative 2'!$B$39)+(3*($N$62/3)*COS($K$63))),IF(($A50&lt;'Alternative 2'!$B$28),(($H50*'Alternative 2'!$B$39)+(2*(($N$62/3)*COS($K$63)))),IF(($A50&lt;'Alternative 2'!$B$29),(($H$3*'Alternative 2'!$B$39+(($N$62/3)*COS($K$63)))),($H50*'Alternative 2'!$B$39))))</f>
        <v>#VALUE!</v>
      </c>
      <c r="BD50" s="78" t="e">
        <f>BB50*'Alternative 2'!$K51/'Alternative 2'!$L51</f>
        <v>#VALUE!</v>
      </c>
      <c r="BE50" s="78" t="e">
        <f>BC50/'Alternative 2'!$M51</f>
        <v>#VALUE!</v>
      </c>
      <c r="BF50" s="78" t="e">
        <f t="shared" si="8"/>
        <v>#VALUE!</v>
      </c>
      <c r="BH50" s="78" t="e">
        <f>'Alternative 2'!$B$39*$B50*$C50*COS($K$73)-($N$72/3)*$E50*SIN($K$73)-($N$72/3)*$F50*SIN($K$73)-($N$72/3)*$G50*SIN($K$73)</f>
        <v>#VALUE!</v>
      </c>
      <c r="BI50" s="79" t="e">
        <f>IF(($A50&lt;'Alternative 2'!$B$27),(($H50*'Alternative 2'!$B$39)+(3*($N$72/3)*COS($K$73))),IF(($A50&lt;'Alternative 2'!$B$28),(($H50*'Alternative 2'!$B$39)+(2*(($N$72/3)*COS($K$73)))),IF(($A50&lt;'Alternative 2'!$B$29),(($H$3*'Alternative 2'!$B$39+(($N$72/3)*COS($K$73)))),($H50*'Alternative 2'!$B$39))))</f>
        <v>#VALUE!</v>
      </c>
      <c r="BJ50" s="78" t="e">
        <f>BH50*'Alternative 2'!$K51/'Alternative 2'!$L51</f>
        <v>#VALUE!</v>
      </c>
      <c r="BK50" s="78" t="e">
        <f>BI50/'Alternative 2'!$M51</f>
        <v>#VALUE!</v>
      </c>
      <c r="BL50" s="78" t="e">
        <f t="shared" si="9"/>
        <v>#VALUE!</v>
      </c>
      <c r="BN50" s="78" t="e">
        <f>'Alternative 2'!$B$39*$B50*$C50*COS($K$83)-($N$82/3)*$E50*SIN($K$83)-($N$82/3)*$F50*SIN($K$83)-($N$82/3)*$G50*SIN($K$83)</f>
        <v>#VALUE!</v>
      </c>
      <c r="BO50" s="79" t="e">
        <f>IF(($A50&lt;'Alternative 2'!$B$27),(($H50*'Alternative 2'!$B$39)+(3*($N$82/3)*COS($K$83))),IF(($A50&lt;'Alternative 2'!$B$28),(($H50*'Alternative 2'!$B$39)+(2*(($N$82/3)*COS($K$83)))),IF(($A50&lt;'Alternative 2'!$B$29),(($H$3*'Alternative 2'!$B$39+(($N$82/3)*COS($K$83)))),($H50*'Alternative 2'!$B$39))))</f>
        <v>#VALUE!</v>
      </c>
      <c r="BP50" s="78" t="e">
        <f>BN50*'Alternative 2'!$K51/'Alternative 2'!$L51</f>
        <v>#VALUE!</v>
      </c>
      <c r="BQ50" s="78" t="e">
        <f>BO50/'Alternative 2'!$M51</f>
        <v>#VALUE!</v>
      </c>
      <c r="BR50" s="78" t="e">
        <f t="shared" si="10"/>
        <v>#VALUE!</v>
      </c>
      <c r="BT50" s="78" t="e">
        <f>'Alternative 2'!$B$39*$B50*$C50*COS($K$93)-($K$92/3)*$E50*SIN($K$93)-($K$92/3)*$F50*SIN($K$93)-($K$92/3)*$G50*SIN($K$93)</f>
        <v>#VALUE!</v>
      </c>
      <c r="BU50" s="79" t="e">
        <f>IF(($A50&lt;'Alternative 2'!$B$27),(($H50*'Alternative 2'!$B$39)+(3*($N$92/3)*COS($K$93))),IF(($A50&lt;'Alternative 2'!$B$28),(($H50*'Alternative 2'!$B$39)+(2*(($N$92/3)*COS($K$93)))),IF(($A50&lt;'Alternative 2'!$B$29),(($H$3*'Alternative 2'!$B$39+(($N$92/3)*COS($K$93)))),($H50*'Alternative 2'!$B$39))))</f>
        <v>#VALUE!</v>
      </c>
      <c r="BV50" s="78" t="e">
        <f>BT50*'Alternative 2'!$K51/'Alternative 2'!$L51</f>
        <v>#VALUE!</v>
      </c>
      <c r="BW50" s="78" t="e">
        <f>BU50/'Alternative 2'!$M51</f>
        <v>#VALUE!</v>
      </c>
      <c r="BX50" s="78" t="e">
        <f t="shared" si="11"/>
        <v>#VALUE!</v>
      </c>
      <c r="BZ50" s="77">
        <v>150</v>
      </c>
      <c r="CA50" s="77">
        <v>-150</v>
      </c>
    </row>
    <row r="51" spans="1:79" ht="15" customHeight="1" x14ac:dyDescent="0.25">
      <c r="A51" s="13" t="str">
        <f>IF('Alternative 2'!F52&gt;0,'Alternative 2'!F52,"x")</f>
        <v>x</v>
      </c>
      <c r="B51" s="13" t="e">
        <f t="shared" si="17"/>
        <v>#VALUE!</v>
      </c>
      <c r="C51" s="13">
        <f t="shared" si="12"/>
        <v>0</v>
      </c>
      <c r="D51" s="13" t="str">
        <f t="shared" si="13"/>
        <v>x</v>
      </c>
      <c r="E51" s="74">
        <f>IF($A51&lt;='Alternative 2'!$B$27, IF($A51='Alternative 2'!$B$27,0,E52+1),0)</f>
        <v>0</v>
      </c>
      <c r="F51" s="74">
        <f>IF($A51&lt;=('Alternative 2'!$B$28), IF($A51=ROUNDDOWN('Alternative 2'!$B$28,0),0,F52+1),0)</f>
        <v>0</v>
      </c>
      <c r="G51" s="74">
        <f>IF($A51&lt;=('Alternative 2'!$B$29), IF($A51=ROUNDDOWN('Alternative 2'!$B$29,0),0,G52+1),0)</f>
        <v>0</v>
      </c>
      <c r="H51" s="13" t="e">
        <f t="shared" si="14"/>
        <v>#VALUE!</v>
      </c>
      <c r="J51" s="77">
        <f t="shared" si="15"/>
        <v>48</v>
      </c>
      <c r="K51" s="77">
        <f t="shared" si="16"/>
        <v>0.83775804095727813</v>
      </c>
      <c r="L51" s="78">
        <f>'Alternative 2'!$B$27*SIN(K51)+'Alternative 2'!$B$28*SIN(K51)+'Alternative 2'!$B$29*SIN(K51)</f>
        <v>50.533848132462801</v>
      </c>
      <c r="M51" s="77">
        <f>(('Alternative 2'!$B$27)*(((('Alternative 2'!$B$28-'Alternative 2'!$B$27)/2)+'Alternative 2'!$B$27)*'Alternative 2'!$B$39)*COS('Alternative 2-Tilt Up'!K51))+(('Alternative 2'!$B$28)*((('Alternative 2'!$B$28-'Alternative 2'!$B$27)/2)+(('Alternative 2'!$B$29-'Alternative 2'!$B$28)/2))*('Alternative 2'!$B$39)*COS('Alternative 2-Tilt Up'!K51))+(('Alternative 2'!$B$29)*((('Alternative 2'!$B$12-'Alternative 2'!$B$29+(('Alternative 2'!$B$29-'Alternative 2'!$B$28)/2)*('Alternative 2'!$B$39)*COS('Alternative 2-Tilt Up'!K51)))))</f>
        <v>3175833.8119922825</v>
      </c>
      <c r="N51" s="77">
        <f t="shared" si="0"/>
        <v>188537.02593562054</v>
      </c>
      <c r="O51" s="77">
        <f>(((('Alternative 2'!$B$28-'Alternative 2'!$B$27)/2)+'Alternative 2'!$B$27)*('Alternative 2'!$B$39)*COS('Alternative 2-Tilt Up'!K51))+(((('Alternative 2'!$B$28-'Alternative 2'!$B$27)/2)+(('Alternative 2'!$B$29-'Alternative 2'!$B$28)/2))*('Alternative 2'!$B$39)*COS('Alternative 2-Tilt Up'!K51))+(((('Alternative 2'!$B$12-'Alternative 2'!$B$29)+(('Alternative 2'!$B$29-'Alternative 2'!$B$28)/2))*('Alternative 2'!$B$39)*COS('Alternative 2-Tilt Up'!K51)))</f>
        <v>204834.19873851104</v>
      </c>
      <c r="P51" s="77">
        <f t="shared" si="1"/>
        <v>126155.89448539756</v>
      </c>
      <c r="R51" s="78" t="e">
        <f>'Alternative 2'!$B$39*$B51*$C51*COS($K$5)-($N$5/3)*$E51*SIN($K$5)-($N$5/3)*$F51*SIN($K$5)-($N$5/3)*$G51*SIN($K$5)</f>
        <v>#VALUE!</v>
      </c>
      <c r="S51" s="79" t="e">
        <f>IF(($A51&lt;'Alternative 2'!$B$27),(($H51*'Alternative 2'!$B$39)+(3*($N$5/3)*COS($K$5))),IF(($A51&lt;'Alternative 2'!$B$28),(($H51*'Alternative 2'!$B$39)+(2*(($N$5/3)*COS($K$5)))),IF(($A51&lt;'Alternative 2'!$B$29),(($H$3*'Alternative 2'!$B$39+(($N$5/3)*COS($K$5)))),($H51*'Alternative 2'!$B$39))))</f>
        <v>#VALUE!</v>
      </c>
      <c r="T51" s="78" t="e">
        <f>R51*'Alternative 2'!$K52/'Alternative 2'!$L52</f>
        <v>#VALUE!</v>
      </c>
      <c r="U51" s="78" t="e">
        <f>S51/'Alternative 2'!$M52</f>
        <v>#VALUE!</v>
      </c>
      <c r="V51" s="78" t="e">
        <f t="shared" si="2"/>
        <v>#VALUE!</v>
      </c>
      <c r="X51" s="78" t="e">
        <f>'Alternative 2'!$B$39*$B51*$C51*COS($K$13)-($N$12/3)*$E51*SIN($K$13)-($N$12/3)*$F51*SIN($K$13)-($N$12/3)*$G51*SIN($K$13)</f>
        <v>#VALUE!</v>
      </c>
      <c r="Y51" s="79" t="e">
        <f>IF(($A51&lt;'Alternative 2'!$B$27),(($H51*'Alternative 2'!$B$39)+(3*($N$12/3)*COS($K$13))),IF(($A51&lt;'Alternative 2'!$B$28),(($H51*'Alternative 2'!$B$39)+(2*(($N$12/3)*COS($K$13)))),IF(($A51&lt;'Alternative 2'!$B$29),(($H$3*'Alternative 2'!$B$39+(($N$12/3)*COS($K$13)))),($H51*'Alternative 2'!$B$39))))</f>
        <v>#VALUE!</v>
      </c>
      <c r="Z51" s="78" t="e">
        <f>X51*'Alternative 2'!$K52/'Alternative 2'!$L52</f>
        <v>#VALUE!</v>
      </c>
      <c r="AA51" s="78" t="e">
        <f>Y51/'Alternative 2'!$M52</f>
        <v>#VALUE!</v>
      </c>
      <c r="AB51" s="78" t="e">
        <f t="shared" si="3"/>
        <v>#VALUE!</v>
      </c>
      <c r="AD51" s="78" t="e">
        <f>'Alternative 2'!$B$39*$B51*$C51*COS($K$23)-($N$22/3)*$E51*SIN($K$23)-($N$22/3)*$F51*SIN($K$23)-($N$22/3)*$G51*SIN($K$23)</f>
        <v>#VALUE!</v>
      </c>
      <c r="AE51" s="79" t="e">
        <f>IF(($A51&lt;'Alternative 2'!$B$27),(($H51*'Alternative 2'!$B$39)+(3*($N$22/3)*COS($K$23))),IF(($A51&lt;'Alternative 2'!$B$28),(($H51*'Alternative 2'!$B$39)+(2*(($N$22/3)*COS($K$23)))),IF(($A51&lt;'Alternative 2'!$B$29),(($H$3*'Alternative 2'!$B$39+(($N$22/3)*COS($K$23)))),($H51*'Alternative 2'!$B$39))))</f>
        <v>#VALUE!</v>
      </c>
      <c r="AF51" s="78" t="e">
        <f>AD51*'Alternative 2'!$K52/'Alternative 2'!$L52</f>
        <v>#VALUE!</v>
      </c>
      <c r="AG51" s="78" t="e">
        <f>AE51/'Alternative 2'!$M52</f>
        <v>#VALUE!</v>
      </c>
      <c r="AH51" s="78" t="e">
        <f t="shared" si="4"/>
        <v>#VALUE!</v>
      </c>
      <c r="AJ51" s="78" t="e">
        <f>'Alternative 2'!$B$39*$B51*$C51*COS($K$33)-($N$32/3)*$E51*SIN($K$33)-($N$32/3)*$F51*SIN($K$33)-($N$32/3)*$G51*SIN($K$33)</f>
        <v>#VALUE!</v>
      </c>
      <c r="AK51" s="79" t="e">
        <f>IF(($A51&lt;'Alternative 2'!$B$27),(($H51*'Alternative 2'!$B$39)+(3*($N$32/3)*COS($K$33))),IF(($A51&lt;'Alternative 2'!$B$28),(($H51*'Alternative 2'!$B$39)+(2*(($N$32/3)*COS($K$33)))),IF(($A51&lt;'Alternative 2'!$B$29),(($H$3*'Alternative 2'!$B$39+(($N$32/3)*COS($K$33)))),($H51*'Alternative 2'!$B$39))))</f>
        <v>#VALUE!</v>
      </c>
      <c r="AL51" s="78" t="e">
        <f>AJ51*'Alternative 2'!$K52/'Alternative 2'!$L52</f>
        <v>#VALUE!</v>
      </c>
      <c r="AM51" s="78" t="e">
        <f>AK51/'Alternative 2'!$M52</f>
        <v>#VALUE!</v>
      </c>
      <c r="AN51" s="78" t="e">
        <f t="shared" si="5"/>
        <v>#VALUE!</v>
      </c>
      <c r="AP51" s="78" t="e">
        <f>'Alternative 2'!$B$39*$B51*$C51*COS($K$43)-($N$42/3)*$E51*SIN($K$43)-($N$42/3)*$F51*SIN($K$43)-($N$42/3)*$G51*SIN($K$43)</f>
        <v>#VALUE!</v>
      </c>
      <c r="AQ51" s="79" t="e">
        <f>IF(($A51&lt;'Alternative 2'!$B$27),(($H51*'Alternative 2'!$B$39)+(3*($N$42/3)*COS($K$43))),IF(($A51&lt;'Alternative 2'!$B$28),(($H51*'Alternative 2'!$B$39)+(2*(($N$42/3)*COS($K$43)))),IF(($A51&lt;'Alternative 2'!$B$29),(($H$3*'Alternative 2'!$B$39+(($N$42/3)*COS($K$43)))),($H51*'Alternative 2'!$B$39))))</f>
        <v>#VALUE!</v>
      </c>
      <c r="AR51" s="78" t="e">
        <f>AP51*'Alternative 2'!$K52/'Alternative 2'!$L52</f>
        <v>#VALUE!</v>
      </c>
      <c r="AS51" s="78" t="e">
        <f>AQ51/'Alternative 2'!$M52</f>
        <v>#VALUE!</v>
      </c>
      <c r="AT51" s="78" t="e">
        <f t="shared" si="6"/>
        <v>#VALUE!</v>
      </c>
      <c r="AV51" s="78" t="e">
        <f>'Alternative 2'!$B$39*$B51*$C51*COS($K$53)-($N$52/3)*$E51*SIN($K$53)-($N$52/3)*$F51*SIN($K$53)-($N$52/3)*$G51*SIN($K$53)</f>
        <v>#VALUE!</v>
      </c>
      <c r="AW51" s="79" t="e">
        <f>IF(($A51&lt;'Alternative 2'!$B$27),(($H51*'Alternative 2'!$B$39)+(3*($N$52/3)*COS($K$53))),IF(($A51&lt;'Alternative 2'!$B$28),(($H51*'Alternative 2'!$B$39)+(2*(($N$52/3)*COS($K$53)))),IF(($A51&lt;'Alternative 2'!$B$29),(($H$3*'Alternative 2'!$B$39+(($N$52/3)*COS($K$53)))),($H51*'Alternative 2'!$B$39))))</f>
        <v>#VALUE!</v>
      </c>
      <c r="AX51" s="78" t="e">
        <f>AV51*'Alternative 2'!$K52/'Alternative 2'!$L52</f>
        <v>#VALUE!</v>
      </c>
      <c r="AY51" s="78" t="e">
        <f>AW51/'Alternative 2'!$M52</f>
        <v>#VALUE!</v>
      </c>
      <c r="AZ51" s="78" t="e">
        <f t="shared" si="7"/>
        <v>#VALUE!</v>
      </c>
      <c r="BB51" s="78" t="e">
        <f>'Alternative 2'!$B$39*$B51*$C51*COS($K$63)-($N$62/3)*$E51*SIN($K$63)-($N$62/3)*$F51*SIN($K$63)-($N$62/3)*$G51*SIN($K$63)</f>
        <v>#VALUE!</v>
      </c>
      <c r="BC51" s="79" t="e">
        <f>IF(($A51&lt;'Alternative 2'!$B$27),(($H51*'Alternative 2'!$B$39)+(3*($N$62/3)*COS($K$63))),IF(($A51&lt;'Alternative 2'!$B$28),(($H51*'Alternative 2'!$B$39)+(2*(($N$62/3)*COS($K$63)))),IF(($A51&lt;'Alternative 2'!$B$29),(($H$3*'Alternative 2'!$B$39+(($N$62/3)*COS($K$63)))),($H51*'Alternative 2'!$B$39))))</f>
        <v>#VALUE!</v>
      </c>
      <c r="BD51" s="78" t="e">
        <f>BB51*'Alternative 2'!$K52/'Alternative 2'!$L52</f>
        <v>#VALUE!</v>
      </c>
      <c r="BE51" s="78" t="e">
        <f>BC51/'Alternative 2'!$M52</f>
        <v>#VALUE!</v>
      </c>
      <c r="BF51" s="78" t="e">
        <f t="shared" si="8"/>
        <v>#VALUE!</v>
      </c>
      <c r="BH51" s="78" t="e">
        <f>'Alternative 2'!$B$39*$B51*$C51*COS($K$73)-($N$72/3)*$E51*SIN($K$73)-($N$72/3)*$F51*SIN($K$73)-($N$72/3)*$G51*SIN($K$73)</f>
        <v>#VALUE!</v>
      </c>
      <c r="BI51" s="79" t="e">
        <f>IF(($A51&lt;'Alternative 2'!$B$27),(($H51*'Alternative 2'!$B$39)+(3*($N$72/3)*COS($K$73))),IF(($A51&lt;'Alternative 2'!$B$28),(($H51*'Alternative 2'!$B$39)+(2*(($N$72/3)*COS($K$73)))),IF(($A51&lt;'Alternative 2'!$B$29),(($H$3*'Alternative 2'!$B$39+(($N$72/3)*COS($K$73)))),($H51*'Alternative 2'!$B$39))))</f>
        <v>#VALUE!</v>
      </c>
      <c r="BJ51" s="78" t="e">
        <f>BH51*'Alternative 2'!$K52/'Alternative 2'!$L52</f>
        <v>#VALUE!</v>
      </c>
      <c r="BK51" s="78" t="e">
        <f>BI51/'Alternative 2'!$M52</f>
        <v>#VALUE!</v>
      </c>
      <c r="BL51" s="78" t="e">
        <f t="shared" si="9"/>
        <v>#VALUE!</v>
      </c>
      <c r="BN51" s="78" t="e">
        <f>'Alternative 2'!$B$39*$B51*$C51*COS($K$83)-($N$82/3)*$E51*SIN($K$83)-($N$82/3)*$F51*SIN($K$83)-($N$82/3)*$G51*SIN($K$83)</f>
        <v>#VALUE!</v>
      </c>
      <c r="BO51" s="79" t="e">
        <f>IF(($A51&lt;'Alternative 2'!$B$27),(($H51*'Alternative 2'!$B$39)+(3*($N$82/3)*COS($K$83))),IF(($A51&lt;'Alternative 2'!$B$28),(($H51*'Alternative 2'!$B$39)+(2*(($N$82/3)*COS($K$83)))),IF(($A51&lt;'Alternative 2'!$B$29),(($H$3*'Alternative 2'!$B$39+(($N$82/3)*COS($K$83)))),($H51*'Alternative 2'!$B$39))))</f>
        <v>#VALUE!</v>
      </c>
      <c r="BP51" s="78" t="e">
        <f>BN51*'Alternative 2'!$K52/'Alternative 2'!$L52</f>
        <v>#VALUE!</v>
      </c>
      <c r="BQ51" s="78" t="e">
        <f>BO51/'Alternative 2'!$M52</f>
        <v>#VALUE!</v>
      </c>
      <c r="BR51" s="78" t="e">
        <f t="shared" si="10"/>
        <v>#VALUE!</v>
      </c>
      <c r="BT51" s="78" t="e">
        <f>'Alternative 2'!$B$39*$B51*$C51*COS($K$93)-($K$92/3)*$E51*SIN($K$93)-($K$92/3)*$F51*SIN($K$93)-($K$92/3)*$G51*SIN($K$93)</f>
        <v>#VALUE!</v>
      </c>
      <c r="BU51" s="79" t="e">
        <f>IF(($A51&lt;'Alternative 2'!$B$27),(($H51*'Alternative 2'!$B$39)+(3*($N$92/3)*COS($K$93))),IF(($A51&lt;'Alternative 2'!$B$28),(($H51*'Alternative 2'!$B$39)+(2*(($N$92/3)*COS($K$93)))),IF(($A51&lt;'Alternative 2'!$B$29),(($H$3*'Alternative 2'!$B$39+(($N$92/3)*COS($K$93)))),($H51*'Alternative 2'!$B$39))))</f>
        <v>#VALUE!</v>
      </c>
      <c r="BV51" s="78" t="e">
        <f>BT51*'Alternative 2'!$K52/'Alternative 2'!$L52</f>
        <v>#VALUE!</v>
      </c>
      <c r="BW51" s="78" t="e">
        <f>BU51/'Alternative 2'!$M52</f>
        <v>#VALUE!</v>
      </c>
      <c r="BX51" s="78" t="e">
        <f t="shared" si="11"/>
        <v>#VALUE!</v>
      </c>
      <c r="BZ51" s="77">
        <v>150</v>
      </c>
      <c r="CA51" s="77">
        <v>-150</v>
      </c>
    </row>
    <row r="52" spans="1:79" ht="15" customHeight="1" x14ac:dyDescent="0.25">
      <c r="A52" s="13" t="str">
        <f>IF('Alternative 2'!F53&gt;0,'Alternative 2'!F53,"x")</f>
        <v>x</v>
      </c>
      <c r="B52" s="13" t="e">
        <f t="shared" si="17"/>
        <v>#VALUE!</v>
      </c>
      <c r="C52" s="13">
        <f t="shared" si="12"/>
        <v>0</v>
      </c>
      <c r="D52" s="13" t="str">
        <f t="shared" si="13"/>
        <v>x</v>
      </c>
      <c r="E52" s="74">
        <f>IF($A52&lt;='Alternative 2'!$B$27, IF($A52='Alternative 2'!$B$27,0,E53+1),0)</f>
        <v>0</v>
      </c>
      <c r="F52" s="74">
        <f>IF($A52&lt;=('Alternative 2'!$B$28), IF($A52=ROUNDDOWN('Alternative 2'!$B$28,0),0,F53+1),0)</f>
        <v>0</v>
      </c>
      <c r="G52" s="74">
        <f>IF($A52&lt;=('Alternative 2'!$B$29), IF($A52=ROUNDDOWN('Alternative 2'!$B$29,0),0,G53+1),0)</f>
        <v>0</v>
      </c>
      <c r="H52" s="13" t="e">
        <f t="shared" si="14"/>
        <v>#VALUE!</v>
      </c>
      <c r="J52" s="77">
        <f t="shared" si="15"/>
        <v>49</v>
      </c>
      <c r="K52" s="77">
        <f t="shared" si="16"/>
        <v>0.85521133347722145</v>
      </c>
      <c r="L52" s="78">
        <f>'Alternative 2'!$B$27*SIN(K52)+'Alternative 2'!$B$28*SIN(K52)+'Alternative 2'!$B$29*SIN(K52)</f>
        <v>51.320251455148494</v>
      </c>
      <c r="M52" s="77">
        <f>(('Alternative 2'!$B$27)*(((('Alternative 2'!$B$28-'Alternative 2'!$B$27)/2)+'Alternative 2'!$B$27)*'Alternative 2'!$B$39)*COS('Alternative 2-Tilt Up'!K52))+(('Alternative 2'!$B$28)*((('Alternative 2'!$B$28-'Alternative 2'!$B$27)/2)+(('Alternative 2'!$B$29-'Alternative 2'!$B$28)/2))*('Alternative 2'!$B$39)*COS('Alternative 2-Tilt Up'!K52))+(('Alternative 2'!$B$29)*((('Alternative 2'!$B$12-'Alternative 2'!$B$29+(('Alternative 2'!$B$29-'Alternative 2'!$B$28)/2)*('Alternative 2'!$B$39)*COS('Alternative 2-Tilt Up'!K52)))))</f>
        <v>3113797.1934593073</v>
      </c>
      <c r="N52" s="82">
        <f t="shared" si="0"/>
        <v>182021.54735235198</v>
      </c>
      <c r="O52" s="77">
        <f>(((('Alternative 2'!$B$28-'Alternative 2'!$B$27)/2)+'Alternative 2'!$B$27)*('Alternative 2'!$B$39)*COS('Alternative 2-Tilt Up'!K52))+(((('Alternative 2'!$B$28-'Alternative 2'!$B$27)/2)+(('Alternative 2'!$B$29-'Alternative 2'!$B$28)/2))*('Alternative 2'!$B$39)*COS('Alternative 2-Tilt Up'!K52))+(((('Alternative 2'!$B$12-'Alternative 2'!$B$29)+(('Alternative 2'!$B$29-'Alternative 2'!$B$28)/2))*('Alternative 2'!$B$39)*COS('Alternative 2-Tilt Up'!K52)))</f>
        <v>200832.72869506985</v>
      </c>
      <c r="P52" s="77">
        <f t="shared" si="1"/>
        <v>119416.87961133367</v>
      </c>
      <c r="R52" s="78" t="e">
        <f>'Alternative 2'!$B$39*$B52*$C52*COS($K$5)-($N$5/3)*$E52*SIN($K$5)-($N$5/3)*$F52*SIN($K$5)-($N$5/3)*$G52*SIN($K$5)</f>
        <v>#VALUE!</v>
      </c>
      <c r="S52" s="79" t="e">
        <f>IF(($A52&lt;'Alternative 2'!$B$27),(($H52*'Alternative 2'!$B$39)+(3*($N$5/3)*COS($K$5))),IF(($A52&lt;'Alternative 2'!$B$28),(($H52*'Alternative 2'!$B$39)+(2*(($N$5/3)*COS($K$5)))),IF(($A52&lt;'Alternative 2'!$B$29),(($H$3*'Alternative 2'!$B$39+(($N$5/3)*COS($K$5)))),($H52*'Alternative 2'!$B$39))))</f>
        <v>#VALUE!</v>
      </c>
      <c r="T52" s="78" t="e">
        <f>R52*'Alternative 2'!$K53/'Alternative 2'!$L53</f>
        <v>#VALUE!</v>
      </c>
      <c r="U52" s="78" t="e">
        <f>S52/'Alternative 2'!$M53</f>
        <v>#VALUE!</v>
      </c>
      <c r="V52" s="78" t="e">
        <f t="shared" si="2"/>
        <v>#VALUE!</v>
      </c>
      <c r="X52" s="78" t="e">
        <f>'Alternative 2'!$B$39*$B52*$C52*COS($K$13)-($N$12/3)*$E52*SIN($K$13)-($N$12/3)*$F52*SIN($K$13)-($N$12/3)*$G52*SIN($K$13)</f>
        <v>#VALUE!</v>
      </c>
      <c r="Y52" s="79" t="e">
        <f>IF(($A52&lt;'Alternative 2'!$B$27),(($H52*'Alternative 2'!$B$39)+(3*($N$12/3)*COS($K$13))),IF(($A52&lt;'Alternative 2'!$B$28),(($H52*'Alternative 2'!$B$39)+(2*(($N$12/3)*COS($K$13)))),IF(($A52&lt;'Alternative 2'!$B$29),(($H$3*'Alternative 2'!$B$39+(($N$12/3)*COS($K$13)))),($H52*'Alternative 2'!$B$39))))</f>
        <v>#VALUE!</v>
      </c>
      <c r="Z52" s="78" t="e">
        <f>X52*'Alternative 2'!$K53/'Alternative 2'!$L53</f>
        <v>#VALUE!</v>
      </c>
      <c r="AA52" s="78" t="e">
        <f>Y52/'Alternative 2'!$M53</f>
        <v>#VALUE!</v>
      </c>
      <c r="AB52" s="78" t="e">
        <f t="shared" si="3"/>
        <v>#VALUE!</v>
      </c>
      <c r="AD52" s="78" t="e">
        <f>'Alternative 2'!$B$39*$B52*$C52*COS($K$23)-($N$22/3)*$E52*SIN($K$23)-($N$22/3)*$F52*SIN($K$23)-($N$22/3)*$G52*SIN($K$23)</f>
        <v>#VALUE!</v>
      </c>
      <c r="AE52" s="79" t="e">
        <f>IF(($A52&lt;'Alternative 2'!$B$27),(($H52*'Alternative 2'!$B$39)+(3*($N$22/3)*COS($K$23))),IF(($A52&lt;'Alternative 2'!$B$28),(($H52*'Alternative 2'!$B$39)+(2*(($N$22/3)*COS($K$23)))),IF(($A52&lt;'Alternative 2'!$B$29),(($H$3*'Alternative 2'!$B$39+(($N$22/3)*COS($K$23)))),($H52*'Alternative 2'!$B$39))))</f>
        <v>#VALUE!</v>
      </c>
      <c r="AF52" s="78" t="e">
        <f>AD52*'Alternative 2'!$K53/'Alternative 2'!$L53</f>
        <v>#VALUE!</v>
      </c>
      <c r="AG52" s="78" t="e">
        <f>AE52/'Alternative 2'!$M53</f>
        <v>#VALUE!</v>
      </c>
      <c r="AH52" s="78" t="e">
        <f t="shared" si="4"/>
        <v>#VALUE!</v>
      </c>
      <c r="AJ52" s="78" t="e">
        <f>'Alternative 2'!$B$39*$B52*$C52*COS($K$33)-($N$32/3)*$E52*SIN($K$33)-($N$32/3)*$F52*SIN($K$33)-($N$32/3)*$G52*SIN($K$33)</f>
        <v>#VALUE!</v>
      </c>
      <c r="AK52" s="79" t="e">
        <f>IF(($A52&lt;'Alternative 2'!$B$27),(($H52*'Alternative 2'!$B$39)+(3*($N$32/3)*COS($K$33))),IF(($A52&lt;'Alternative 2'!$B$28),(($H52*'Alternative 2'!$B$39)+(2*(($N$32/3)*COS($K$33)))),IF(($A52&lt;'Alternative 2'!$B$29),(($H$3*'Alternative 2'!$B$39+(($N$32/3)*COS($K$33)))),($H52*'Alternative 2'!$B$39))))</f>
        <v>#VALUE!</v>
      </c>
      <c r="AL52" s="78" t="e">
        <f>AJ52*'Alternative 2'!$K53/'Alternative 2'!$L53</f>
        <v>#VALUE!</v>
      </c>
      <c r="AM52" s="78" t="e">
        <f>AK52/'Alternative 2'!$M53</f>
        <v>#VALUE!</v>
      </c>
      <c r="AN52" s="78" t="e">
        <f t="shared" si="5"/>
        <v>#VALUE!</v>
      </c>
      <c r="AP52" s="78" t="e">
        <f>'Alternative 2'!$B$39*$B52*$C52*COS($K$43)-($N$42/3)*$E52*SIN($K$43)-($N$42/3)*$F52*SIN($K$43)-($N$42/3)*$G52*SIN($K$43)</f>
        <v>#VALUE!</v>
      </c>
      <c r="AQ52" s="79" t="e">
        <f>IF(($A52&lt;'Alternative 2'!$B$27),(($H52*'Alternative 2'!$B$39)+(3*($N$42/3)*COS($K$43))),IF(($A52&lt;'Alternative 2'!$B$28),(($H52*'Alternative 2'!$B$39)+(2*(($N$42/3)*COS($K$43)))),IF(($A52&lt;'Alternative 2'!$B$29),(($H$3*'Alternative 2'!$B$39+(($N$42/3)*COS($K$43)))),($H52*'Alternative 2'!$B$39))))</f>
        <v>#VALUE!</v>
      </c>
      <c r="AR52" s="78" t="e">
        <f>AP52*'Alternative 2'!$K53/'Alternative 2'!$L53</f>
        <v>#VALUE!</v>
      </c>
      <c r="AS52" s="78" t="e">
        <f>AQ52/'Alternative 2'!$M53</f>
        <v>#VALUE!</v>
      </c>
      <c r="AT52" s="78" t="e">
        <f t="shared" si="6"/>
        <v>#VALUE!</v>
      </c>
      <c r="AV52" s="78" t="e">
        <f>'Alternative 2'!$B$39*$B52*$C52*COS($K$53)-($N$52/3)*$E52*SIN($K$53)-($N$52/3)*$F52*SIN($K$53)-($N$52/3)*$G52*SIN($K$53)</f>
        <v>#VALUE!</v>
      </c>
      <c r="AW52" s="79" t="e">
        <f>IF(($A52&lt;'Alternative 2'!$B$27),(($H52*'Alternative 2'!$B$39)+(3*($N$52/3)*COS($K$53))),IF(($A52&lt;'Alternative 2'!$B$28),(($H52*'Alternative 2'!$B$39)+(2*(($N$52/3)*COS($K$53)))),IF(($A52&lt;'Alternative 2'!$B$29),(($H$3*'Alternative 2'!$B$39+(($N$52/3)*COS($K$53)))),($H52*'Alternative 2'!$B$39))))</f>
        <v>#VALUE!</v>
      </c>
      <c r="AX52" s="78" t="e">
        <f>AV52*'Alternative 2'!$K53/'Alternative 2'!$L53</f>
        <v>#VALUE!</v>
      </c>
      <c r="AY52" s="78" t="e">
        <f>AW52/'Alternative 2'!$M53</f>
        <v>#VALUE!</v>
      </c>
      <c r="AZ52" s="78" t="e">
        <f t="shared" si="7"/>
        <v>#VALUE!</v>
      </c>
      <c r="BB52" s="78" t="e">
        <f>'Alternative 2'!$B$39*$B52*$C52*COS($K$63)-($N$62/3)*$E52*SIN($K$63)-($N$62/3)*$F52*SIN($K$63)-($N$62/3)*$G52*SIN($K$63)</f>
        <v>#VALUE!</v>
      </c>
      <c r="BC52" s="79" t="e">
        <f>IF(($A52&lt;'Alternative 2'!$B$27),(($H52*'Alternative 2'!$B$39)+(3*($N$62/3)*COS($K$63))),IF(($A52&lt;'Alternative 2'!$B$28),(($H52*'Alternative 2'!$B$39)+(2*(($N$62/3)*COS($K$63)))),IF(($A52&lt;'Alternative 2'!$B$29),(($H$3*'Alternative 2'!$B$39+(($N$62/3)*COS($K$63)))),($H52*'Alternative 2'!$B$39))))</f>
        <v>#VALUE!</v>
      </c>
      <c r="BD52" s="78" t="e">
        <f>BB52*'Alternative 2'!$K53/'Alternative 2'!$L53</f>
        <v>#VALUE!</v>
      </c>
      <c r="BE52" s="78" t="e">
        <f>BC52/'Alternative 2'!$M53</f>
        <v>#VALUE!</v>
      </c>
      <c r="BF52" s="78" t="e">
        <f t="shared" si="8"/>
        <v>#VALUE!</v>
      </c>
      <c r="BH52" s="78" t="e">
        <f>'Alternative 2'!$B$39*$B52*$C52*COS($K$73)-($N$72/3)*$E52*SIN($K$73)-($N$72/3)*$F52*SIN($K$73)-($N$72/3)*$G52*SIN($K$73)</f>
        <v>#VALUE!</v>
      </c>
      <c r="BI52" s="79" t="e">
        <f>IF(($A52&lt;'Alternative 2'!$B$27),(($H52*'Alternative 2'!$B$39)+(3*($N$72/3)*COS($K$73))),IF(($A52&lt;'Alternative 2'!$B$28),(($H52*'Alternative 2'!$B$39)+(2*(($N$72/3)*COS($K$73)))),IF(($A52&lt;'Alternative 2'!$B$29),(($H$3*'Alternative 2'!$B$39+(($N$72/3)*COS($K$73)))),($H52*'Alternative 2'!$B$39))))</f>
        <v>#VALUE!</v>
      </c>
      <c r="BJ52" s="78" t="e">
        <f>BH52*'Alternative 2'!$K53/'Alternative 2'!$L53</f>
        <v>#VALUE!</v>
      </c>
      <c r="BK52" s="78" t="e">
        <f>BI52/'Alternative 2'!$M53</f>
        <v>#VALUE!</v>
      </c>
      <c r="BL52" s="78" t="e">
        <f t="shared" si="9"/>
        <v>#VALUE!</v>
      </c>
      <c r="BN52" s="78" t="e">
        <f>'Alternative 2'!$B$39*$B52*$C52*COS($K$83)-($N$82/3)*$E52*SIN($K$83)-($N$82/3)*$F52*SIN($K$83)-($N$82/3)*$G52*SIN($K$83)</f>
        <v>#VALUE!</v>
      </c>
      <c r="BO52" s="79" t="e">
        <f>IF(($A52&lt;'Alternative 2'!$B$27),(($H52*'Alternative 2'!$B$39)+(3*($N$82/3)*COS($K$83))),IF(($A52&lt;'Alternative 2'!$B$28),(($H52*'Alternative 2'!$B$39)+(2*(($N$82/3)*COS($K$83)))),IF(($A52&lt;'Alternative 2'!$B$29),(($H$3*'Alternative 2'!$B$39+(($N$82/3)*COS($K$83)))),($H52*'Alternative 2'!$B$39))))</f>
        <v>#VALUE!</v>
      </c>
      <c r="BP52" s="78" t="e">
        <f>BN52*'Alternative 2'!$K53/'Alternative 2'!$L53</f>
        <v>#VALUE!</v>
      </c>
      <c r="BQ52" s="78" t="e">
        <f>BO52/'Alternative 2'!$M53</f>
        <v>#VALUE!</v>
      </c>
      <c r="BR52" s="78" t="e">
        <f t="shared" si="10"/>
        <v>#VALUE!</v>
      </c>
      <c r="BT52" s="78" t="e">
        <f>'Alternative 2'!$B$39*$B52*$C52*COS($K$93)-($K$92/3)*$E52*SIN($K$93)-($K$92/3)*$F52*SIN($K$93)-($K$92/3)*$G52*SIN($K$93)</f>
        <v>#VALUE!</v>
      </c>
      <c r="BU52" s="79" t="e">
        <f>IF(($A52&lt;'Alternative 2'!$B$27),(($H52*'Alternative 2'!$B$39)+(3*($N$92/3)*COS($K$93))),IF(($A52&lt;'Alternative 2'!$B$28),(($H52*'Alternative 2'!$B$39)+(2*(($N$92/3)*COS($K$93)))),IF(($A52&lt;'Alternative 2'!$B$29),(($H$3*'Alternative 2'!$B$39+(($N$92/3)*COS($K$93)))),($H52*'Alternative 2'!$B$39))))</f>
        <v>#VALUE!</v>
      </c>
      <c r="BV52" s="78" t="e">
        <f>BT52*'Alternative 2'!$K53/'Alternative 2'!$L53</f>
        <v>#VALUE!</v>
      </c>
      <c r="BW52" s="78" t="e">
        <f>BU52/'Alternative 2'!$M53</f>
        <v>#VALUE!</v>
      </c>
      <c r="BX52" s="78" t="e">
        <f t="shared" si="11"/>
        <v>#VALUE!</v>
      </c>
      <c r="BZ52" s="77">
        <v>150</v>
      </c>
      <c r="CA52" s="77">
        <v>-150</v>
      </c>
    </row>
    <row r="53" spans="1:79" ht="15" customHeight="1" x14ac:dyDescent="0.25">
      <c r="A53" s="13" t="str">
        <f>IF('Alternative 2'!F54&gt;0,'Alternative 2'!F54,"x")</f>
        <v>x</v>
      </c>
      <c r="B53" s="13" t="e">
        <f t="shared" si="17"/>
        <v>#VALUE!</v>
      </c>
      <c r="C53" s="13">
        <f t="shared" si="12"/>
        <v>0</v>
      </c>
      <c r="D53" s="13" t="str">
        <f t="shared" si="13"/>
        <v>x</v>
      </c>
      <c r="E53" s="74">
        <f>IF($A53&lt;='Alternative 2'!$B$27, IF($A53='Alternative 2'!$B$27,0,E54+1),0)</f>
        <v>0</v>
      </c>
      <c r="F53" s="74">
        <f>IF($A53&lt;=('Alternative 2'!$B$28), IF($A53=ROUNDDOWN('Alternative 2'!$B$28,0),0,F54+1),0)</f>
        <v>0</v>
      </c>
      <c r="G53" s="74">
        <f>IF($A53&lt;=('Alternative 2'!$B$29), IF($A53=ROUNDDOWN('Alternative 2'!$B$29,0),0,G54+1),0)</f>
        <v>0</v>
      </c>
      <c r="H53" s="13" t="e">
        <f t="shared" si="14"/>
        <v>#VALUE!</v>
      </c>
      <c r="J53" s="77">
        <f t="shared" si="15"/>
        <v>50</v>
      </c>
      <c r="K53" s="82">
        <f t="shared" si="16"/>
        <v>0.87266462599716477</v>
      </c>
      <c r="L53" s="78">
        <f>'Alternative 2'!$B$27*SIN(K53)+'Alternative 2'!$B$28*SIN(K53)+'Alternative 2'!$B$29*SIN(K53)</f>
        <v>52.091022132090501</v>
      </c>
      <c r="M53" s="77">
        <f>(('Alternative 2'!$B$27)*(((('Alternative 2'!$B$28-'Alternative 2'!$B$27)/2)+'Alternative 2'!$B$27)*'Alternative 2'!$B$39)*COS('Alternative 2-Tilt Up'!K53))+(('Alternative 2'!$B$28)*((('Alternative 2'!$B$28-'Alternative 2'!$B$27)/2)+(('Alternative 2'!$B$29-'Alternative 2'!$B$28)/2))*('Alternative 2'!$B$39)*COS('Alternative 2-Tilt Up'!K53))+(('Alternative 2'!$B$29)*((('Alternative 2'!$B$12-'Alternative 2'!$B$29+(('Alternative 2'!$B$29-'Alternative 2'!$B$28)/2)*('Alternative 2'!$B$39)*COS('Alternative 2-Tilt Up'!K53)))))</f>
        <v>3050812.1417283025</v>
      </c>
      <c r="N53" s="77">
        <f t="shared" si="0"/>
        <v>175700.84153803883</v>
      </c>
      <c r="O53" s="77">
        <f>(((('Alternative 2'!$B$28-'Alternative 2'!$B$27)/2)+'Alternative 2'!$B$27)*('Alternative 2'!$B$39)*COS('Alternative 2-Tilt Up'!K53))+(((('Alternative 2'!$B$28-'Alternative 2'!$B$27)/2)+(('Alternative 2'!$B$29-'Alternative 2'!$B$28)/2))*('Alternative 2'!$B$39)*COS('Alternative 2-Tilt Up'!K53))+(((('Alternative 2'!$B$12-'Alternative 2'!$B$29)+(('Alternative 2'!$B$29-'Alternative 2'!$B$28)/2))*('Alternative 2'!$B$39)*COS('Alternative 2-Tilt Up'!K53)))</f>
        <v>196770.08305695781</v>
      </c>
      <c r="P53" s="82">
        <f t="shared" si="1"/>
        <v>112938.32395214941</v>
      </c>
      <c r="R53" s="78" t="e">
        <f>'Alternative 2'!$B$39*$B53*$C53*COS($K$5)-($N$5/3)*$E53*SIN($K$5)-($N$5/3)*$F53*SIN($K$5)-($N$5/3)*$G53*SIN($K$5)</f>
        <v>#VALUE!</v>
      </c>
      <c r="S53" s="79" t="e">
        <f>IF(($A53&lt;'Alternative 2'!$B$27),(($H53*'Alternative 2'!$B$39)+(3*($N$5/3)*COS($K$5))),IF(($A53&lt;'Alternative 2'!$B$28),(($H53*'Alternative 2'!$B$39)+(2*(($N$5/3)*COS($K$5)))),IF(($A53&lt;'Alternative 2'!$B$29),(($H$3*'Alternative 2'!$B$39+(($N$5/3)*COS($K$5)))),($H53*'Alternative 2'!$B$39))))</f>
        <v>#VALUE!</v>
      </c>
      <c r="T53" s="78" t="e">
        <f>R53*'Alternative 2'!$K54/'Alternative 2'!$L54</f>
        <v>#VALUE!</v>
      </c>
      <c r="U53" s="78" t="e">
        <f>S53/'Alternative 2'!$M54</f>
        <v>#VALUE!</v>
      </c>
      <c r="V53" s="78" t="e">
        <f t="shared" si="2"/>
        <v>#VALUE!</v>
      </c>
      <c r="X53" s="78" t="e">
        <f>'Alternative 2'!$B$39*$B53*$C53*COS($K$13)-($N$12/3)*$E53*SIN($K$13)-($N$12/3)*$F53*SIN($K$13)-($N$12/3)*$G53*SIN($K$13)</f>
        <v>#VALUE!</v>
      </c>
      <c r="Y53" s="79" t="e">
        <f>IF(($A53&lt;'Alternative 2'!$B$27),(($H53*'Alternative 2'!$B$39)+(3*($N$12/3)*COS($K$13))),IF(($A53&lt;'Alternative 2'!$B$28),(($H53*'Alternative 2'!$B$39)+(2*(($N$12/3)*COS($K$13)))),IF(($A53&lt;'Alternative 2'!$B$29),(($H$3*'Alternative 2'!$B$39+(($N$12/3)*COS($K$13)))),($H53*'Alternative 2'!$B$39))))</f>
        <v>#VALUE!</v>
      </c>
      <c r="Z53" s="78" t="e">
        <f>X53*'Alternative 2'!$K54/'Alternative 2'!$L54</f>
        <v>#VALUE!</v>
      </c>
      <c r="AA53" s="78" t="e">
        <f>Y53/'Alternative 2'!$M54</f>
        <v>#VALUE!</v>
      </c>
      <c r="AB53" s="78" t="e">
        <f t="shared" si="3"/>
        <v>#VALUE!</v>
      </c>
      <c r="AD53" s="78" t="e">
        <f>'Alternative 2'!$B$39*$B53*$C53*COS($K$23)-($N$22/3)*$E53*SIN($K$23)-($N$22/3)*$F53*SIN($K$23)-($N$22/3)*$G53*SIN($K$23)</f>
        <v>#VALUE!</v>
      </c>
      <c r="AE53" s="79" t="e">
        <f>IF(($A53&lt;'Alternative 2'!$B$27),(($H53*'Alternative 2'!$B$39)+(3*($N$22/3)*COS($K$23))),IF(($A53&lt;'Alternative 2'!$B$28),(($H53*'Alternative 2'!$B$39)+(2*(($N$22/3)*COS($K$23)))),IF(($A53&lt;'Alternative 2'!$B$29),(($H$3*'Alternative 2'!$B$39+(($N$22/3)*COS($K$23)))),($H53*'Alternative 2'!$B$39))))</f>
        <v>#VALUE!</v>
      </c>
      <c r="AF53" s="78" t="e">
        <f>AD53*'Alternative 2'!$K54/'Alternative 2'!$L54</f>
        <v>#VALUE!</v>
      </c>
      <c r="AG53" s="78" t="e">
        <f>AE53/'Alternative 2'!$M54</f>
        <v>#VALUE!</v>
      </c>
      <c r="AH53" s="78" t="e">
        <f t="shared" si="4"/>
        <v>#VALUE!</v>
      </c>
      <c r="AJ53" s="78" t="e">
        <f>'Alternative 2'!$B$39*$B53*$C53*COS($K$33)-($N$32/3)*$E53*SIN($K$33)-($N$32/3)*$F53*SIN($K$33)-($N$32/3)*$G53*SIN($K$33)</f>
        <v>#VALUE!</v>
      </c>
      <c r="AK53" s="79" t="e">
        <f>IF(($A53&lt;'Alternative 2'!$B$27),(($H53*'Alternative 2'!$B$39)+(3*($N$32/3)*COS($K$33))),IF(($A53&lt;'Alternative 2'!$B$28),(($H53*'Alternative 2'!$B$39)+(2*(($N$32/3)*COS($K$33)))),IF(($A53&lt;'Alternative 2'!$B$29),(($H$3*'Alternative 2'!$B$39+(($N$32/3)*COS($K$33)))),($H53*'Alternative 2'!$B$39))))</f>
        <v>#VALUE!</v>
      </c>
      <c r="AL53" s="78" t="e">
        <f>AJ53*'Alternative 2'!$K54/'Alternative 2'!$L54</f>
        <v>#VALUE!</v>
      </c>
      <c r="AM53" s="78" t="e">
        <f>AK53/'Alternative 2'!$M54</f>
        <v>#VALUE!</v>
      </c>
      <c r="AN53" s="78" t="e">
        <f t="shared" si="5"/>
        <v>#VALUE!</v>
      </c>
      <c r="AP53" s="78" t="e">
        <f>'Alternative 2'!$B$39*$B53*$C53*COS($K$43)-($N$42/3)*$E53*SIN($K$43)-($N$42/3)*$F53*SIN($K$43)-($N$42/3)*$G53*SIN($K$43)</f>
        <v>#VALUE!</v>
      </c>
      <c r="AQ53" s="79" t="e">
        <f>IF(($A53&lt;'Alternative 2'!$B$27),(($H53*'Alternative 2'!$B$39)+(3*($N$42/3)*COS($K$43))),IF(($A53&lt;'Alternative 2'!$B$28),(($H53*'Alternative 2'!$B$39)+(2*(($N$42/3)*COS($K$43)))),IF(($A53&lt;'Alternative 2'!$B$29),(($H$3*'Alternative 2'!$B$39+(($N$42/3)*COS($K$43)))),($H53*'Alternative 2'!$B$39))))</f>
        <v>#VALUE!</v>
      </c>
      <c r="AR53" s="78" t="e">
        <f>AP53*'Alternative 2'!$K54/'Alternative 2'!$L54</f>
        <v>#VALUE!</v>
      </c>
      <c r="AS53" s="78" t="e">
        <f>AQ53/'Alternative 2'!$M54</f>
        <v>#VALUE!</v>
      </c>
      <c r="AT53" s="78" t="e">
        <f t="shared" si="6"/>
        <v>#VALUE!</v>
      </c>
      <c r="AV53" s="78" t="e">
        <f>'Alternative 2'!$B$39*$B53*$C53*COS($K$53)-($N$52/3)*$E53*SIN($K$53)-($N$52/3)*$F53*SIN($K$53)-($N$52/3)*$G53*SIN($K$53)</f>
        <v>#VALUE!</v>
      </c>
      <c r="AW53" s="79" t="e">
        <f>IF(($A53&lt;'Alternative 2'!$B$27),(($H53*'Alternative 2'!$B$39)+(3*($N$52/3)*COS($K$53))),IF(($A53&lt;'Alternative 2'!$B$28),(($H53*'Alternative 2'!$B$39)+(2*(($N$52/3)*COS($K$53)))),IF(($A53&lt;'Alternative 2'!$B$29),(($H$3*'Alternative 2'!$B$39+(($N$52/3)*COS($K$53)))),($H53*'Alternative 2'!$B$39))))</f>
        <v>#VALUE!</v>
      </c>
      <c r="AX53" s="78" t="e">
        <f>AV53*'Alternative 2'!$K54/'Alternative 2'!$L54</f>
        <v>#VALUE!</v>
      </c>
      <c r="AY53" s="78" t="e">
        <f>AW53/'Alternative 2'!$M54</f>
        <v>#VALUE!</v>
      </c>
      <c r="AZ53" s="78" t="e">
        <f t="shared" si="7"/>
        <v>#VALUE!</v>
      </c>
      <c r="BB53" s="78" t="e">
        <f>'Alternative 2'!$B$39*$B53*$C53*COS($K$63)-($N$62/3)*$E53*SIN($K$63)-($N$62/3)*$F53*SIN($K$63)-($N$62/3)*$G53*SIN($K$63)</f>
        <v>#VALUE!</v>
      </c>
      <c r="BC53" s="79" t="e">
        <f>IF(($A53&lt;'Alternative 2'!$B$27),(($H53*'Alternative 2'!$B$39)+(3*($N$62/3)*COS($K$63))),IF(($A53&lt;'Alternative 2'!$B$28),(($H53*'Alternative 2'!$B$39)+(2*(($N$62/3)*COS($K$63)))),IF(($A53&lt;'Alternative 2'!$B$29),(($H$3*'Alternative 2'!$B$39+(($N$62/3)*COS($K$63)))),($H53*'Alternative 2'!$B$39))))</f>
        <v>#VALUE!</v>
      </c>
      <c r="BD53" s="78" t="e">
        <f>BB53*'Alternative 2'!$K54/'Alternative 2'!$L54</f>
        <v>#VALUE!</v>
      </c>
      <c r="BE53" s="78" t="e">
        <f>BC53/'Alternative 2'!$M54</f>
        <v>#VALUE!</v>
      </c>
      <c r="BF53" s="78" t="e">
        <f t="shared" si="8"/>
        <v>#VALUE!</v>
      </c>
      <c r="BH53" s="78" t="e">
        <f>'Alternative 2'!$B$39*$B53*$C53*COS($K$73)-($N$72/3)*$E53*SIN($K$73)-($N$72/3)*$F53*SIN($K$73)-($N$72/3)*$G53*SIN($K$73)</f>
        <v>#VALUE!</v>
      </c>
      <c r="BI53" s="79" t="e">
        <f>IF(($A53&lt;'Alternative 2'!$B$27),(($H53*'Alternative 2'!$B$39)+(3*($N$72/3)*COS($K$73))),IF(($A53&lt;'Alternative 2'!$B$28),(($H53*'Alternative 2'!$B$39)+(2*(($N$72/3)*COS($K$73)))),IF(($A53&lt;'Alternative 2'!$B$29),(($H$3*'Alternative 2'!$B$39+(($N$72/3)*COS($K$73)))),($H53*'Alternative 2'!$B$39))))</f>
        <v>#VALUE!</v>
      </c>
      <c r="BJ53" s="78" t="e">
        <f>BH53*'Alternative 2'!$K54/'Alternative 2'!$L54</f>
        <v>#VALUE!</v>
      </c>
      <c r="BK53" s="78" t="e">
        <f>BI53/'Alternative 2'!$M54</f>
        <v>#VALUE!</v>
      </c>
      <c r="BL53" s="78" t="e">
        <f t="shared" si="9"/>
        <v>#VALUE!</v>
      </c>
      <c r="BN53" s="78" t="e">
        <f>'Alternative 2'!$B$39*$B53*$C53*COS($K$83)-($N$82/3)*$E53*SIN($K$83)-($N$82/3)*$F53*SIN($K$83)-($N$82/3)*$G53*SIN($K$83)</f>
        <v>#VALUE!</v>
      </c>
      <c r="BO53" s="79" t="e">
        <f>IF(($A53&lt;'Alternative 2'!$B$27),(($H53*'Alternative 2'!$B$39)+(3*($N$82/3)*COS($K$83))),IF(($A53&lt;'Alternative 2'!$B$28),(($H53*'Alternative 2'!$B$39)+(2*(($N$82/3)*COS($K$83)))),IF(($A53&lt;'Alternative 2'!$B$29),(($H$3*'Alternative 2'!$B$39+(($N$82/3)*COS($K$83)))),($H53*'Alternative 2'!$B$39))))</f>
        <v>#VALUE!</v>
      </c>
      <c r="BP53" s="78" t="e">
        <f>BN53*'Alternative 2'!$K54/'Alternative 2'!$L54</f>
        <v>#VALUE!</v>
      </c>
      <c r="BQ53" s="78" t="e">
        <f>BO53/'Alternative 2'!$M54</f>
        <v>#VALUE!</v>
      </c>
      <c r="BR53" s="78" t="e">
        <f t="shared" si="10"/>
        <v>#VALUE!</v>
      </c>
      <c r="BT53" s="78" t="e">
        <f>'Alternative 2'!$B$39*$B53*$C53*COS($K$93)-($K$92/3)*$E53*SIN($K$93)-($K$92/3)*$F53*SIN($K$93)-($K$92/3)*$G53*SIN($K$93)</f>
        <v>#VALUE!</v>
      </c>
      <c r="BU53" s="79" t="e">
        <f>IF(($A53&lt;'Alternative 2'!$B$27),(($H53*'Alternative 2'!$B$39)+(3*($N$92/3)*COS($K$93))),IF(($A53&lt;'Alternative 2'!$B$28),(($H53*'Alternative 2'!$B$39)+(2*(($N$92/3)*COS($K$93)))),IF(($A53&lt;'Alternative 2'!$B$29),(($H$3*'Alternative 2'!$B$39+(($N$92/3)*COS($K$93)))),($H53*'Alternative 2'!$B$39))))</f>
        <v>#VALUE!</v>
      </c>
      <c r="BV53" s="78" t="e">
        <f>BT53*'Alternative 2'!$K54/'Alternative 2'!$L54</f>
        <v>#VALUE!</v>
      </c>
      <c r="BW53" s="78" t="e">
        <f>BU53/'Alternative 2'!$M54</f>
        <v>#VALUE!</v>
      </c>
      <c r="BX53" s="78" t="e">
        <f t="shared" si="11"/>
        <v>#VALUE!</v>
      </c>
      <c r="BZ53" s="77">
        <v>150</v>
      </c>
      <c r="CA53" s="77">
        <v>-150</v>
      </c>
    </row>
    <row r="54" spans="1:79" ht="15" customHeight="1" x14ac:dyDescent="0.25">
      <c r="A54" s="13" t="str">
        <f>IF('Alternative 2'!F55&gt;0,'Alternative 2'!F55,"x")</f>
        <v>x</v>
      </c>
      <c r="B54" s="13" t="e">
        <f t="shared" si="17"/>
        <v>#VALUE!</v>
      </c>
      <c r="C54" s="13">
        <f t="shared" si="12"/>
        <v>0</v>
      </c>
      <c r="D54" s="13" t="str">
        <f t="shared" si="13"/>
        <v>x</v>
      </c>
      <c r="E54" s="74">
        <f>IF($A54&lt;='Alternative 2'!$B$27, IF($A54='Alternative 2'!$B$27,0,E55+1),0)</f>
        <v>0</v>
      </c>
      <c r="F54" s="74">
        <f>IF($A54&lt;=('Alternative 2'!$B$28), IF($A54=ROUNDDOWN('Alternative 2'!$B$28,0),0,F55+1),0)</f>
        <v>0</v>
      </c>
      <c r="G54" s="74">
        <f>IF($A54&lt;=('Alternative 2'!$B$29), IF($A54=ROUNDDOWN('Alternative 2'!$B$29,0),0,G55+1),0)</f>
        <v>0</v>
      </c>
      <c r="H54" s="13" t="e">
        <f t="shared" si="14"/>
        <v>#VALUE!</v>
      </c>
      <c r="J54" s="77">
        <f t="shared" si="15"/>
        <v>51</v>
      </c>
      <c r="K54" s="77">
        <f t="shared" si="16"/>
        <v>0.89011791851710798</v>
      </c>
      <c r="L54" s="78">
        <f>'Alternative 2'!$B$27*SIN(K54)+'Alternative 2'!$B$28*SIN(K54)+'Alternative 2'!$B$29*SIN(K54)</f>
        <v>52.845925379074018</v>
      </c>
      <c r="M54" s="77">
        <f>(('Alternative 2'!$B$27)*(((('Alternative 2'!$B$28-'Alternative 2'!$B$27)/2)+'Alternative 2'!$B$27)*'Alternative 2'!$B$39)*COS('Alternative 2-Tilt Up'!K54))+(('Alternative 2'!$B$28)*((('Alternative 2'!$B$28-'Alternative 2'!$B$27)/2)+(('Alternative 2'!$B$29-'Alternative 2'!$B$28)/2))*('Alternative 2'!$B$39)*COS('Alternative 2-Tilt Up'!K54))+(('Alternative 2'!$B$29)*((('Alternative 2'!$B$12-'Alternative 2'!$B$29+(('Alternative 2'!$B$29-'Alternative 2'!$B$28)/2)*('Alternative 2'!$B$39)*COS('Alternative 2-Tilt Up'!K54)))))</f>
        <v>2986897.8426561742</v>
      </c>
      <c r="N54" s="77">
        <f t="shared" si="0"/>
        <v>169562.6193257425</v>
      </c>
      <c r="O54" s="77">
        <f>(((('Alternative 2'!$B$28-'Alternative 2'!$B$27)/2)+'Alternative 2'!$B$27)*('Alternative 2'!$B$39)*COS('Alternative 2-Tilt Up'!K54))+(((('Alternative 2'!$B$28-'Alternative 2'!$B$27)/2)+(('Alternative 2'!$B$29-'Alternative 2'!$B$28)/2))*('Alternative 2'!$B$39)*COS('Alternative 2-Tilt Up'!K54))+(((('Alternative 2'!$B$12-'Alternative 2'!$B$29)+(('Alternative 2'!$B$29-'Alternative 2'!$B$28)/2))*('Alternative 2'!$B$39)*COS('Alternative 2-Tilt Up'!K54)))</f>
        <v>192647.49934539199</v>
      </c>
      <c r="P54" s="77">
        <f t="shared" si="1"/>
        <v>106709.213901511</v>
      </c>
      <c r="R54" s="78" t="e">
        <f>'Alternative 2'!$B$39*$B54*$C54*COS($K$5)-($N$5/3)*$E54*SIN($K$5)-($N$5/3)*$F54*SIN($K$5)-($N$5/3)*$G54*SIN($K$5)</f>
        <v>#VALUE!</v>
      </c>
      <c r="S54" s="79" t="e">
        <f>IF(($A54&lt;'Alternative 2'!$B$27),(($H54*'Alternative 2'!$B$39)+(3*($N$5/3)*COS($K$5))),IF(($A54&lt;'Alternative 2'!$B$28),(($H54*'Alternative 2'!$B$39)+(2*(($N$5/3)*COS($K$5)))),IF(($A54&lt;'Alternative 2'!$B$29),(($H$3*'Alternative 2'!$B$39+(($N$5/3)*COS($K$5)))),($H54*'Alternative 2'!$B$39))))</f>
        <v>#VALUE!</v>
      </c>
      <c r="T54" s="78" t="e">
        <f>R54*'Alternative 2'!$K55/'Alternative 2'!$L55</f>
        <v>#VALUE!</v>
      </c>
      <c r="U54" s="78" t="e">
        <f>S54/'Alternative 2'!$M55</f>
        <v>#VALUE!</v>
      </c>
      <c r="V54" s="78" t="e">
        <f t="shared" si="2"/>
        <v>#VALUE!</v>
      </c>
      <c r="X54" s="78" t="e">
        <f>'Alternative 2'!$B$39*$B54*$C54*COS($K$13)-($N$12/3)*$E54*SIN($K$13)-($N$12/3)*$F54*SIN($K$13)-($N$12/3)*$G54*SIN($K$13)</f>
        <v>#VALUE!</v>
      </c>
      <c r="Y54" s="79" t="e">
        <f>IF(($A54&lt;'Alternative 2'!$B$27),(($H54*'Alternative 2'!$B$39)+(3*($N$12/3)*COS($K$13))),IF(($A54&lt;'Alternative 2'!$B$28),(($H54*'Alternative 2'!$B$39)+(2*(($N$12/3)*COS($K$13)))),IF(($A54&lt;'Alternative 2'!$B$29),(($H$3*'Alternative 2'!$B$39+(($N$12/3)*COS($K$13)))),($H54*'Alternative 2'!$B$39))))</f>
        <v>#VALUE!</v>
      </c>
      <c r="Z54" s="78" t="e">
        <f>X54*'Alternative 2'!$K55/'Alternative 2'!$L55</f>
        <v>#VALUE!</v>
      </c>
      <c r="AA54" s="78" t="e">
        <f>Y54/'Alternative 2'!$M55</f>
        <v>#VALUE!</v>
      </c>
      <c r="AB54" s="78" t="e">
        <f t="shared" si="3"/>
        <v>#VALUE!</v>
      </c>
      <c r="AD54" s="78" t="e">
        <f>'Alternative 2'!$B$39*$B54*$C54*COS($K$23)-($N$22/3)*$E54*SIN($K$23)-($N$22/3)*$F54*SIN($K$23)-($N$22/3)*$G54*SIN($K$23)</f>
        <v>#VALUE!</v>
      </c>
      <c r="AE54" s="79" t="e">
        <f>IF(($A54&lt;'Alternative 2'!$B$27),(($H54*'Alternative 2'!$B$39)+(3*($N$22/3)*COS($K$23))),IF(($A54&lt;'Alternative 2'!$B$28),(($H54*'Alternative 2'!$B$39)+(2*(($N$22/3)*COS($K$23)))),IF(($A54&lt;'Alternative 2'!$B$29),(($H$3*'Alternative 2'!$B$39+(($N$22/3)*COS($K$23)))),($H54*'Alternative 2'!$B$39))))</f>
        <v>#VALUE!</v>
      </c>
      <c r="AF54" s="78" t="e">
        <f>AD54*'Alternative 2'!$K55/'Alternative 2'!$L55</f>
        <v>#VALUE!</v>
      </c>
      <c r="AG54" s="78" t="e">
        <f>AE54/'Alternative 2'!$M55</f>
        <v>#VALUE!</v>
      </c>
      <c r="AH54" s="78" t="e">
        <f t="shared" si="4"/>
        <v>#VALUE!</v>
      </c>
      <c r="AJ54" s="78" t="e">
        <f>'Alternative 2'!$B$39*$B54*$C54*COS($K$33)-($N$32/3)*$E54*SIN($K$33)-($N$32/3)*$F54*SIN($K$33)-($N$32/3)*$G54*SIN($K$33)</f>
        <v>#VALUE!</v>
      </c>
      <c r="AK54" s="79" t="e">
        <f>IF(($A54&lt;'Alternative 2'!$B$27),(($H54*'Alternative 2'!$B$39)+(3*($N$32/3)*COS($K$33))),IF(($A54&lt;'Alternative 2'!$B$28),(($H54*'Alternative 2'!$B$39)+(2*(($N$32/3)*COS($K$33)))),IF(($A54&lt;'Alternative 2'!$B$29),(($H$3*'Alternative 2'!$B$39+(($N$32/3)*COS($K$33)))),($H54*'Alternative 2'!$B$39))))</f>
        <v>#VALUE!</v>
      </c>
      <c r="AL54" s="78" t="e">
        <f>AJ54*'Alternative 2'!$K55/'Alternative 2'!$L55</f>
        <v>#VALUE!</v>
      </c>
      <c r="AM54" s="78" t="e">
        <f>AK54/'Alternative 2'!$M55</f>
        <v>#VALUE!</v>
      </c>
      <c r="AN54" s="78" t="e">
        <f t="shared" si="5"/>
        <v>#VALUE!</v>
      </c>
      <c r="AP54" s="78" t="e">
        <f>'Alternative 2'!$B$39*$B54*$C54*COS($K$43)-($N$42/3)*$E54*SIN($K$43)-($N$42/3)*$F54*SIN($K$43)-($N$42/3)*$G54*SIN($K$43)</f>
        <v>#VALUE!</v>
      </c>
      <c r="AQ54" s="79" t="e">
        <f>IF(($A54&lt;'Alternative 2'!$B$27),(($H54*'Alternative 2'!$B$39)+(3*($N$42/3)*COS($K$43))),IF(($A54&lt;'Alternative 2'!$B$28),(($H54*'Alternative 2'!$B$39)+(2*(($N$42/3)*COS($K$43)))),IF(($A54&lt;'Alternative 2'!$B$29),(($H$3*'Alternative 2'!$B$39+(($N$42/3)*COS($K$43)))),($H54*'Alternative 2'!$B$39))))</f>
        <v>#VALUE!</v>
      </c>
      <c r="AR54" s="78" t="e">
        <f>AP54*'Alternative 2'!$K55/'Alternative 2'!$L55</f>
        <v>#VALUE!</v>
      </c>
      <c r="AS54" s="78" t="e">
        <f>AQ54/'Alternative 2'!$M55</f>
        <v>#VALUE!</v>
      </c>
      <c r="AT54" s="78" t="e">
        <f t="shared" si="6"/>
        <v>#VALUE!</v>
      </c>
      <c r="AV54" s="78" t="e">
        <f>'Alternative 2'!$B$39*$B54*$C54*COS($K$53)-($N$52/3)*$E54*SIN($K$53)-($N$52/3)*$F54*SIN($K$53)-($N$52/3)*$G54*SIN($K$53)</f>
        <v>#VALUE!</v>
      </c>
      <c r="AW54" s="79" t="e">
        <f>IF(($A54&lt;'Alternative 2'!$B$27),(($H54*'Alternative 2'!$B$39)+(3*($N$52/3)*COS($K$53))),IF(($A54&lt;'Alternative 2'!$B$28),(($H54*'Alternative 2'!$B$39)+(2*(($N$52/3)*COS($K$53)))),IF(($A54&lt;'Alternative 2'!$B$29),(($H$3*'Alternative 2'!$B$39+(($N$52/3)*COS($K$53)))),($H54*'Alternative 2'!$B$39))))</f>
        <v>#VALUE!</v>
      </c>
      <c r="AX54" s="78" t="e">
        <f>AV54*'Alternative 2'!$K55/'Alternative 2'!$L55</f>
        <v>#VALUE!</v>
      </c>
      <c r="AY54" s="78" t="e">
        <f>AW54/'Alternative 2'!$M55</f>
        <v>#VALUE!</v>
      </c>
      <c r="AZ54" s="78" t="e">
        <f t="shared" si="7"/>
        <v>#VALUE!</v>
      </c>
      <c r="BB54" s="78" t="e">
        <f>'Alternative 2'!$B$39*$B54*$C54*COS($K$63)-($N$62/3)*$E54*SIN($K$63)-($N$62/3)*$F54*SIN($K$63)-($N$62/3)*$G54*SIN($K$63)</f>
        <v>#VALUE!</v>
      </c>
      <c r="BC54" s="79" t="e">
        <f>IF(($A54&lt;'Alternative 2'!$B$27),(($H54*'Alternative 2'!$B$39)+(3*($N$62/3)*COS($K$63))),IF(($A54&lt;'Alternative 2'!$B$28),(($H54*'Alternative 2'!$B$39)+(2*(($N$62/3)*COS($K$63)))),IF(($A54&lt;'Alternative 2'!$B$29),(($H$3*'Alternative 2'!$B$39+(($N$62/3)*COS($K$63)))),($H54*'Alternative 2'!$B$39))))</f>
        <v>#VALUE!</v>
      </c>
      <c r="BD54" s="78" t="e">
        <f>BB54*'Alternative 2'!$K55/'Alternative 2'!$L55</f>
        <v>#VALUE!</v>
      </c>
      <c r="BE54" s="78" t="e">
        <f>BC54/'Alternative 2'!$M55</f>
        <v>#VALUE!</v>
      </c>
      <c r="BF54" s="78" t="e">
        <f t="shared" si="8"/>
        <v>#VALUE!</v>
      </c>
      <c r="BH54" s="78" t="e">
        <f>'Alternative 2'!$B$39*$B54*$C54*COS($K$73)-($N$72/3)*$E54*SIN($K$73)-($N$72/3)*$F54*SIN($K$73)-($N$72/3)*$G54*SIN($K$73)</f>
        <v>#VALUE!</v>
      </c>
      <c r="BI54" s="79" t="e">
        <f>IF(($A54&lt;'Alternative 2'!$B$27),(($H54*'Alternative 2'!$B$39)+(3*($N$72/3)*COS($K$73))),IF(($A54&lt;'Alternative 2'!$B$28),(($H54*'Alternative 2'!$B$39)+(2*(($N$72/3)*COS($K$73)))),IF(($A54&lt;'Alternative 2'!$B$29),(($H$3*'Alternative 2'!$B$39+(($N$72/3)*COS($K$73)))),($H54*'Alternative 2'!$B$39))))</f>
        <v>#VALUE!</v>
      </c>
      <c r="BJ54" s="78" t="e">
        <f>BH54*'Alternative 2'!$K55/'Alternative 2'!$L55</f>
        <v>#VALUE!</v>
      </c>
      <c r="BK54" s="78" t="e">
        <f>BI54/'Alternative 2'!$M55</f>
        <v>#VALUE!</v>
      </c>
      <c r="BL54" s="78" t="e">
        <f t="shared" si="9"/>
        <v>#VALUE!</v>
      </c>
      <c r="BN54" s="78" t="e">
        <f>'Alternative 2'!$B$39*$B54*$C54*COS($K$83)-($N$82/3)*$E54*SIN($K$83)-($N$82/3)*$F54*SIN($K$83)-($N$82/3)*$G54*SIN($K$83)</f>
        <v>#VALUE!</v>
      </c>
      <c r="BO54" s="79" t="e">
        <f>IF(($A54&lt;'Alternative 2'!$B$27),(($H54*'Alternative 2'!$B$39)+(3*($N$82/3)*COS($K$83))),IF(($A54&lt;'Alternative 2'!$B$28),(($H54*'Alternative 2'!$B$39)+(2*(($N$82/3)*COS($K$83)))),IF(($A54&lt;'Alternative 2'!$B$29),(($H$3*'Alternative 2'!$B$39+(($N$82/3)*COS($K$83)))),($H54*'Alternative 2'!$B$39))))</f>
        <v>#VALUE!</v>
      </c>
      <c r="BP54" s="78" t="e">
        <f>BN54*'Alternative 2'!$K55/'Alternative 2'!$L55</f>
        <v>#VALUE!</v>
      </c>
      <c r="BQ54" s="78" t="e">
        <f>BO54/'Alternative 2'!$M55</f>
        <v>#VALUE!</v>
      </c>
      <c r="BR54" s="78" t="e">
        <f t="shared" si="10"/>
        <v>#VALUE!</v>
      </c>
      <c r="BT54" s="78" t="e">
        <f>'Alternative 2'!$B$39*$B54*$C54*COS($K$93)-($K$92/3)*$E54*SIN($K$93)-($K$92/3)*$F54*SIN($K$93)-($K$92/3)*$G54*SIN($K$93)</f>
        <v>#VALUE!</v>
      </c>
      <c r="BU54" s="79" t="e">
        <f>IF(($A54&lt;'Alternative 2'!$B$27),(($H54*'Alternative 2'!$B$39)+(3*($N$92/3)*COS($K$93))),IF(($A54&lt;'Alternative 2'!$B$28),(($H54*'Alternative 2'!$B$39)+(2*(($N$92/3)*COS($K$93)))),IF(($A54&lt;'Alternative 2'!$B$29),(($H$3*'Alternative 2'!$B$39+(($N$92/3)*COS($K$93)))),($H54*'Alternative 2'!$B$39))))</f>
        <v>#VALUE!</v>
      </c>
      <c r="BV54" s="78" t="e">
        <f>BT54*'Alternative 2'!$K55/'Alternative 2'!$L55</f>
        <v>#VALUE!</v>
      </c>
      <c r="BW54" s="78" t="e">
        <f>BU54/'Alternative 2'!$M55</f>
        <v>#VALUE!</v>
      </c>
      <c r="BX54" s="78" t="e">
        <f t="shared" si="11"/>
        <v>#VALUE!</v>
      </c>
      <c r="BZ54" s="77">
        <v>150</v>
      </c>
      <c r="CA54" s="77">
        <v>-150</v>
      </c>
    </row>
    <row r="55" spans="1:79" ht="15" customHeight="1" x14ac:dyDescent="0.25">
      <c r="A55" s="13" t="str">
        <f>IF('Alternative 2'!F56&gt;0,'Alternative 2'!F56,"x")</f>
        <v>x</v>
      </c>
      <c r="B55" s="13" t="e">
        <f t="shared" si="17"/>
        <v>#VALUE!</v>
      </c>
      <c r="C55" s="13">
        <f t="shared" si="12"/>
        <v>0</v>
      </c>
      <c r="D55" s="13" t="str">
        <f t="shared" si="13"/>
        <v>x</v>
      </c>
      <c r="E55" s="74">
        <f>IF($A55&lt;='Alternative 2'!$B$27, IF($A55='Alternative 2'!$B$27,0,E56+1),0)</f>
        <v>0</v>
      </c>
      <c r="F55" s="74">
        <f>IF($A55&lt;=('Alternative 2'!$B$28), IF($A55=ROUNDDOWN('Alternative 2'!$B$28,0),0,F56+1),0)</f>
        <v>0</v>
      </c>
      <c r="G55" s="74">
        <f>IF($A55&lt;=('Alternative 2'!$B$29), IF($A55=ROUNDDOWN('Alternative 2'!$B$29,0),0,G56+1),0)</f>
        <v>0</v>
      </c>
      <c r="H55" s="13" t="e">
        <f t="shared" si="14"/>
        <v>#VALUE!</v>
      </c>
      <c r="J55" s="77">
        <f t="shared" si="15"/>
        <v>52</v>
      </c>
      <c r="K55" s="77">
        <f t="shared" si="16"/>
        <v>0.90757121103705141</v>
      </c>
      <c r="L55" s="78">
        <f>'Alternative 2'!$B$27*SIN(K55)+'Alternative 2'!$B$28*SIN(K55)+'Alternative 2'!$B$29*SIN(K55)</f>
        <v>53.584731245257096</v>
      </c>
      <c r="M55" s="77">
        <f>(('Alternative 2'!$B$27)*(((('Alternative 2'!$B$28-'Alternative 2'!$B$27)/2)+'Alternative 2'!$B$27)*'Alternative 2'!$B$39)*COS('Alternative 2-Tilt Up'!K55))+(('Alternative 2'!$B$28)*((('Alternative 2'!$B$28-'Alternative 2'!$B$27)/2)+(('Alternative 2'!$B$29-'Alternative 2'!$B$28)/2))*('Alternative 2'!$B$39)*COS('Alternative 2-Tilt Up'!K55))+(('Alternative 2'!$B$29)*((('Alternative 2'!$B$12-'Alternative 2'!$B$29+(('Alternative 2'!$B$29-'Alternative 2'!$B$28)/2)*('Alternative 2'!$B$39)*COS('Alternative 2-Tilt Up'!K55)))))</f>
        <v>2922073.765157572</v>
      </c>
      <c r="N55" s="77">
        <f t="shared" si="0"/>
        <v>163595.5073722355</v>
      </c>
      <c r="O55" s="77">
        <f>(((('Alternative 2'!$B$28-'Alternative 2'!$B$27)/2)+'Alternative 2'!$B$27)*('Alternative 2'!$B$39)*COS('Alternative 2-Tilt Up'!K55))+(((('Alternative 2'!$B$28-'Alternative 2'!$B$27)/2)+(('Alternative 2'!$B$29-'Alternative 2'!$B$28)/2))*('Alternative 2'!$B$39)*COS('Alternative 2-Tilt Up'!K55))+(((('Alternative 2'!$B$12-'Alternative 2'!$B$29)+(('Alternative 2'!$B$29-'Alternative 2'!$B$28)/2))*('Alternative 2'!$B$39)*COS('Alternative 2-Tilt Up'!K55)))</f>
        <v>188466.23333930736</v>
      </c>
      <c r="P55" s="77">
        <f t="shared" si="1"/>
        <v>100719.45142544011</v>
      </c>
      <c r="R55" s="78" t="e">
        <f>'Alternative 2'!$B$39*$B55*$C55*COS($K$5)-($N$5/3)*$E55*SIN($K$5)-($N$5/3)*$F55*SIN($K$5)-($N$5/3)*$G55*SIN($K$5)</f>
        <v>#VALUE!</v>
      </c>
      <c r="S55" s="79" t="e">
        <f>IF(($A55&lt;'Alternative 2'!$B$27),(($H55*'Alternative 2'!$B$39)+(3*($N$5/3)*COS($K$5))),IF(($A55&lt;'Alternative 2'!$B$28),(($H55*'Alternative 2'!$B$39)+(2*(($N$5/3)*COS($K$5)))),IF(($A55&lt;'Alternative 2'!$B$29),(($H$3*'Alternative 2'!$B$39+(($N$5/3)*COS($K$5)))),($H55*'Alternative 2'!$B$39))))</f>
        <v>#VALUE!</v>
      </c>
      <c r="T55" s="78" t="e">
        <f>R55*'Alternative 2'!$K56/'Alternative 2'!$L56</f>
        <v>#VALUE!</v>
      </c>
      <c r="U55" s="78" t="e">
        <f>S55/'Alternative 2'!$M56</f>
        <v>#VALUE!</v>
      </c>
      <c r="V55" s="78" t="e">
        <f t="shared" si="2"/>
        <v>#VALUE!</v>
      </c>
      <c r="X55" s="78" t="e">
        <f>'Alternative 2'!$B$39*$B55*$C55*COS($K$13)-($N$12/3)*$E55*SIN($K$13)-($N$12/3)*$F55*SIN($K$13)-($N$12/3)*$G55*SIN($K$13)</f>
        <v>#VALUE!</v>
      </c>
      <c r="Y55" s="79" t="e">
        <f>IF(($A55&lt;'Alternative 2'!$B$27),(($H55*'Alternative 2'!$B$39)+(3*($N$12/3)*COS($K$13))),IF(($A55&lt;'Alternative 2'!$B$28),(($H55*'Alternative 2'!$B$39)+(2*(($N$12/3)*COS($K$13)))),IF(($A55&lt;'Alternative 2'!$B$29),(($H$3*'Alternative 2'!$B$39+(($N$12/3)*COS($K$13)))),($H55*'Alternative 2'!$B$39))))</f>
        <v>#VALUE!</v>
      </c>
      <c r="Z55" s="78" t="e">
        <f>X55*'Alternative 2'!$K56/'Alternative 2'!$L56</f>
        <v>#VALUE!</v>
      </c>
      <c r="AA55" s="78" t="e">
        <f>Y55/'Alternative 2'!$M56</f>
        <v>#VALUE!</v>
      </c>
      <c r="AB55" s="78" t="e">
        <f t="shared" si="3"/>
        <v>#VALUE!</v>
      </c>
      <c r="AD55" s="78" t="e">
        <f>'Alternative 2'!$B$39*$B55*$C55*COS($K$23)-($N$22/3)*$E55*SIN($K$23)-($N$22/3)*$F55*SIN($K$23)-($N$22/3)*$G55*SIN($K$23)</f>
        <v>#VALUE!</v>
      </c>
      <c r="AE55" s="79" t="e">
        <f>IF(($A55&lt;'Alternative 2'!$B$27),(($H55*'Alternative 2'!$B$39)+(3*($N$22/3)*COS($K$23))),IF(($A55&lt;'Alternative 2'!$B$28),(($H55*'Alternative 2'!$B$39)+(2*(($N$22/3)*COS($K$23)))),IF(($A55&lt;'Alternative 2'!$B$29),(($H$3*'Alternative 2'!$B$39+(($N$22/3)*COS($K$23)))),($H55*'Alternative 2'!$B$39))))</f>
        <v>#VALUE!</v>
      </c>
      <c r="AF55" s="78" t="e">
        <f>AD55*'Alternative 2'!$K56/'Alternative 2'!$L56</f>
        <v>#VALUE!</v>
      </c>
      <c r="AG55" s="78" t="e">
        <f>AE55/'Alternative 2'!$M56</f>
        <v>#VALUE!</v>
      </c>
      <c r="AH55" s="78" t="e">
        <f t="shared" si="4"/>
        <v>#VALUE!</v>
      </c>
      <c r="AJ55" s="78" t="e">
        <f>'Alternative 2'!$B$39*$B55*$C55*COS($K$33)-($N$32/3)*$E55*SIN($K$33)-($N$32/3)*$F55*SIN($K$33)-($N$32/3)*$G55*SIN($K$33)</f>
        <v>#VALUE!</v>
      </c>
      <c r="AK55" s="79" t="e">
        <f>IF(($A55&lt;'Alternative 2'!$B$27),(($H55*'Alternative 2'!$B$39)+(3*($N$32/3)*COS($K$33))),IF(($A55&lt;'Alternative 2'!$B$28),(($H55*'Alternative 2'!$B$39)+(2*(($N$32/3)*COS($K$33)))),IF(($A55&lt;'Alternative 2'!$B$29),(($H$3*'Alternative 2'!$B$39+(($N$32/3)*COS($K$33)))),($H55*'Alternative 2'!$B$39))))</f>
        <v>#VALUE!</v>
      </c>
      <c r="AL55" s="78" t="e">
        <f>AJ55*'Alternative 2'!$K56/'Alternative 2'!$L56</f>
        <v>#VALUE!</v>
      </c>
      <c r="AM55" s="78" t="e">
        <f>AK55/'Alternative 2'!$M56</f>
        <v>#VALUE!</v>
      </c>
      <c r="AN55" s="78" t="e">
        <f t="shared" si="5"/>
        <v>#VALUE!</v>
      </c>
      <c r="AP55" s="78" t="e">
        <f>'Alternative 2'!$B$39*$B55*$C55*COS($K$43)-($N$42/3)*$E55*SIN($K$43)-($N$42/3)*$F55*SIN($K$43)-($N$42/3)*$G55*SIN($K$43)</f>
        <v>#VALUE!</v>
      </c>
      <c r="AQ55" s="79" t="e">
        <f>IF(($A55&lt;'Alternative 2'!$B$27),(($H55*'Alternative 2'!$B$39)+(3*($N$42/3)*COS($K$43))),IF(($A55&lt;'Alternative 2'!$B$28),(($H55*'Alternative 2'!$B$39)+(2*(($N$42/3)*COS($K$43)))),IF(($A55&lt;'Alternative 2'!$B$29),(($H$3*'Alternative 2'!$B$39+(($N$42/3)*COS($K$43)))),($H55*'Alternative 2'!$B$39))))</f>
        <v>#VALUE!</v>
      </c>
      <c r="AR55" s="78" t="e">
        <f>AP55*'Alternative 2'!$K56/'Alternative 2'!$L56</f>
        <v>#VALUE!</v>
      </c>
      <c r="AS55" s="78" t="e">
        <f>AQ55/'Alternative 2'!$M56</f>
        <v>#VALUE!</v>
      </c>
      <c r="AT55" s="78" t="e">
        <f t="shared" si="6"/>
        <v>#VALUE!</v>
      </c>
      <c r="AV55" s="78" t="e">
        <f>'Alternative 2'!$B$39*$B55*$C55*COS($K$53)-($N$52/3)*$E55*SIN($K$53)-($N$52/3)*$F55*SIN($K$53)-($N$52/3)*$G55*SIN($K$53)</f>
        <v>#VALUE!</v>
      </c>
      <c r="AW55" s="79" t="e">
        <f>IF(($A55&lt;'Alternative 2'!$B$27),(($H55*'Alternative 2'!$B$39)+(3*($N$52/3)*COS($K$53))),IF(($A55&lt;'Alternative 2'!$B$28),(($H55*'Alternative 2'!$B$39)+(2*(($N$52/3)*COS($K$53)))),IF(($A55&lt;'Alternative 2'!$B$29),(($H$3*'Alternative 2'!$B$39+(($N$52/3)*COS($K$53)))),($H55*'Alternative 2'!$B$39))))</f>
        <v>#VALUE!</v>
      </c>
      <c r="AX55" s="78" t="e">
        <f>AV55*'Alternative 2'!$K56/'Alternative 2'!$L56</f>
        <v>#VALUE!</v>
      </c>
      <c r="AY55" s="78" t="e">
        <f>AW55/'Alternative 2'!$M56</f>
        <v>#VALUE!</v>
      </c>
      <c r="AZ55" s="78" t="e">
        <f t="shared" si="7"/>
        <v>#VALUE!</v>
      </c>
      <c r="BB55" s="78" t="e">
        <f>'Alternative 2'!$B$39*$B55*$C55*COS($K$63)-($N$62/3)*$E55*SIN($K$63)-($N$62/3)*$F55*SIN($K$63)-($N$62/3)*$G55*SIN($K$63)</f>
        <v>#VALUE!</v>
      </c>
      <c r="BC55" s="79" t="e">
        <f>IF(($A55&lt;'Alternative 2'!$B$27),(($H55*'Alternative 2'!$B$39)+(3*($N$62/3)*COS($K$63))),IF(($A55&lt;'Alternative 2'!$B$28),(($H55*'Alternative 2'!$B$39)+(2*(($N$62/3)*COS($K$63)))),IF(($A55&lt;'Alternative 2'!$B$29),(($H$3*'Alternative 2'!$B$39+(($N$62/3)*COS($K$63)))),($H55*'Alternative 2'!$B$39))))</f>
        <v>#VALUE!</v>
      </c>
      <c r="BD55" s="78" t="e">
        <f>BB55*'Alternative 2'!$K56/'Alternative 2'!$L56</f>
        <v>#VALUE!</v>
      </c>
      <c r="BE55" s="78" t="e">
        <f>BC55/'Alternative 2'!$M56</f>
        <v>#VALUE!</v>
      </c>
      <c r="BF55" s="78" t="e">
        <f t="shared" si="8"/>
        <v>#VALUE!</v>
      </c>
      <c r="BH55" s="78" t="e">
        <f>'Alternative 2'!$B$39*$B55*$C55*COS($K$73)-($N$72/3)*$E55*SIN($K$73)-($N$72/3)*$F55*SIN($K$73)-($N$72/3)*$G55*SIN($K$73)</f>
        <v>#VALUE!</v>
      </c>
      <c r="BI55" s="79" t="e">
        <f>IF(($A55&lt;'Alternative 2'!$B$27),(($H55*'Alternative 2'!$B$39)+(3*($N$72/3)*COS($K$73))),IF(($A55&lt;'Alternative 2'!$B$28),(($H55*'Alternative 2'!$B$39)+(2*(($N$72/3)*COS($K$73)))),IF(($A55&lt;'Alternative 2'!$B$29),(($H$3*'Alternative 2'!$B$39+(($N$72/3)*COS($K$73)))),($H55*'Alternative 2'!$B$39))))</f>
        <v>#VALUE!</v>
      </c>
      <c r="BJ55" s="78" t="e">
        <f>BH55*'Alternative 2'!$K56/'Alternative 2'!$L56</f>
        <v>#VALUE!</v>
      </c>
      <c r="BK55" s="78" t="e">
        <f>BI55/'Alternative 2'!$M56</f>
        <v>#VALUE!</v>
      </c>
      <c r="BL55" s="78" t="e">
        <f t="shared" si="9"/>
        <v>#VALUE!</v>
      </c>
      <c r="BN55" s="78" t="e">
        <f>'Alternative 2'!$B$39*$B55*$C55*COS($K$83)-($N$82/3)*$E55*SIN($K$83)-($N$82/3)*$F55*SIN($K$83)-($N$82/3)*$G55*SIN($K$83)</f>
        <v>#VALUE!</v>
      </c>
      <c r="BO55" s="79" t="e">
        <f>IF(($A55&lt;'Alternative 2'!$B$27),(($H55*'Alternative 2'!$B$39)+(3*($N$82/3)*COS($K$83))),IF(($A55&lt;'Alternative 2'!$B$28),(($H55*'Alternative 2'!$B$39)+(2*(($N$82/3)*COS($K$83)))),IF(($A55&lt;'Alternative 2'!$B$29),(($H$3*'Alternative 2'!$B$39+(($N$82/3)*COS($K$83)))),($H55*'Alternative 2'!$B$39))))</f>
        <v>#VALUE!</v>
      </c>
      <c r="BP55" s="78" t="e">
        <f>BN55*'Alternative 2'!$K56/'Alternative 2'!$L56</f>
        <v>#VALUE!</v>
      </c>
      <c r="BQ55" s="78" t="e">
        <f>BO55/'Alternative 2'!$M56</f>
        <v>#VALUE!</v>
      </c>
      <c r="BR55" s="78" t="e">
        <f t="shared" si="10"/>
        <v>#VALUE!</v>
      </c>
      <c r="BT55" s="78" t="e">
        <f>'Alternative 2'!$B$39*$B55*$C55*COS($K$93)-($K$92/3)*$E55*SIN($K$93)-($K$92/3)*$F55*SIN($K$93)-($K$92/3)*$G55*SIN($K$93)</f>
        <v>#VALUE!</v>
      </c>
      <c r="BU55" s="79" t="e">
        <f>IF(($A55&lt;'Alternative 2'!$B$27),(($H55*'Alternative 2'!$B$39)+(3*($N$92/3)*COS($K$93))),IF(($A55&lt;'Alternative 2'!$B$28),(($H55*'Alternative 2'!$B$39)+(2*(($N$92/3)*COS($K$93)))),IF(($A55&lt;'Alternative 2'!$B$29),(($H$3*'Alternative 2'!$B$39+(($N$92/3)*COS($K$93)))),($H55*'Alternative 2'!$B$39))))</f>
        <v>#VALUE!</v>
      </c>
      <c r="BV55" s="78" t="e">
        <f>BT55*'Alternative 2'!$K56/'Alternative 2'!$L56</f>
        <v>#VALUE!</v>
      </c>
      <c r="BW55" s="78" t="e">
        <f>BU55/'Alternative 2'!$M56</f>
        <v>#VALUE!</v>
      </c>
      <c r="BX55" s="78" t="e">
        <f t="shared" si="11"/>
        <v>#VALUE!</v>
      </c>
      <c r="BZ55" s="77">
        <v>150</v>
      </c>
      <c r="CA55" s="77">
        <v>-150</v>
      </c>
    </row>
    <row r="56" spans="1:79" ht="15" customHeight="1" x14ac:dyDescent="0.25">
      <c r="A56" s="13" t="str">
        <f>IF('Alternative 2'!F57&gt;0,'Alternative 2'!F57,"x")</f>
        <v>x</v>
      </c>
      <c r="B56" s="13" t="e">
        <f t="shared" si="17"/>
        <v>#VALUE!</v>
      </c>
      <c r="C56" s="13">
        <f t="shared" si="12"/>
        <v>0</v>
      </c>
      <c r="D56" s="13" t="str">
        <f t="shared" si="13"/>
        <v>x</v>
      </c>
      <c r="E56" s="74">
        <f>IF($A56&lt;='Alternative 2'!$B$27, IF($A56='Alternative 2'!$B$27,0,E57+1),0)</f>
        <v>0</v>
      </c>
      <c r="F56" s="74">
        <f>IF($A56&lt;=('Alternative 2'!$B$28), IF($A56=ROUNDDOWN('Alternative 2'!$B$28,0),0,F57+1),0)</f>
        <v>0</v>
      </c>
      <c r="G56" s="74">
        <f>IF($A56&lt;=('Alternative 2'!$B$29), IF($A56=ROUNDDOWN('Alternative 2'!$B$29,0),0,G57+1),0)</f>
        <v>0</v>
      </c>
      <c r="H56" s="13" t="e">
        <f t="shared" si="14"/>
        <v>#VALUE!</v>
      </c>
      <c r="J56" s="77">
        <f t="shared" si="15"/>
        <v>53</v>
      </c>
      <c r="K56" s="77">
        <f t="shared" si="16"/>
        <v>0.92502450355699462</v>
      </c>
      <c r="L56" s="78">
        <f>'Alternative 2'!$B$27*SIN(K56)+'Alternative 2'!$B$28*SIN(K56)+'Alternative 2'!$B$29*SIN(K56)</f>
        <v>54.307214683215911</v>
      </c>
      <c r="M56" s="77">
        <f>(('Alternative 2'!$B$27)*(((('Alternative 2'!$B$28-'Alternative 2'!$B$27)/2)+'Alternative 2'!$B$27)*'Alternative 2'!$B$39)*COS('Alternative 2-Tilt Up'!K56))+(('Alternative 2'!$B$28)*((('Alternative 2'!$B$28-'Alternative 2'!$B$27)/2)+(('Alternative 2'!$B$29-'Alternative 2'!$B$28)/2))*('Alternative 2'!$B$39)*COS('Alternative 2-Tilt Up'!K56))+(('Alternative 2'!$B$29)*((('Alternative 2'!$B$12-'Alternative 2'!$B$29+(('Alternative 2'!$B$29-'Alternative 2'!$B$28)/2)*('Alternative 2'!$B$39)*COS('Alternative 2-Tilt Up'!K56)))))</f>
        <v>2856359.6552744671</v>
      </c>
      <c r="N56" s="77">
        <f t="shared" si="0"/>
        <v>157788.96074505814</v>
      </c>
      <c r="O56" s="77">
        <f>(((('Alternative 2'!$B$28-'Alternative 2'!$B$27)/2)+'Alternative 2'!$B$27)*('Alternative 2'!$B$39)*COS('Alternative 2-Tilt Up'!K56))+(((('Alternative 2'!$B$28-'Alternative 2'!$B$27)/2)+(('Alternative 2'!$B$29-'Alternative 2'!$B$28)/2))*('Alternative 2'!$B$39)*COS('Alternative 2-Tilt Up'!K56))+(((('Alternative 2'!$B$12-'Alternative 2'!$B$29)+(('Alternative 2'!$B$29-'Alternative 2'!$B$28)/2))*('Alternative 2'!$B$39)*COS('Alternative 2-Tilt Up'!K56)))</f>
        <v>184227.55869283422</v>
      </c>
      <c r="P56" s="77">
        <f t="shared" si="1"/>
        <v>94959.76706392481</v>
      </c>
      <c r="R56" s="78" t="e">
        <f>'Alternative 2'!$B$39*$B56*$C56*COS($K$5)-($N$5/3)*$E56*SIN($K$5)-($N$5/3)*$F56*SIN($K$5)-($N$5/3)*$G56*SIN($K$5)</f>
        <v>#VALUE!</v>
      </c>
      <c r="S56" s="79" t="e">
        <f>IF(($A56&lt;'Alternative 2'!$B$27),(($H56*'Alternative 2'!$B$39)+(3*($N$5/3)*COS($K$5))),IF(($A56&lt;'Alternative 2'!$B$28),(($H56*'Alternative 2'!$B$39)+(2*(($N$5/3)*COS($K$5)))),IF(($A56&lt;'Alternative 2'!$B$29),(($H$3*'Alternative 2'!$B$39+(($N$5/3)*COS($K$5)))),($H56*'Alternative 2'!$B$39))))</f>
        <v>#VALUE!</v>
      </c>
      <c r="T56" s="78" t="e">
        <f>R56*'Alternative 2'!$K57/'Alternative 2'!$L57</f>
        <v>#VALUE!</v>
      </c>
      <c r="U56" s="78" t="e">
        <f>S56/'Alternative 2'!$M57</f>
        <v>#VALUE!</v>
      </c>
      <c r="V56" s="78" t="e">
        <f t="shared" si="2"/>
        <v>#VALUE!</v>
      </c>
      <c r="X56" s="78" t="e">
        <f>'Alternative 2'!$B$39*$B56*$C56*COS($K$13)-($N$12/3)*$E56*SIN($K$13)-($N$12/3)*$F56*SIN($K$13)-($N$12/3)*$G56*SIN($K$13)</f>
        <v>#VALUE!</v>
      </c>
      <c r="Y56" s="79" t="e">
        <f>IF(($A56&lt;'Alternative 2'!$B$27),(($H56*'Alternative 2'!$B$39)+(3*($N$12/3)*COS($K$13))),IF(($A56&lt;'Alternative 2'!$B$28),(($H56*'Alternative 2'!$B$39)+(2*(($N$12/3)*COS($K$13)))),IF(($A56&lt;'Alternative 2'!$B$29),(($H$3*'Alternative 2'!$B$39+(($N$12/3)*COS($K$13)))),($H56*'Alternative 2'!$B$39))))</f>
        <v>#VALUE!</v>
      </c>
      <c r="Z56" s="78" t="e">
        <f>X56*'Alternative 2'!$K57/'Alternative 2'!$L57</f>
        <v>#VALUE!</v>
      </c>
      <c r="AA56" s="78" t="e">
        <f>Y56/'Alternative 2'!$M57</f>
        <v>#VALUE!</v>
      </c>
      <c r="AB56" s="78" t="e">
        <f t="shared" si="3"/>
        <v>#VALUE!</v>
      </c>
      <c r="AD56" s="78" t="e">
        <f>'Alternative 2'!$B$39*$B56*$C56*COS($K$23)-($N$22/3)*$E56*SIN($K$23)-($N$22/3)*$F56*SIN($K$23)-($N$22/3)*$G56*SIN($K$23)</f>
        <v>#VALUE!</v>
      </c>
      <c r="AE56" s="79" t="e">
        <f>IF(($A56&lt;'Alternative 2'!$B$27),(($H56*'Alternative 2'!$B$39)+(3*($N$22/3)*COS($K$23))),IF(($A56&lt;'Alternative 2'!$B$28),(($H56*'Alternative 2'!$B$39)+(2*(($N$22/3)*COS($K$23)))),IF(($A56&lt;'Alternative 2'!$B$29),(($H$3*'Alternative 2'!$B$39+(($N$22/3)*COS($K$23)))),($H56*'Alternative 2'!$B$39))))</f>
        <v>#VALUE!</v>
      </c>
      <c r="AF56" s="78" t="e">
        <f>AD56*'Alternative 2'!$K57/'Alternative 2'!$L57</f>
        <v>#VALUE!</v>
      </c>
      <c r="AG56" s="78" t="e">
        <f>AE56/'Alternative 2'!$M57</f>
        <v>#VALUE!</v>
      </c>
      <c r="AH56" s="78" t="e">
        <f t="shared" si="4"/>
        <v>#VALUE!</v>
      </c>
      <c r="AJ56" s="78" t="e">
        <f>'Alternative 2'!$B$39*$B56*$C56*COS($K$33)-($N$32/3)*$E56*SIN($K$33)-($N$32/3)*$F56*SIN($K$33)-($N$32/3)*$G56*SIN($K$33)</f>
        <v>#VALUE!</v>
      </c>
      <c r="AK56" s="79" t="e">
        <f>IF(($A56&lt;'Alternative 2'!$B$27),(($H56*'Alternative 2'!$B$39)+(3*($N$32/3)*COS($K$33))),IF(($A56&lt;'Alternative 2'!$B$28),(($H56*'Alternative 2'!$B$39)+(2*(($N$32/3)*COS($K$33)))),IF(($A56&lt;'Alternative 2'!$B$29),(($H$3*'Alternative 2'!$B$39+(($N$32/3)*COS($K$33)))),($H56*'Alternative 2'!$B$39))))</f>
        <v>#VALUE!</v>
      </c>
      <c r="AL56" s="78" t="e">
        <f>AJ56*'Alternative 2'!$K57/'Alternative 2'!$L57</f>
        <v>#VALUE!</v>
      </c>
      <c r="AM56" s="78" t="e">
        <f>AK56/'Alternative 2'!$M57</f>
        <v>#VALUE!</v>
      </c>
      <c r="AN56" s="78" t="e">
        <f t="shared" si="5"/>
        <v>#VALUE!</v>
      </c>
      <c r="AP56" s="78" t="e">
        <f>'Alternative 2'!$B$39*$B56*$C56*COS($K$43)-($N$42/3)*$E56*SIN($K$43)-($N$42/3)*$F56*SIN($K$43)-($N$42/3)*$G56*SIN($K$43)</f>
        <v>#VALUE!</v>
      </c>
      <c r="AQ56" s="79" t="e">
        <f>IF(($A56&lt;'Alternative 2'!$B$27),(($H56*'Alternative 2'!$B$39)+(3*($N$42/3)*COS($K$43))),IF(($A56&lt;'Alternative 2'!$B$28),(($H56*'Alternative 2'!$B$39)+(2*(($N$42/3)*COS($K$43)))),IF(($A56&lt;'Alternative 2'!$B$29),(($H$3*'Alternative 2'!$B$39+(($N$42/3)*COS($K$43)))),($H56*'Alternative 2'!$B$39))))</f>
        <v>#VALUE!</v>
      </c>
      <c r="AR56" s="78" t="e">
        <f>AP56*'Alternative 2'!$K57/'Alternative 2'!$L57</f>
        <v>#VALUE!</v>
      </c>
      <c r="AS56" s="78" t="e">
        <f>AQ56/'Alternative 2'!$M57</f>
        <v>#VALUE!</v>
      </c>
      <c r="AT56" s="78" t="e">
        <f t="shared" si="6"/>
        <v>#VALUE!</v>
      </c>
      <c r="AV56" s="78" t="e">
        <f>'Alternative 2'!$B$39*$B56*$C56*COS($K$53)-($N$52/3)*$E56*SIN($K$53)-($N$52/3)*$F56*SIN($K$53)-($N$52/3)*$G56*SIN($K$53)</f>
        <v>#VALUE!</v>
      </c>
      <c r="AW56" s="79" t="e">
        <f>IF(($A56&lt;'Alternative 2'!$B$27),(($H56*'Alternative 2'!$B$39)+(3*($N$52/3)*COS($K$53))),IF(($A56&lt;'Alternative 2'!$B$28),(($H56*'Alternative 2'!$B$39)+(2*(($N$52/3)*COS($K$53)))),IF(($A56&lt;'Alternative 2'!$B$29),(($H$3*'Alternative 2'!$B$39+(($N$52/3)*COS($K$53)))),($H56*'Alternative 2'!$B$39))))</f>
        <v>#VALUE!</v>
      </c>
      <c r="AX56" s="78" t="e">
        <f>AV56*'Alternative 2'!$K57/'Alternative 2'!$L57</f>
        <v>#VALUE!</v>
      </c>
      <c r="AY56" s="78" t="e">
        <f>AW56/'Alternative 2'!$M57</f>
        <v>#VALUE!</v>
      </c>
      <c r="AZ56" s="78" t="e">
        <f t="shared" si="7"/>
        <v>#VALUE!</v>
      </c>
      <c r="BB56" s="78" t="e">
        <f>'Alternative 2'!$B$39*$B56*$C56*COS($K$63)-($N$62/3)*$E56*SIN($K$63)-($N$62/3)*$F56*SIN($K$63)-($N$62/3)*$G56*SIN($K$63)</f>
        <v>#VALUE!</v>
      </c>
      <c r="BC56" s="79" t="e">
        <f>IF(($A56&lt;'Alternative 2'!$B$27),(($H56*'Alternative 2'!$B$39)+(3*($N$62/3)*COS($K$63))),IF(($A56&lt;'Alternative 2'!$B$28),(($H56*'Alternative 2'!$B$39)+(2*(($N$62/3)*COS($K$63)))),IF(($A56&lt;'Alternative 2'!$B$29),(($H$3*'Alternative 2'!$B$39+(($N$62/3)*COS($K$63)))),($H56*'Alternative 2'!$B$39))))</f>
        <v>#VALUE!</v>
      </c>
      <c r="BD56" s="78" t="e">
        <f>BB56*'Alternative 2'!$K57/'Alternative 2'!$L57</f>
        <v>#VALUE!</v>
      </c>
      <c r="BE56" s="78" t="e">
        <f>BC56/'Alternative 2'!$M57</f>
        <v>#VALUE!</v>
      </c>
      <c r="BF56" s="78" t="e">
        <f t="shared" si="8"/>
        <v>#VALUE!</v>
      </c>
      <c r="BH56" s="78" t="e">
        <f>'Alternative 2'!$B$39*$B56*$C56*COS($K$73)-($N$72/3)*$E56*SIN($K$73)-($N$72/3)*$F56*SIN($K$73)-($N$72/3)*$G56*SIN($K$73)</f>
        <v>#VALUE!</v>
      </c>
      <c r="BI56" s="79" t="e">
        <f>IF(($A56&lt;'Alternative 2'!$B$27),(($H56*'Alternative 2'!$B$39)+(3*($N$72/3)*COS($K$73))),IF(($A56&lt;'Alternative 2'!$B$28),(($H56*'Alternative 2'!$B$39)+(2*(($N$72/3)*COS($K$73)))),IF(($A56&lt;'Alternative 2'!$B$29),(($H$3*'Alternative 2'!$B$39+(($N$72/3)*COS($K$73)))),($H56*'Alternative 2'!$B$39))))</f>
        <v>#VALUE!</v>
      </c>
      <c r="BJ56" s="78" t="e">
        <f>BH56*'Alternative 2'!$K57/'Alternative 2'!$L57</f>
        <v>#VALUE!</v>
      </c>
      <c r="BK56" s="78" t="e">
        <f>BI56/'Alternative 2'!$M57</f>
        <v>#VALUE!</v>
      </c>
      <c r="BL56" s="78" t="e">
        <f t="shared" si="9"/>
        <v>#VALUE!</v>
      </c>
      <c r="BN56" s="78" t="e">
        <f>'Alternative 2'!$B$39*$B56*$C56*COS($K$83)-($N$82/3)*$E56*SIN($K$83)-($N$82/3)*$F56*SIN($K$83)-($N$82/3)*$G56*SIN($K$83)</f>
        <v>#VALUE!</v>
      </c>
      <c r="BO56" s="79" t="e">
        <f>IF(($A56&lt;'Alternative 2'!$B$27),(($H56*'Alternative 2'!$B$39)+(3*($N$82/3)*COS($K$83))),IF(($A56&lt;'Alternative 2'!$B$28),(($H56*'Alternative 2'!$B$39)+(2*(($N$82/3)*COS($K$83)))),IF(($A56&lt;'Alternative 2'!$B$29),(($H$3*'Alternative 2'!$B$39+(($N$82/3)*COS($K$83)))),($H56*'Alternative 2'!$B$39))))</f>
        <v>#VALUE!</v>
      </c>
      <c r="BP56" s="78" t="e">
        <f>BN56*'Alternative 2'!$K57/'Alternative 2'!$L57</f>
        <v>#VALUE!</v>
      </c>
      <c r="BQ56" s="78" t="e">
        <f>BO56/'Alternative 2'!$M57</f>
        <v>#VALUE!</v>
      </c>
      <c r="BR56" s="78" t="e">
        <f t="shared" si="10"/>
        <v>#VALUE!</v>
      </c>
      <c r="BT56" s="78" t="e">
        <f>'Alternative 2'!$B$39*$B56*$C56*COS($K$93)-($K$92/3)*$E56*SIN($K$93)-($K$92/3)*$F56*SIN($K$93)-($K$92/3)*$G56*SIN($K$93)</f>
        <v>#VALUE!</v>
      </c>
      <c r="BU56" s="79" t="e">
        <f>IF(($A56&lt;'Alternative 2'!$B$27),(($H56*'Alternative 2'!$B$39)+(3*($N$92/3)*COS($K$93))),IF(($A56&lt;'Alternative 2'!$B$28),(($H56*'Alternative 2'!$B$39)+(2*(($N$92/3)*COS($K$93)))),IF(($A56&lt;'Alternative 2'!$B$29),(($H$3*'Alternative 2'!$B$39+(($N$92/3)*COS($K$93)))),($H56*'Alternative 2'!$B$39))))</f>
        <v>#VALUE!</v>
      </c>
      <c r="BV56" s="78" t="e">
        <f>BT56*'Alternative 2'!$K57/'Alternative 2'!$L57</f>
        <v>#VALUE!</v>
      </c>
      <c r="BW56" s="78" t="e">
        <f>BU56/'Alternative 2'!$M57</f>
        <v>#VALUE!</v>
      </c>
      <c r="BX56" s="78" t="e">
        <f t="shared" si="11"/>
        <v>#VALUE!</v>
      </c>
      <c r="BZ56" s="77">
        <v>150</v>
      </c>
      <c r="CA56" s="77">
        <v>-150</v>
      </c>
    </row>
    <row r="57" spans="1:79" ht="15" customHeight="1" x14ac:dyDescent="0.25">
      <c r="A57" s="13" t="str">
        <f>IF('Alternative 2'!F58&gt;0,'Alternative 2'!F58,"x")</f>
        <v>x</v>
      </c>
      <c r="B57" s="13" t="e">
        <f t="shared" si="17"/>
        <v>#VALUE!</v>
      </c>
      <c r="C57" s="13">
        <f t="shared" si="12"/>
        <v>0</v>
      </c>
      <c r="D57" s="13" t="str">
        <f t="shared" si="13"/>
        <v>x</v>
      </c>
      <c r="E57" s="74">
        <f>IF($A57&lt;='Alternative 2'!$B$27, IF($A57='Alternative 2'!$B$27,0,E58+1),0)</f>
        <v>0</v>
      </c>
      <c r="F57" s="74">
        <f>IF($A57&lt;=('Alternative 2'!$B$28), IF($A57=ROUNDDOWN('Alternative 2'!$B$28,0),0,F58+1),0)</f>
        <v>0</v>
      </c>
      <c r="G57" s="74">
        <f>IF($A57&lt;=('Alternative 2'!$B$29), IF($A57=ROUNDDOWN('Alternative 2'!$B$29,0),0,G58+1),0)</f>
        <v>0</v>
      </c>
      <c r="H57" s="13" t="e">
        <f t="shared" si="14"/>
        <v>#VALUE!</v>
      </c>
      <c r="J57" s="77">
        <f t="shared" si="15"/>
        <v>54</v>
      </c>
      <c r="K57" s="77">
        <f t="shared" si="16"/>
        <v>0.94247779607693793</v>
      </c>
      <c r="L57" s="78">
        <f>'Alternative 2'!$B$27*SIN(K57)+'Alternative 2'!$B$28*SIN(K57)+'Alternative 2'!$B$29*SIN(K57)</f>
        <v>55.013155617496423</v>
      </c>
      <c r="M57" s="77">
        <f>(('Alternative 2'!$B$27)*(((('Alternative 2'!$B$28-'Alternative 2'!$B$27)/2)+'Alternative 2'!$B$27)*'Alternative 2'!$B$39)*COS('Alternative 2-Tilt Up'!K57))+(('Alternative 2'!$B$28)*((('Alternative 2'!$B$28-'Alternative 2'!$B$27)/2)+(('Alternative 2'!$B$29-'Alternative 2'!$B$28)/2))*('Alternative 2'!$B$39)*COS('Alternative 2-Tilt Up'!K57))+(('Alternative 2'!$B$29)*((('Alternative 2'!$B$12-'Alternative 2'!$B$29+(('Alternative 2'!$B$29-'Alternative 2'!$B$28)/2)*('Alternative 2'!$B$39)*COS('Alternative 2-Tilt Up'!K57)))))</f>
        <v>2789775.530161316</v>
      </c>
      <c r="N57" s="77">
        <f t="shared" si="0"/>
        <v>152133.18517256918</v>
      </c>
      <c r="O57" s="77">
        <f>(((('Alternative 2'!$B$28-'Alternative 2'!$B$27)/2)+'Alternative 2'!$B$27)*('Alternative 2'!$B$39)*COS('Alternative 2-Tilt Up'!K57))+(((('Alternative 2'!$B$28-'Alternative 2'!$B$27)/2)+(('Alternative 2'!$B$29-'Alternative 2'!$B$28)/2))*('Alternative 2'!$B$39)*COS('Alternative 2-Tilt Up'!K57))+(((('Alternative 2'!$B$12-'Alternative 2'!$B$29)+(('Alternative 2'!$B$29-'Alternative 2'!$B$28)/2))*('Alternative 2'!$B$39)*COS('Alternative 2-Tilt Up'!K57)))</f>
        <v>179932.76654733071</v>
      </c>
      <c r="P57" s="77">
        <f t="shared" si="1"/>
        <v>89421.642628716116</v>
      </c>
      <c r="R57" s="78" t="e">
        <f>'Alternative 2'!$B$39*$B57*$C57*COS($K$5)-($N$5/3)*$E57*SIN($K$5)-($N$5/3)*$F57*SIN($K$5)-($N$5/3)*$G57*SIN($K$5)</f>
        <v>#VALUE!</v>
      </c>
      <c r="S57" s="79" t="e">
        <f>IF(($A57&lt;'Alternative 2'!$B$27),(($H57*'Alternative 2'!$B$39)+(3*($N$5/3)*COS($K$5))),IF(($A57&lt;'Alternative 2'!$B$28),(($H57*'Alternative 2'!$B$39)+(2*(($N$5/3)*COS($K$5)))),IF(($A57&lt;'Alternative 2'!$B$29),(($H$3*'Alternative 2'!$B$39+(($N$5/3)*COS($K$5)))),($H57*'Alternative 2'!$B$39))))</f>
        <v>#VALUE!</v>
      </c>
      <c r="T57" s="78" t="e">
        <f>R57*'Alternative 2'!$K58/'Alternative 2'!$L58</f>
        <v>#VALUE!</v>
      </c>
      <c r="U57" s="78" t="e">
        <f>S57/'Alternative 2'!$M58</f>
        <v>#VALUE!</v>
      </c>
      <c r="V57" s="78" t="e">
        <f t="shared" si="2"/>
        <v>#VALUE!</v>
      </c>
      <c r="X57" s="78" t="e">
        <f>'Alternative 2'!$B$39*$B57*$C57*COS($K$13)-($N$12/3)*$E57*SIN($K$13)-($N$12/3)*$F57*SIN($K$13)-($N$12/3)*$G57*SIN($K$13)</f>
        <v>#VALUE!</v>
      </c>
      <c r="Y57" s="79" t="e">
        <f>IF(($A57&lt;'Alternative 2'!$B$27),(($H57*'Alternative 2'!$B$39)+(3*($N$12/3)*COS($K$13))),IF(($A57&lt;'Alternative 2'!$B$28),(($H57*'Alternative 2'!$B$39)+(2*(($N$12/3)*COS($K$13)))),IF(($A57&lt;'Alternative 2'!$B$29),(($H$3*'Alternative 2'!$B$39+(($N$12/3)*COS($K$13)))),($H57*'Alternative 2'!$B$39))))</f>
        <v>#VALUE!</v>
      </c>
      <c r="Z57" s="78" t="e">
        <f>X57*'Alternative 2'!$K58/'Alternative 2'!$L58</f>
        <v>#VALUE!</v>
      </c>
      <c r="AA57" s="78" t="e">
        <f>Y57/'Alternative 2'!$M58</f>
        <v>#VALUE!</v>
      </c>
      <c r="AB57" s="78" t="e">
        <f t="shared" si="3"/>
        <v>#VALUE!</v>
      </c>
      <c r="AD57" s="78" t="e">
        <f>'Alternative 2'!$B$39*$B57*$C57*COS($K$23)-($N$22/3)*$E57*SIN($K$23)-($N$22/3)*$F57*SIN($K$23)-($N$22/3)*$G57*SIN($K$23)</f>
        <v>#VALUE!</v>
      </c>
      <c r="AE57" s="79" t="e">
        <f>IF(($A57&lt;'Alternative 2'!$B$27),(($H57*'Alternative 2'!$B$39)+(3*($N$22/3)*COS($K$23))),IF(($A57&lt;'Alternative 2'!$B$28),(($H57*'Alternative 2'!$B$39)+(2*(($N$22/3)*COS($K$23)))),IF(($A57&lt;'Alternative 2'!$B$29),(($H$3*'Alternative 2'!$B$39+(($N$22/3)*COS($K$23)))),($H57*'Alternative 2'!$B$39))))</f>
        <v>#VALUE!</v>
      </c>
      <c r="AF57" s="78" t="e">
        <f>AD57*'Alternative 2'!$K58/'Alternative 2'!$L58</f>
        <v>#VALUE!</v>
      </c>
      <c r="AG57" s="78" t="e">
        <f>AE57/'Alternative 2'!$M58</f>
        <v>#VALUE!</v>
      </c>
      <c r="AH57" s="78" t="e">
        <f t="shared" si="4"/>
        <v>#VALUE!</v>
      </c>
      <c r="AJ57" s="78" t="e">
        <f>'Alternative 2'!$B$39*$B57*$C57*COS($K$33)-($N$32/3)*$E57*SIN($K$33)-($N$32/3)*$F57*SIN($K$33)-($N$32/3)*$G57*SIN($K$33)</f>
        <v>#VALUE!</v>
      </c>
      <c r="AK57" s="79" t="e">
        <f>IF(($A57&lt;'Alternative 2'!$B$27),(($H57*'Alternative 2'!$B$39)+(3*($N$32/3)*COS($K$33))),IF(($A57&lt;'Alternative 2'!$B$28),(($H57*'Alternative 2'!$B$39)+(2*(($N$32/3)*COS($K$33)))),IF(($A57&lt;'Alternative 2'!$B$29),(($H$3*'Alternative 2'!$B$39+(($N$32/3)*COS($K$33)))),($H57*'Alternative 2'!$B$39))))</f>
        <v>#VALUE!</v>
      </c>
      <c r="AL57" s="78" t="e">
        <f>AJ57*'Alternative 2'!$K58/'Alternative 2'!$L58</f>
        <v>#VALUE!</v>
      </c>
      <c r="AM57" s="78" t="e">
        <f>AK57/'Alternative 2'!$M58</f>
        <v>#VALUE!</v>
      </c>
      <c r="AN57" s="78" t="e">
        <f t="shared" si="5"/>
        <v>#VALUE!</v>
      </c>
      <c r="AP57" s="78" t="e">
        <f>'Alternative 2'!$B$39*$B57*$C57*COS($K$43)-($N$42/3)*$E57*SIN($K$43)-($N$42/3)*$F57*SIN($K$43)-($N$42/3)*$G57*SIN($K$43)</f>
        <v>#VALUE!</v>
      </c>
      <c r="AQ57" s="79" t="e">
        <f>IF(($A57&lt;'Alternative 2'!$B$27),(($H57*'Alternative 2'!$B$39)+(3*($N$42/3)*COS($K$43))),IF(($A57&lt;'Alternative 2'!$B$28),(($H57*'Alternative 2'!$B$39)+(2*(($N$42/3)*COS($K$43)))),IF(($A57&lt;'Alternative 2'!$B$29),(($H$3*'Alternative 2'!$B$39+(($N$42/3)*COS($K$43)))),($H57*'Alternative 2'!$B$39))))</f>
        <v>#VALUE!</v>
      </c>
      <c r="AR57" s="78" t="e">
        <f>AP57*'Alternative 2'!$K58/'Alternative 2'!$L58</f>
        <v>#VALUE!</v>
      </c>
      <c r="AS57" s="78" t="e">
        <f>AQ57/'Alternative 2'!$M58</f>
        <v>#VALUE!</v>
      </c>
      <c r="AT57" s="78" t="e">
        <f t="shared" si="6"/>
        <v>#VALUE!</v>
      </c>
      <c r="AV57" s="78" t="e">
        <f>'Alternative 2'!$B$39*$B57*$C57*COS($K$53)-($N$52/3)*$E57*SIN($K$53)-($N$52/3)*$F57*SIN($K$53)-($N$52/3)*$G57*SIN($K$53)</f>
        <v>#VALUE!</v>
      </c>
      <c r="AW57" s="79" t="e">
        <f>IF(($A57&lt;'Alternative 2'!$B$27),(($H57*'Alternative 2'!$B$39)+(3*($N$52/3)*COS($K$53))),IF(($A57&lt;'Alternative 2'!$B$28),(($H57*'Alternative 2'!$B$39)+(2*(($N$52/3)*COS($K$53)))),IF(($A57&lt;'Alternative 2'!$B$29),(($H$3*'Alternative 2'!$B$39+(($N$52/3)*COS($K$53)))),($H57*'Alternative 2'!$B$39))))</f>
        <v>#VALUE!</v>
      </c>
      <c r="AX57" s="78" t="e">
        <f>AV57*'Alternative 2'!$K58/'Alternative 2'!$L58</f>
        <v>#VALUE!</v>
      </c>
      <c r="AY57" s="78" t="e">
        <f>AW57/'Alternative 2'!$M58</f>
        <v>#VALUE!</v>
      </c>
      <c r="AZ57" s="78" t="e">
        <f t="shared" si="7"/>
        <v>#VALUE!</v>
      </c>
      <c r="BB57" s="78" t="e">
        <f>'Alternative 2'!$B$39*$B57*$C57*COS($K$63)-($N$62/3)*$E57*SIN($K$63)-($N$62/3)*$F57*SIN($K$63)-($N$62/3)*$G57*SIN($K$63)</f>
        <v>#VALUE!</v>
      </c>
      <c r="BC57" s="79" t="e">
        <f>IF(($A57&lt;'Alternative 2'!$B$27),(($H57*'Alternative 2'!$B$39)+(3*($N$62/3)*COS($K$63))),IF(($A57&lt;'Alternative 2'!$B$28),(($H57*'Alternative 2'!$B$39)+(2*(($N$62/3)*COS($K$63)))),IF(($A57&lt;'Alternative 2'!$B$29),(($H$3*'Alternative 2'!$B$39+(($N$62/3)*COS($K$63)))),($H57*'Alternative 2'!$B$39))))</f>
        <v>#VALUE!</v>
      </c>
      <c r="BD57" s="78" t="e">
        <f>BB57*'Alternative 2'!$K58/'Alternative 2'!$L58</f>
        <v>#VALUE!</v>
      </c>
      <c r="BE57" s="78" t="e">
        <f>BC57/'Alternative 2'!$M58</f>
        <v>#VALUE!</v>
      </c>
      <c r="BF57" s="78" t="e">
        <f t="shared" si="8"/>
        <v>#VALUE!</v>
      </c>
      <c r="BH57" s="78" t="e">
        <f>'Alternative 2'!$B$39*$B57*$C57*COS($K$73)-($N$72/3)*$E57*SIN($K$73)-($N$72/3)*$F57*SIN($K$73)-($N$72/3)*$G57*SIN($K$73)</f>
        <v>#VALUE!</v>
      </c>
      <c r="BI57" s="79" t="e">
        <f>IF(($A57&lt;'Alternative 2'!$B$27),(($H57*'Alternative 2'!$B$39)+(3*($N$72/3)*COS($K$73))),IF(($A57&lt;'Alternative 2'!$B$28),(($H57*'Alternative 2'!$B$39)+(2*(($N$72/3)*COS($K$73)))),IF(($A57&lt;'Alternative 2'!$B$29),(($H$3*'Alternative 2'!$B$39+(($N$72/3)*COS($K$73)))),($H57*'Alternative 2'!$B$39))))</f>
        <v>#VALUE!</v>
      </c>
      <c r="BJ57" s="78" t="e">
        <f>BH57*'Alternative 2'!$K58/'Alternative 2'!$L58</f>
        <v>#VALUE!</v>
      </c>
      <c r="BK57" s="78" t="e">
        <f>BI57/'Alternative 2'!$M58</f>
        <v>#VALUE!</v>
      </c>
      <c r="BL57" s="78" t="e">
        <f t="shared" si="9"/>
        <v>#VALUE!</v>
      </c>
      <c r="BN57" s="78" t="e">
        <f>'Alternative 2'!$B$39*$B57*$C57*COS($K$83)-($N$82/3)*$E57*SIN($K$83)-($N$82/3)*$F57*SIN($K$83)-($N$82/3)*$G57*SIN($K$83)</f>
        <v>#VALUE!</v>
      </c>
      <c r="BO57" s="79" t="e">
        <f>IF(($A57&lt;'Alternative 2'!$B$27),(($H57*'Alternative 2'!$B$39)+(3*($N$82/3)*COS($K$83))),IF(($A57&lt;'Alternative 2'!$B$28),(($H57*'Alternative 2'!$B$39)+(2*(($N$82/3)*COS($K$83)))),IF(($A57&lt;'Alternative 2'!$B$29),(($H$3*'Alternative 2'!$B$39+(($N$82/3)*COS($K$83)))),($H57*'Alternative 2'!$B$39))))</f>
        <v>#VALUE!</v>
      </c>
      <c r="BP57" s="78" t="e">
        <f>BN57*'Alternative 2'!$K58/'Alternative 2'!$L58</f>
        <v>#VALUE!</v>
      </c>
      <c r="BQ57" s="78" t="e">
        <f>BO57/'Alternative 2'!$M58</f>
        <v>#VALUE!</v>
      </c>
      <c r="BR57" s="78" t="e">
        <f t="shared" si="10"/>
        <v>#VALUE!</v>
      </c>
      <c r="BT57" s="78" t="e">
        <f>'Alternative 2'!$B$39*$B57*$C57*COS($K$93)-($K$92/3)*$E57*SIN($K$93)-($K$92/3)*$F57*SIN($K$93)-($K$92/3)*$G57*SIN($K$93)</f>
        <v>#VALUE!</v>
      </c>
      <c r="BU57" s="79" t="e">
        <f>IF(($A57&lt;'Alternative 2'!$B$27),(($H57*'Alternative 2'!$B$39)+(3*($N$92/3)*COS($K$93))),IF(($A57&lt;'Alternative 2'!$B$28),(($H57*'Alternative 2'!$B$39)+(2*(($N$92/3)*COS($K$93)))),IF(($A57&lt;'Alternative 2'!$B$29),(($H$3*'Alternative 2'!$B$39+(($N$92/3)*COS($K$93)))),($H57*'Alternative 2'!$B$39))))</f>
        <v>#VALUE!</v>
      </c>
      <c r="BV57" s="78" t="e">
        <f>BT57*'Alternative 2'!$K58/'Alternative 2'!$L58</f>
        <v>#VALUE!</v>
      </c>
      <c r="BW57" s="78" t="e">
        <f>BU57/'Alternative 2'!$M58</f>
        <v>#VALUE!</v>
      </c>
      <c r="BX57" s="78" t="e">
        <f t="shared" si="11"/>
        <v>#VALUE!</v>
      </c>
      <c r="BZ57" s="77">
        <v>150</v>
      </c>
      <c r="CA57" s="77">
        <v>-150</v>
      </c>
    </row>
    <row r="58" spans="1:79" ht="15" customHeight="1" x14ac:dyDescent="0.25">
      <c r="A58" s="13" t="str">
        <f>IF('Alternative 2'!F59&gt;0,'Alternative 2'!F59,"x")</f>
        <v>x</v>
      </c>
      <c r="B58" s="13" t="e">
        <f t="shared" si="17"/>
        <v>#VALUE!</v>
      </c>
      <c r="C58" s="13">
        <f t="shared" si="12"/>
        <v>0</v>
      </c>
      <c r="D58" s="13" t="str">
        <f t="shared" si="13"/>
        <v>x</v>
      </c>
      <c r="E58" s="74">
        <f>IF($A58&lt;='Alternative 2'!$B$27, IF($A58='Alternative 2'!$B$27,0,E59+1),0)</f>
        <v>0</v>
      </c>
      <c r="F58" s="74">
        <f>IF($A58&lt;=('Alternative 2'!$B$28), IF($A58=ROUNDDOWN('Alternative 2'!$B$28,0),0,F59+1),0)</f>
        <v>0</v>
      </c>
      <c r="G58" s="74">
        <f>IF($A58&lt;=('Alternative 2'!$B$29), IF($A58=ROUNDDOWN('Alternative 2'!$B$29,0),0,G59+1),0)</f>
        <v>0</v>
      </c>
      <c r="H58" s="13" t="e">
        <f t="shared" si="14"/>
        <v>#VALUE!</v>
      </c>
      <c r="J58" s="77">
        <f t="shared" si="15"/>
        <v>55</v>
      </c>
      <c r="K58" s="77">
        <f t="shared" si="16"/>
        <v>0.95993108859688125</v>
      </c>
      <c r="L58" s="78">
        <f>'Alternative 2'!$B$27*SIN(K58)+'Alternative 2'!$B$28*SIN(K58)+'Alternative 2'!$B$29*SIN(K58)</f>
        <v>55.702339011651446</v>
      </c>
      <c r="M58" s="77">
        <f>(('Alternative 2'!$B$27)*(((('Alternative 2'!$B$28-'Alternative 2'!$B$27)/2)+'Alternative 2'!$B$27)*'Alternative 2'!$B$39)*COS('Alternative 2-Tilt Up'!K58))+(('Alternative 2'!$B$28)*((('Alternative 2'!$B$28-'Alternative 2'!$B$27)/2)+(('Alternative 2'!$B$29-'Alternative 2'!$B$28)/2))*('Alternative 2'!$B$39)*COS('Alternative 2-Tilt Up'!K58))+(('Alternative 2'!$B$29)*((('Alternative 2'!$B$12-'Alternative 2'!$B$29+(('Alternative 2'!$B$29-'Alternative 2'!$B$28)/2)*('Alternative 2'!$B$39)*COS('Alternative 2-Tilt Up'!K58)))))</f>
        <v>2722341.6719876439</v>
      </c>
      <c r="N58" s="77">
        <f t="shared" si="0"/>
        <v>146619.06772450989</v>
      </c>
      <c r="O58" s="77">
        <f>(((('Alternative 2'!$B$28-'Alternative 2'!$B$27)/2)+'Alternative 2'!$B$27)*('Alternative 2'!$B$39)*COS('Alternative 2-Tilt Up'!K58))+(((('Alternative 2'!$B$28-'Alternative 2'!$B$27)/2)+(('Alternative 2'!$B$29-'Alternative 2'!$B$28)/2))*('Alternative 2'!$B$39)*COS('Alternative 2-Tilt Up'!K58))+(((('Alternative 2'!$B$12-'Alternative 2'!$B$29)+(('Alternative 2'!$B$29-'Alternative 2'!$B$28)/2))*('Alternative 2'!$B$39)*COS('Alternative 2-Tilt Up'!K58)))</f>
        <v>175583.16513808913</v>
      </c>
      <c r="P58" s="77">
        <f t="shared" si="1"/>
        <v>84097.242366537073</v>
      </c>
      <c r="R58" s="78" t="e">
        <f>'Alternative 2'!$B$39*$B58*$C58*COS($K$5)-($N$5/3)*$E58*SIN($K$5)-($N$5/3)*$F58*SIN($K$5)-($N$5/3)*$G58*SIN($K$5)</f>
        <v>#VALUE!</v>
      </c>
      <c r="S58" s="79" t="e">
        <f>IF(($A58&lt;'Alternative 2'!$B$27),(($H58*'Alternative 2'!$B$39)+(3*($N$5/3)*COS($K$5))),IF(($A58&lt;'Alternative 2'!$B$28),(($H58*'Alternative 2'!$B$39)+(2*(($N$5/3)*COS($K$5)))),IF(($A58&lt;'Alternative 2'!$B$29),(($H$3*'Alternative 2'!$B$39+(($N$5/3)*COS($K$5)))),($H58*'Alternative 2'!$B$39))))</f>
        <v>#VALUE!</v>
      </c>
      <c r="T58" s="78" t="e">
        <f>R58*'Alternative 2'!$K59/'Alternative 2'!$L59</f>
        <v>#VALUE!</v>
      </c>
      <c r="U58" s="78" t="e">
        <f>S58/'Alternative 2'!$M59</f>
        <v>#VALUE!</v>
      </c>
      <c r="V58" s="78" t="e">
        <f t="shared" si="2"/>
        <v>#VALUE!</v>
      </c>
      <c r="X58" s="78" t="e">
        <f>'Alternative 2'!$B$39*$B58*$C58*COS($K$13)-($N$12/3)*$E58*SIN($K$13)-($N$12/3)*$F58*SIN($K$13)-($N$12/3)*$G58*SIN($K$13)</f>
        <v>#VALUE!</v>
      </c>
      <c r="Y58" s="79" t="e">
        <f>IF(($A58&lt;'Alternative 2'!$B$27),(($H58*'Alternative 2'!$B$39)+(3*($N$12/3)*COS($K$13))),IF(($A58&lt;'Alternative 2'!$B$28),(($H58*'Alternative 2'!$B$39)+(2*(($N$12/3)*COS($K$13)))),IF(($A58&lt;'Alternative 2'!$B$29),(($H$3*'Alternative 2'!$B$39+(($N$12/3)*COS($K$13)))),($H58*'Alternative 2'!$B$39))))</f>
        <v>#VALUE!</v>
      </c>
      <c r="Z58" s="78" t="e">
        <f>X58*'Alternative 2'!$K59/'Alternative 2'!$L59</f>
        <v>#VALUE!</v>
      </c>
      <c r="AA58" s="78" t="e">
        <f>Y58/'Alternative 2'!$M59</f>
        <v>#VALUE!</v>
      </c>
      <c r="AB58" s="78" t="e">
        <f t="shared" si="3"/>
        <v>#VALUE!</v>
      </c>
      <c r="AD58" s="78" t="e">
        <f>'Alternative 2'!$B$39*$B58*$C58*COS($K$23)-($N$22/3)*$E58*SIN($K$23)-($N$22/3)*$F58*SIN($K$23)-($N$22/3)*$G58*SIN($K$23)</f>
        <v>#VALUE!</v>
      </c>
      <c r="AE58" s="79" t="e">
        <f>IF(($A58&lt;'Alternative 2'!$B$27),(($H58*'Alternative 2'!$B$39)+(3*($N$22/3)*COS($K$23))),IF(($A58&lt;'Alternative 2'!$B$28),(($H58*'Alternative 2'!$B$39)+(2*(($N$22/3)*COS($K$23)))),IF(($A58&lt;'Alternative 2'!$B$29),(($H$3*'Alternative 2'!$B$39+(($N$22/3)*COS($K$23)))),($H58*'Alternative 2'!$B$39))))</f>
        <v>#VALUE!</v>
      </c>
      <c r="AF58" s="78" t="e">
        <f>AD58*'Alternative 2'!$K59/'Alternative 2'!$L59</f>
        <v>#VALUE!</v>
      </c>
      <c r="AG58" s="78" t="e">
        <f>AE58/'Alternative 2'!$M59</f>
        <v>#VALUE!</v>
      </c>
      <c r="AH58" s="78" t="e">
        <f t="shared" si="4"/>
        <v>#VALUE!</v>
      </c>
      <c r="AJ58" s="78" t="e">
        <f>'Alternative 2'!$B$39*$B58*$C58*COS($K$33)-($N$32/3)*$E58*SIN($K$33)-($N$32/3)*$F58*SIN($K$33)-($N$32/3)*$G58*SIN($K$33)</f>
        <v>#VALUE!</v>
      </c>
      <c r="AK58" s="79" t="e">
        <f>IF(($A58&lt;'Alternative 2'!$B$27),(($H58*'Alternative 2'!$B$39)+(3*($N$32/3)*COS($K$33))),IF(($A58&lt;'Alternative 2'!$B$28),(($H58*'Alternative 2'!$B$39)+(2*(($N$32/3)*COS($K$33)))),IF(($A58&lt;'Alternative 2'!$B$29),(($H$3*'Alternative 2'!$B$39+(($N$32/3)*COS($K$33)))),($H58*'Alternative 2'!$B$39))))</f>
        <v>#VALUE!</v>
      </c>
      <c r="AL58" s="78" t="e">
        <f>AJ58*'Alternative 2'!$K59/'Alternative 2'!$L59</f>
        <v>#VALUE!</v>
      </c>
      <c r="AM58" s="78" t="e">
        <f>AK58/'Alternative 2'!$M59</f>
        <v>#VALUE!</v>
      </c>
      <c r="AN58" s="78" t="e">
        <f t="shared" si="5"/>
        <v>#VALUE!</v>
      </c>
      <c r="AP58" s="78" t="e">
        <f>'Alternative 2'!$B$39*$B58*$C58*COS($K$43)-($N$42/3)*$E58*SIN($K$43)-($N$42/3)*$F58*SIN($K$43)-($N$42/3)*$G58*SIN($K$43)</f>
        <v>#VALUE!</v>
      </c>
      <c r="AQ58" s="79" t="e">
        <f>IF(($A58&lt;'Alternative 2'!$B$27),(($H58*'Alternative 2'!$B$39)+(3*($N$42/3)*COS($K$43))),IF(($A58&lt;'Alternative 2'!$B$28),(($H58*'Alternative 2'!$B$39)+(2*(($N$42/3)*COS($K$43)))),IF(($A58&lt;'Alternative 2'!$B$29),(($H$3*'Alternative 2'!$B$39+(($N$42/3)*COS($K$43)))),($H58*'Alternative 2'!$B$39))))</f>
        <v>#VALUE!</v>
      </c>
      <c r="AR58" s="78" t="e">
        <f>AP58*'Alternative 2'!$K59/'Alternative 2'!$L59</f>
        <v>#VALUE!</v>
      </c>
      <c r="AS58" s="78" t="e">
        <f>AQ58/'Alternative 2'!$M59</f>
        <v>#VALUE!</v>
      </c>
      <c r="AT58" s="78" t="e">
        <f t="shared" si="6"/>
        <v>#VALUE!</v>
      </c>
      <c r="AV58" s="78" t="e">
        <f>'Alternative 2'!$B$39*$B58*$C58*COS($K$53)-($N$52/3)*$E58*SIN($K$53)-($N$52/3)*$F58*SIN($K$53)-($N$52/3)*$G58*SIN($K$53)</f>
        <v>#VALUE!</v>
      </c>
      <c r="AW58" s="79" t="e">
        <f>IF(($A58&lt;'Alternative 2'!$B$27),(($H58*'Alternative 2'!$B$39)+(3*($N$52/3)*COS($K$53))),IF(($A58&lt;'Alternative 2'!$B$28),(($H58*'Alternative 2'!$B$39)+(2*(($N$52/3)*COS($K$53)))),IF(($A58&lt;'Alternative 2'!$B$29),(($H$3*'Alternative 2'!$B$39+(($N$52/3)*COS($K$53)))),($H58*'Alternative 2'!$B$39))))</f>
        <v>#VALUE!</v>
      </c>
      <c r="AX58" s="78" t="e">
        <f>AV58*'Alternative 2'!$K59/'Alternative 2'!$L59</f>
        <v>#VALUE!</v>
      </c>
      <c r="AY58" s="78" t="e">
        <f>AW58/'Alternative 2'!$M59</f>
        <v>#VALUE!</v>
      </c>
      <c r="AZ58" s="78" t="e">
        <f t="shared" si="7"/>
        <v>#VALUE!</v>
      </c>
      <c r="BB58" s="78" t="e">
        <f>'Alternative 2'!$B$39*$B58*$C58*COS($K$63)-($N$62/3)*$E58*SIN($K$63)-($N$62/3)*$F58*SIN($K$63)-($N$62/3)*$G58*SIN($K$63)</f>
        <v>#VALUE!</v>
      </c>
      <c r="BC58" s="79" t="e">
        <f>IF(($A58&lt;'Alternative 2'!$B$27),(($H58*'Alternative 2'!$B$39)+(3*($N$62/3)*COS($K$63))),IF(($A58&lt;'Alternative 2'!$B$28),(($H58*'Alternative 2'!$B$39)+(2*(($N$62/3)*COS($K$63)))),IF(($A58&lt;'Alternative 2'!$B$29),(($H$3*'Alternative 2'!$B$39+(($N$62/3)*COS($K$63)))),($H58*'Alternative 2'!$B$39))))</f>
        <v>#VALUE!</v>
      </c>
      <c r="BD58" s="78" t="e">
        <f>BB58*'Alternative 2'!$K59/'Alternative 2'!$L59</f>
        <v>#VALUE!</v>
      </c>
      <c r="BE58" s="78" t="e">
        <f>BC58/'Alternative 2'!$M59</f>
        <v>#VALUE!</v>
      </c>
      <c r="BF58" s="78" t="e">
        <f t="shared" si="8"/>
        <v>#VALUE!</v>
      </c>
      <c r="BH58" s="78" t="e">
        <f>'Alternative 2'!$B$39*$B58*$C58*COS($K$73)-($N$72/3)*$E58*SIN($K$73)-($N$72/3)*$F58*SIN($K$73)-($N$72/3)*$G58*SIN($K$73)</f>
        <v>#VALUE!</v>
      </c>
      <c r="BI58" s="79" t="e">
        <f>IF(($A58&lt;'Alternative 2'!$B$27),(($H58*'Alternative 2'!$B$39)+(3*($N$72/3)*COS($K$73))),IF(($A58&lt;'Alternative 2'!$B$28),(($H58*'Alternative 2'!$B$39)+(2*(($N$72/3)*COS($K$73)))),IF(($A58&lt;'Alternative 2'!$B$29),(($H$3*'Alternative 2'!$B$39+(($N$72/3)*COS($K$73)))),($H58*'Alternative 2'!$B$39))))</f>
        <v>#VALUE!</v>
      </c>
      <c r="BJ58" s="78" t="e">
        <f>BH58*'Alternative 2'!$K59/'Alternative 2'!$L59</f>
        <v>#VALUE!</v>
      </c>
      <c r="BK58" s="78" t="e">
        <f>BI58/'Alternative 2'!$M59</f>
        <v>#VALUE!</v>
      </c>
      <c r="BL58" s="78" t="e">
        <f t="shared" si="9"/>
        <v>#VALUE!</v>
      </c>
      <c r="BN58" s="78" t="e">
        <f>'Alternative 2'!$B$39*$B58*$C58*COS($K$83)-($N$82/3)*$E58*SIN($K$83)-($N$82/3)*$F58*SIN($K$83)-($N$82/3)*$G58*SIN($K$83)</f>
        <v>#VALUE!</v>
      </c>
      <c r="BO58" s="79" t="e">
        <f>IF(($A58&lt;'Alternative 2'!$B$27),(($H58*'Alternative 2'!$B$39)+(3*($N$82/3)*COS($K$83))),IF(($A58&lt;'Alternative 2'!$B$28),(($H58*'Alternative 2'!$B$39)+(2*(($N$82/3)*COS($K$83)))),IF(($A58&lt;'Alternative 2'!$B$29),(($H$3*'Alternative 2'!$B$39+(($N$82/3)*COS($K$83)))),($H58*'Alternative 2'!$B$39))))</f>
        <v>#VALUE!</v>
      </c>
      <c r="BP58" s="78" t="e">
        <f>BN58*'Alternative 2'!$K59/'Alternative 2'!$L59</f>
        <v>#VALUE!</v>
      </c>
      <c r="BQ58" s="78" t="e">
        <f>BO58/'Alternative 2'!$M59</f>
        <v>#VALUE!</v>
      </c>
      <c r="BR58" s="78" t="e">
        <f t="shared" si="10"/>
        <v>#VALUE!</v>
      </c>
      <c r="BT58" s="78" t="e">
        <f>'Alternative 2'!$B$39*$B58*$C58*COS($K$93)-($K$92/3)*$E58*SIN($K$93)-($K$92/3)*$F58*SIN($K$93)-($K$92/3)*$G58*SIN($K$93)</f>
        <v>#VALUE!</v>
      </c>
      <c r="BU58" s="79" t="e">
        <f>IF(($A58&lt;'Alternative 2'!$B$27),(($H58*'Alternative 2'!$B$39)+(3*($N$92/3)*COS($K$93))),IF(($A58&lt;'Alternative 2'!$B$28),(($H58*'Alternative 2'!$B$39)+(2*(($N$92/3)*COS($K$93)))),IF(($A58&lt;'Alternative 2'!$B$29),(($H$3*'Alternative 2'!$B$39+(($N$92/3)*COS($K$93)))),($H58*'Alternative 2'!$B$39))))</f>
        <v>#VALUE!</v>
      </c>
      <c r="BV58" s="78" t="e">
        <f>BT58*'Alternative 2'!$K59/'Alternative 2'!$L59</f>
        <v>#VALUE!</v>
      </c>
      <c r="BW58" s="78" t="e">
        <f>BU58/'Alternative 2'!$M59</f>
        <v>#VALUE!</v>
      </c>
      <c r="BX58" s="78" t="e">
        <f t="shared" si="11"/>
        <v>#VALUE!</v>
      </c>
      <c r="BZ58" s="77">
        <v>150</v>
      </c>
      <c r="CA58" s="77">
        <v>-150</v>
      </c>
    </row>
    <row r="59" spans="1:79" ht="15" customHeight="1" x14ac:dyDescent="0.25">
      <c r="A59" s="13" t="str">
        <f>IF('Alternative 2'!F60&gt;0,'Alternative 2'!F60,"x")</f>
        <v>x</v>
      </c>
      <c r="B59" s="13" t="e">
        <f t="shared" si="17"/>
        <v>#VALUE!</v>
      </c>
      <c r="C59" s="13">
        <f t="shared" si="12"/>
        <v>0</v>
      </c>
      <c r="D59" s="13" t="str">
        <f t="shared" si="13"/>
        <v>x</v>
      </c>
      <c r="E59" s="74">
        <f>IF($A59&lt;='Alternative 2'!$B$27, IF($A59='Alternative 2'!$B$27,0,E60+1),0)</f>
        <v>0</v>
      </c>
      <c r="F59" s="74">
        <f>IF($A59&lt;=('Alternative 2'!$B$28), IF($A59=ROUNDDOWN('Alternative 2'!$B$28,0),0,F60+1),0)</f>
        <v>0</v>
      </c>
      <c r="G59" s="74">
        <f>IF($A59&lt;=('Alternative 2'!$B$29), IF($A59=ROUNDDOWN('Alternative 2'!$B$29,0),0,G60+1),0)</f>
        <v>0</v>
      </c>
      <c r="H59" s="13" t="e">
        <f t="shared" si="14"/>
        <v>#VALUE!</v>
      </c>
      <c r="J59" s="77">
        <f t="shared" si="15"/>
        <v>56</v>
      </c>
      <c r="K59" s="77">
        <f t="shared" si="16"/>
        <v>0.97738438111682457</v>
      </c>
      <c r="L59" s="78">
        <f>'Alternative 2'!$B$27*SIN(K59)+'Alternative 2'!$B$28*SIN(K59)+'Alternative 2'!$B$29*SIN(K59)</f>
        <v>56.374554933742843</v>
      </c>
      <c r="M59" s="77">
        <f>(('Alternative 2'!$B$27)*(((('Alternative 2'!$B$28-'Alternative 2'!$B$27)/2)+'Alternative 2'!$B$27)*'Alternative 2'!$B$39)*COS('Alternative 2-Tilt Up'!K59))+(('Alternative 2'!$B$28)*((('Alternative 2'!$B$28-'Alternative 2'!$B$27)/2)+(('Alternative 2'!$B$29-'Alternative 2'!$B$28)/2))*('Alternative 2'!$B$39)*COS('Alternative 2-Tilt Up'!K59))+(('Alternative 2'!$B$29)*((('Alternative 2'!$B$12-'Alternative 2'!$B$29+(('Alternative 2'!$B$29-'Alternative 2'!$B$28)/2)*('Alternative 2'!$B$39)*COS('Alternative 2-Tilt Up'!K59)))))</f>
        <v>2654078.6217598952</v>
      </c>
      <c r="N59" s="77">
        <f t="shared" si="0"/>
        <v>141238.11486649822</v>
      </c>
      <c r="O59" s="77">
        <f>(((('Alternative 2'!$B$28-'Alternative 2'!$B$27)/2)+'Alternative 2'!$B$27)*('Alternative 2'!$B$39)*COS('Alternative 2-Tilt Up'!K59))+(((('Alternative 2'!$B$28-'Alternative 2'!$B$27)/2)+(('Alternative 2'!$B$29-'Alternative 2'!$B$28)/2))*('Alternative 2'!$B$39)*COS('Alternative 2-Tilt Up'!K59))+(((('Alternative 2'!$B$12-'Alternative 2'!$B$29)+(('Alternative 2'!$B$29-'Alternative 2'!$B$28)/2))*('Alternative 2'!$B$39)*COS('Alternative 2-Tilt Up'!K59)))</f>
        <v>171180.07939583412</v>
      </c>
      <c r="P59" s="77">
        <f t="shared" si="1"/>
        <v>78979.351532931993</v>
      </c>
      <c r="R59" s="78" t="e">
        <f>'Alternative 2'!$B$39*$B59*$C59*COS($K$5)-($N$5/3)*$E59*SIN($K$5)-($N$5/3)*$F59*SIN($K$5)-($N$5/3)*$G59*SIN($K$5)</f>
        <v>#VALUE!</v>
      </c>
      <c r="S59" s="79" t="e">
        <f>IF(($A59&lt;'Alternative 2'!$B$27),(($H59*'Alternative 2'!$B$39)+(3*($N$5/3)*COS($K$5))),IF(($A59&lt;'Alternative 2'!$B$28),(($H59*'Alternative 2'!$B$39)+(2*(($N$5/3)*COS($K$5)))),IF(($A59&lt;'Alternative 2'!$B$29),(($H$3*'Alternative 2'!$B$39+(($N$5/3)*COS($K$5)))),($H59*'Alternative 2'!$B$39))))</f>
        <v>#VALUE!</v>
      </c>
      <c r="T59" s="78" t="e">
        <f>R59*'Alternative 2'!$K60/'Alternative 2'!$L60</f>
        <v>#VALUE!</v>
      </c>
      <c r="U59" s="78" t="e">
        <f>S59/'Alternative 2'!$M60</f>
        <v>#VALUE!</v>
      </c>
      <c r="V59" s="78" t="e">
        <f t="shared" si="2"/>
        <v>#VALUE!</v>
      </c>
      <c r="X59" s="78" t="e">
        <f>'Alternative 2'!$B$39*$B59*$C59*COS($K$13)-($N$12/3)*$E59*SIN($K$13)-($N$12/3)*$F59*SIN($K$13)-($N$12/3)*$G59*SIN($K$13)</f>
        <v>#VALUE!</v>
      </c>
      <c r="Y59" s="79" t="e">
        <f>IF(($A59&lt;'Alternative 2'!$B$27),(($H59*'Alternative 2'!$B$39)+(3*($N$12/3)*COS($K$13))),IF(($A59&lt;'Alternative 2'!$B$28),(($H59*'Alternative 2'!$B$39)+(2*(($N$12/3)*COS($K$13)))),IF(($A59&lt;'Alternative 2'!$B$29),(($H$3*'Alternative 2'!$B$39+(($N$12/3)*COS($K$13)))),($H59*'Alternative 2'!$B$39))))</f>
        <v>#VALUE!</v>
      </c>
      <c r="Z59" s="78" t="e">
        <f>X59*'Alternative 2'!$K60/'Alternative 2'!$L60</f>
        <v>#VALUE!</v>
      </c>
      <c r="AA59" s="78" t="e">
        <f>Y59/'Alternative 2'!$M60</f>
        <v>#VALUE!</v>
      </c>
      <c r="AB59" s="78" t="e">
        <f t="shared" si="3"/>
        <v>#VALUE!</v>
      </c>
      <c r="AD59" s="78" t="e">
        <f>'Alternative 2'!$B$39*$B59*$C59*COS($K$23)-($N$22/3)*$E59*SIN($K$23)-($N$22/3)*$F59*SIN($K$23)-($N$22/3)*$G59*SIN($K$23)</f>
        <v>#VALUE!</v>
      </c>
      <c r="AE59" s="79" t="e">
        <f>IF(($A59&lt;'Alternative 2'!$B$27),(($H59*'Alternative 2'!$B$39)+(3*($N$22/3)*COS($K$23))),IF(($A59&lt;'Alternative 2'!$B$28),(($H59*'Alternative 2'!$B$39)+(2*(($N$22/3)*COS($K$23)))),IF(($A59&lt;'Alternative 2'!$B$29),(($H$3*'Alternative 2'!$B$39+(($N$22/3)*COS($K$23)))),($H59*'Alternative 2'!$B$39))))</f>
        <v>#VALUE!</v>
      </c>
      <c r="AF59" s="78" t="e">
        <f>AD59*'Alternative 2'!$K60/'Alternative 2'!$L60</f>
        <v>#VALUE!</v>
      </c>
      <c r="AG59" s="78" t="e">
        <f>AE59/'Alternative 2'!$M60</f>
        <v>#VALUE!</v>
      </c>
      <c r="AH59" s="78" t="e">
        <f t="shared" si="4"/>
        <v>#VALUE!</v>
      </c>
      <c r="AJ59" s="78" t="e">
        <f>'Alternative 2'!$B$39*$B59*$C59*COS($K$33)-($N$32/3)*$E59*SIN($K$33)-($N$32/3)*$F59*SIN($K$33)-($N$32/3)*$G59*SIN($K$33)</f>
        <v>#VALUE!</v>
      </c>
      <c r="AK59" s="79" t="e">
        <f>IF(($A59&lt;'Alternative 2'!$B$27),(($H59*'Alternative 2'!$B$39)+(3*($N$32/3)*COS($K$33))),IF(($A59&lt;'Alternative 2'!$B$28),(($H59*'Alternative 2'!$B$39)+(2*(($N$32/3)*COS($K$33)))),IF(($A59&lt;'Alternative 2'!$B$29),(($H$3*'Alternative 2'!$B$39+(($N$32/3)*COS($K$33)))),($H59*'Alternative 2'!$B$39))))</f>
        <v>#VALUE!</v>
      </c>
      <c r="AL59" s="78" t="e">
        <f>AJ59*'Alternative 2'!$K60/'Alternative 2'!$L60</f>
        <v>#VALUE!</v>
      </c>
      <c r="AM59" s="78" t="e">
        <f>AK59/'Alternative 2'!$M60</f>
        <v>#VALUE!</v>
      </c>
      <c r="AN59" s="78" t="e">
        <f t="shared" si="5"/>
        <v>#VALUE!</v>
      </c>
      <c r="AP59" s="78" t="e">
        <f>'Alternative 2'!$B$39*$B59*$C59*COS($K$43)-($N$42/3)*$E59*SIN($K$43)-($N$42/3)*$F59*SIN($K$43)-($N$42/3)*$G59*SIN($K$43)</f>
        <v>#VALUE!</v>
      </c>
      <c r="AQ59" s="79" t="e">
        <f>IF(($A59&lt;'Alternative 2'!$B$27),(($H59*'Alternative 2'!$B$39)+(3*($N$42/3)*COS($K$43))),IF(($A59&lt;'Alternative 2'!$B$28),(($H59*'Alternative 2'!$B$39)+(2*(($N$42/3)*COS($K$43)))),IF(($A59&lt;'Alternative 2'!$B$29),(($H$3*'Alternative 2'!$B$39+(($N$42/3)*COS($K$43)))),($H59*'Alternative 2'!$B$39))))</f>
        <v>#VALUE!</v>
      </c>
      <c r="AR59" s="78" t="e">
        <f>AP59*'Alternative 2'!$K60/'Alternative 2'!$L60</f>
        <v>#VALUE!</v>
      </c>
      <c r="AS59" s="78" t="e">
        <f>AQ59/'Alternative 2'!$M60</f>
        <v>#VALUE!</v>
      </c>
      <c r="AT59" s="78" t="e">
        <f t="shared" si="6"/>
        <v>#VALUE!</v>
      </c>
      <c r="AV59" s="78" t="e">
        <f>'Alternative 2'!$B$39*$B59*$C59*COS($K$53)-($N$52/3)*$E59*SIN($K$53)-($N$52/3)*$F59*SIN($K$53)-($N$52/3)*$G59*SIN($K$53)</f>
        <v>#VALUE!</v>
      </c>
      <c r="AW59" s="79" t="e">
        <f>IF(($A59&lt;'Alternative 2'!$B$27),(($H59*'Alternative 2'!$B$39)+(3*($N$52/3)*COS($K$53))),IF(($A59&lt;'Alternative 2'!$B$28),(($H59*'Alternative 2'!$B$39)+(2*(($N$52/3)*COS($K$53)))),IF(($A59&lt;'Alternative 2'!$B$29),(($H$3*'Alternative 2'!$B$39+(($N$52/3)*COS($K$53)))),($H59*'Alternative 2'!$B$39))))</f>
        <v>#VALUE!</v>
      </c>
      <c r="AX59" s="78" t="e">
        <f>AV59*'Alternative 2'!$K60/'Alternative 2'!$L60</f>
        <v>#VALUE!</v>
      </c>
      <c r="AY59" s="78" t="e">
        <f>AW59/'Alternative 2'!$M60</f>
        <v>#VALUE!</v>
      </c>
      <c r="AZ59" s="78" t="e">
        <f t="shared" si="7"/>
        <v>#VALUE!</v>
      </c>
      <c r="BB59" s="78" t="e">
        <f>'Alternative 2'!$B$39*$B59*$C59*COS($K$63)-($N$62/3)*$E59*SIN($K$63)-($N$62/3)*$F59*SIN($K$63)-($N$62/3)*$G59*SIN($K$63)</f>
        <v>#VALUE!</v>
      </c>
      <c r="BC59" s="79" t="e">
        <f>IF(($A59&lt;'Alternative 2'!$B$27),(($H59*'Alternative 2'!$B$39)+(3*($N$62/3)*COS($K$63))),IF(($A59&lt;'Alternative 2'!$B$28),(($H59*'Alternative 2'!$B$39)+(2*(($N$62/3)*COS($K$63)))),IF(($A59&lt;'Alternative 2'!$B$29),(($H$3*'Alternative 2'!$B$39+(($N$62/3)*COS($K$63)))),($H59*'Alternative 2'!$B$39))))</f>
        <v>#VALUE!</v>
      </c>
      <c r="BD59" s="78" t="e">
        <f>BB59*'Alternative 2'!$K60/'Alternative 2'!$L60</f>
        <v>#VALUE!</v>
      </c>
      <c r="BE59" s="78" t="e">
        <f>BC59/'Alternative 2'!$M60</f>
        <v>#VALUE!</v>
      </c>
      <c r="BF59" s="78" t="e">
        <f t="shared" si="8"/>
        <v>#VALUE!</v>
      </c>
      <c r="BH59" s="78" t="e">
        <f>'Alternative 2'!$B$39*$B59*$C59*COS($K$73)-($N$72/3)*$E59*SIN($K$73)-($N$72/3)*$F59*SIN($K$73)-($N$72/3)*$G59*SIN($K$73)</f>
        <v>#VALUE!</v>
      </c>
      <c r="BI59" s="79" t="e">
        <f>IF(($A59&lt;'Alternative 2'!$B$27),(($H59*'Alternative 2'!$B$39)+(3*($N$72/3)*COS($K$73))),IF(($A59&lt;'Alternative 2'!$B$28),(($H59*'Alternative 2'!$B$39)+(2*(($N$72/3)*COS($K$73)))),IF(($A59&lt;'Alternative 2'!$B$29),(($H$3*'Alternative 2'!$B$39+(($N$72/3)*COS($K$73)))),($H59*'Alternative 2'!$B$39))))</f>
        <v>#VALUE!</v>
      </c>
      <c r="BJ59" s="78" t="e">
        <f>BH59*'Alternative 2'!$K60/'Alternative 2'!$L60</f>
        <v>#VALUE!</v>
      </c>
      <c r="BK59" s="78" t="e">
        <f>BI59/'Alternative 2'!$M60</f>
        <v>#VALUE!</v>
      </c>
      <c r="BL59" s="78" t="e">
        <f t="shared" si="9"/>
        <v>#VALUE!</v>
      </c>
      <c r="BN59" s="78" t="e">
        <f>'Alternative 2'!$B$39*$B59*$C59*COS($K$83)-($N$82/3)*$E59*SIN($K$83)-($N$82/3)*$F59*SIN($K$83)-($N$82/3)*$G59*SIN($K$83)</f>
        <v>#VALUE!</v>
      </c>
      <c r="BO59" s="79" t="e">
        <f>IF(($A59&lt;'Alternative 2'!$B$27),(($H59*'Alternative 2'!$B$39)+(3*($N$82/3)*COS($K$83))),IF(($A59&lt;'Alternative 2'!$B$28),(($H59*'Alternative 2'!$B$39)+(2*(($N$82/3)*COS($K$83)))),IF(($A59&lt;'Alternative 2'!$B$29),(($H$3*'Alternative 2'!$B$39+(($N$82/3)*COS($K$83)))),($H59*'Alternative 2'!$B$39))))</f>
        <v>#VALUE!</v>
      </c>
      <c r="BP59" s="78" t="e">
        <f>BN59*'Alternative 2'!$K60/'Alternative 2'!$L60</f>
        <v>#VALUE!</v>
      </c>
      <c r="BQ59" s="78" t="e">
        <f>BO59/'Alternative 2'!$M60</f>
        <v>#VALUE!</v>
      </c>
      <c r="BR59" s="78" t="e">
        <f t="shared" si="10"/>
        <v>#VALUE!</v>
      </c>
      <c r="BT59" s="78" t="e">
        <f>'Alternative 2'!$B$39*$B59*$C59*COS($K$93)-($K$92/3)*$E59*SIN($K$93)-($K$92/3)*$F59*SIN($K$93)-($K$92/3)*$G59*SIN($K$93)</f>
        <v>#VALUE!</v>
      </c>
      <c r="BU59" s="79" t="e">
        <f>IF(($A59&lt;'Alternative 2'!$B$27),(($H59*'Alternative 2'!$B$39)+(3*($N$92/3)*COS($K$93))),IF(($A59&lt;'Alternative 2'!$B$28),(($H59*'Alternative 2'!$B$39)+(2*(($N$92/3)*COS($K$93)))),IF(($A59&lt;'Alternative 2'!$B$29),(($H$3*'Alternative 2'!$B$39+(($N$92/3)*COS($K$93)))),($H59*'Alternative 2'!$B$39))))</f>
        <v>#VALUE!</v>
      </c>
      <c r="BV59" s="78" t="e">
        <f>BT59*'Alternative 2'!$K60/'Alternative 2'!$L60</f>
        <v>#VALUE!</v>
      </c>
      <c r="BW59" s="78" t="e">
        <f>BU59/'Alternative 2'!$M60</f>
        <v>#VALUE!</v>
      </c>
      <c r="BX59" s="78" t="e">
        <f t="shared" si="11"/>
        <v>#VALUE!</v>
      </c>
      <c r="BZ59" s="77">
        <v>150</v>
      </c>
      <c r="CA59" s="77">
        <v>-150</v>
      </c>
    </row>
    <row r="60" spans="1:79" ht="15" customHeight="1" x14ac:dyDescent="0.25">
      <c r="A60" s="13" t="str">
        <f>IF('Alternative 2'!F61&gt;0,'Alternative 2'!F61,"x")</f>
        <v>x</v>
      </c>
      <c r="B60" s="13" t="e">
        <f t="shared" si="17"/>
        <v>#VALUE!</v>
      </c>
      <c r="C60" s="13">
        <f t="shared" si="12"/>
        <v>0</v>
      </c>
      <c r="D60" s="13" t="str">
        <f t="shared" si="13"/>
        <v>x</v>
      </c>
      <c r="E60" s="74">
        <f>IF($A60&lt;='Alternative 2'!$B$27, IF($A60='Alternative 2'!$B$27,0,E61+1),0)</f>
        <v>0</v>
      </c>
      <c r="F60" s="74">
        <f>IF($A60&lt;=('Alternative 2'!$B$28), IF($A60=ROUNDDOWN('Alternative 2'!$B$28,0),0,F61+1),0)</f>
        <v>0</v>
      </c>
      <c r="G60" s="74">
        <f>IF($A60&lt;=('Alternative 2'!$B$29), IF($A60=ROUNDDOWN('Alternative 2'!$B$29,0),0,G61+1),0)</f>
        <v>0</v>
      </c>
      <c r="H60" s="13" t="e">
        <f t="shared" si="14"/>
        <v>#VALUE!</v>
      </c>
      <c r="J60" s="77">
        <f t="shared" si="15"/>
        <v>57</v>
      </c>
      <c r="K60" s="77">
        <f t="shared" si="16"/>
        <v>0.99483767363676778</v>
      </c>
      <c r="L60" s="78">
        <f>'Alternative 2'!$B$27*SIN(K60)+'Alternative 2'!$B$28*SIN(K60)+'Alternative 2'!$B$29*SIN(K60)</f>
        <v>57.02959862028883</v>
      </c>
      <c r="M60" s="77">
        <f>(('Alternative 2'!$B$27)*(((('Alternative 2'!$B$28-'Alternative 2'!$B$27)/2)+'Alternative 2'!$B$27)*'Alternative 2'!$B$39)*COS('Alternative 2-Tilt Up'!K60))+(('Alternative 2'!$B$28)*((('Alternative 2'!$B$28-'Alternative 2'!$B$27)/2)+(('Alternative 2'!$B$29-'Alternative 2'!$B$28)/2))*('Alternative 2'!$B$39)*COS('Alternative 2-Tilt Up'!K60))+(('Alternative 2'!$B$29)*((('Alternative 2'!$B$12-'Alternative 2'!$B$29+(('Alternative 2'!$B$29-'Alternative 2'!$B$28)/2)*('Alternative 2'!$B$39)*COS('Alternative 2-Tilt Up'!K60)))))</f>
        <v>2585007.1730644517</v>
      </c>
      <c r="N60" s="77">
        <f t="shared" si="0"/>
        <v>135982.39697998561</v>
      </c>
      <c r="O60" s="77">
        <f>(((('Alternative 2'!$B$28-'Alternative 2'!$B$27)/2)+'Alternative 2'!$B$27)*('Alternative 2'!$B$39)*COS('Alternative 2-Tilt Up'!K60))+(((('Alternative 2'!$B$28-'Alternative 2'!$B$27)/2)+(('Alternative 2'!$B$29-'Alternative 2'!$B$28)/2))*('Alternative 2'!$B$39)*COS('Alternative 2-Tilt Up'!K60))+(((('Alternative 2'!$B$12-'Alternative 2'!$B$29)+(('Alternative 2'!$B$29-'Alternative 2'!$B$28)/2))*('Alternative 2'!$B$39)*COS('Alternative 2-Tilt Up'!K60)))</f>
        <v>166724.85054313653</v>
      </c>
      <c r="P60" s="77">
        <f t="shared" si="1"/>
        <v>74061.321470209718</v>
      </c>
      <c r="R60" s="78" t="e">
        <f>'Alternative 2'!$B$39*$B60*$C60*COS($K$5)-($N$5/3)*$E60*SIN($K$5)-($N$5/3)*$F60*SIN($K$5)-($N$5/3)*$G60*SIN($K$5)</f>
        <v>#VALUE!</v>
      </c>
      <c r="S60" s="79" t="e">
        <f>IF(($A60&lt;'Alternative 2'!$B$27),(($H60*'Alternative 2'!$B$39)+(3*($N$5/3)*COS($K$5))),IF(($A60&lt;'Alternative 2'!$B$28),(($H60*'Alternative 2'!$B$39)+(2*(($N$5/3)*COS($K$5)))),IF(($A60&lt;'Alternative 2'!$B$29),(($H$3*'Alternative 2'!$B$39+(($N$5/3)*COS($K$5)))),($H60*'Alternative 2'!$B$39))))</f>
        <v>#VALUE!</v>
      </c>
      <c r="T60" s="78" t="e">
        <f>R60*'Alternative 2'!$K61/'Alternative 2'!$L61</f>
        <v>#VALUE!</v>
      </c>
      <c r="U60" s="78" t="e">
        <f>S60/'Alternative 2'!$M61</f>
        <v>#VALUE!</v>
      </c>
      <c r="V60" s="78" t="e">
        <f t="shared" si="2"/>
        <v>#VALUE!</v>
      </c>
      <c r="X60" s="78" t="e">
        <f>'Alternative 2'!$B$39*$B60*$C60*COS($K$13)-($N$12/3)*$E60*SIN($K$13)-($N$12/3)*$F60*SIN($K$13)-($N$12/3)*$G60*SIN($K$13)</f>
        <v>#VALUE!</v>
      </c>
      <c r="Y60" s="79" t="e">
        <f>IF(($A60&lt;'Alternative 2'!$B$27),(($H60*'Alternative 2'!$B$39)+(3*($N$12/3)*COS($K$13))),IF(($A60&lt;'Alternative 2'!$B$28),(($H60*'Alternative 2'!$B$39)+(2*(($N$12/3)*COS($K$13)))),IF(($A60&lt;'Alternative 2'!$B$29),(($H$3*'Alternative 2'!$B$39+(($N$12/3)*COS($K$13)))),($H60*'Alternative 2'!$B$39))))</f>
        <v>#VALUE!</v>
      </c>
      <c r="Z60" s="78" t="e">
        <f>X60*'Alternative 2'!$K61/'Alternative 2'!$L61</f>
        <v>#VALUE!</v>
      </c>
      <c r="AA60" s="78" t="e">
        <f>Y60/'Alternative 2'!$M61</f>
        <v>#VALUE!</v>
      </c>
      <c r="AB60" s="78" t="e">
        <f t="shared" si="3"/>
        <v>#VALUE!</v>
      </c>
      <c r="AD60" s="78" t="e">
        <f>'Alternative 2'!$B$39*$B60*$C60*COS($K$23)-($N$22/3)*$E60*SIN($K$23)-($N$22/3)*$F60*SIN($K$23)-($N$22/3)*$G60*SIN($K$23)</f>
        <v>#VALUE!</v>
      </c>
      <c r="AE60" s="79" t="e">
        <f>IF(($A60&lt;'Alternative 2'!$B$27),(($H60*'Alternative 2'!$B$39)+(3*($N$22/3)*COS($K$23))),IF(($A60&lt;'Alternative 2'!$B$28),(($H60*'Alternative 2'!$B$39)+(2*(($N$22/3)*COS($K$23)))),IF(($A60&lt;'Alternative 2'!$B$29),(($H$3*'Alternative 2'!$B$39+(($N$22/3)*COS($K$23)))),($H60*'Alternative 2'!$B$39))))</f>
        <v>#VALUE!</v>
      </c>
      <c r="AF60" s="78" t="e">
        <f>AD60*'Alternative 2'!$K61/'Alternative 2'!$L61</f>
        <v>#VALUE!</v>
      </c>
      <c r="AG60" s="78" t="e">
        <f>AE60/'Alternative 2'!$M61</f>
        <v>#VALUE!</v>
      </c>
      <c r="AH60" s="78" t="e">
        <f t="shared" si="4"/>
        <v>#VALUE!</v>
      </c>
      <c r="AJ60" s="78" t="e">
        <f>'Alternative 2'!$B$39*$B60*$C60*COS($K$33)-($N$32/3)*$E60*SIN($K$33)-($N$32/3)*$F60*SIN($K$33)-($N$32/3)*$G60*SIN($K$33)</f>
        <v>#VALUE!</v>
      </c>
      <c r="AK60" s="79" t="e">
        <f>IF(($A60&lt;'Alternative 2'!$B$27),(($H60*'Alternative 2'!$B$39)+(3*($N$32/3)*COS($K$33))),IF(($A60&lt;'Alternative 2'!$B$28),(($H60*'Alternative 2'!$B$39)+(2*(($N$32/3)*COS($K$33)))),IF(($A60&lt;'Alternative 2'!$B$29),(($H$3*'Alternative 2'!$B$39+(($N$32/3)*COS($K$33)))),($H60*'Alternative 2'!$B$39))))</f>
        <v>#VALUE!</v>
      </c>
      <c r="AL60" s="78" t="e">
        <f>AJ60*'Alternative 2'!$K61/'Alternative 2'!$L61</f>
        <v>#VALUE!</v>
      </c>
      <c r="AM60" s="78" t="e">
        <f>AK60/'Alternative 2'!$M61</f>
        <v>#VALUE!</v>
      </c>
      <c r="AN60" s="78" t="e">
        <f t="shared" si="5"/>
        <v>#VALUE!</v>
      </c>
      <c r="AP60" s="78" t="e">
        <f>'Alternative 2'!$B$39*$B60*$C60*COS($K$43)-($N$42/3)*$E60*SIN($K$43)-($N$42/3)*$F60*SIN($K$43)-($N$42/3)*$G60*SIN($K$43)</f>
        <v>#VALUE!</v>
      </c>
      <c r="AQ60" s="79" t="e">
        <f>IF(($A60&lt;'Alternative 2'!$B$27),(($H60*'Alternative 2'!$B$39)+(3*($N$42/3)*COS($K$43))),IF(($A60&lt;'Alternative 2'!$B$28),(($H60*'Alternative 2'!$B$39)+(2*(($N$42/3)*COS($K$43)))),IF(($A60&lt;'Alternative 2'!$B$29),(($H$3*'Alternative 2'!$B$39+(($N$42/3)*COS($K$43)))),($H60*'Alternative 2'!$B$39))))</f>
        <v>#VALUE!</v>
      </c>
      <c r="AR60" s="78" t="e">
        <f>AP60*'Alternative 2'!$K61/'Alternative 2'!$L61</f>
        <v>#VALUE!</v>
      </c>
      <c r="AS60" s="78" t="e">
        <f>AQ60/'Alternative 2'!$M61</f>
        <v>#VALUE!</v>
      </c>
      <c r="AT60" s="78" t="e">
        <f t="shared" si="6"/>
        <v>#VALUE!</v>
      </c>
      <c r="AV60" s="78" t="e">
        <f>'Alternative 2'!$B$39*$B60*$C60*COS($K$53)-($N$52/3)*$E60*SIN($K$53)-($N$52/3)*$F60*SIN($K$53)-($N$52/3)*$G60*SIN($K$53)</f>
        <v>#VALUE!</v>
      </c>
      <c r="AW60" s="79" t="e">
        <f>IF(($A60&lt;'Alternative 2'!$B$27),(($H60*'Alternative 2'!$B$39)+(3*($N$52/3)*COS($K$53))),IF(($A60&lt;'Alternative 2'!$B$28),(($H60*'Alternative 2'!$B$39)+(2*(($N$52/3)*COS($K$53)))),IF(($A60&lt;'Alternative 2'!$B$29),(($H$3*'Alternative 2'!$B$39+(($N$52/3)*COS($K$53)))),($H60*'Alternative 2'!$B$39))))</f>
        <v>#VALUE!</v>
      </c>
      <c r="AX60" s="78" t="e">
        <f>AV60*'Alternative 2'!$K61/'Alternative 2'!$L61</f>
        <v>#VALUE!</v>
      </c>
      <c r="AY60" s="78" t="e">
        <f>AW60/'Alternative 2'!$M61</f>
        <v>#VALUE!</v>
      </c>
      <c r="AZ60" s="78" t="e">
        <f t="shared" si="7"/>
        <v>#VALUE!</v>
      </c>
      <c r="BB60" s="78" t="e">
        <f>'Alternative 2'!$B$39*$B60*$C60*COS($K$63)-($N$62/3)*$E60*SIN($K$63)-($N$62/3)*$F60*SIN($K$63)-($N$62/3)*$G60*SIN($K$63)</f>
        <v>#VALUE!</v>
      </c>
      <c r="BC60" s="79" t="e">
        <f>IF(($A60&lt;'Alternative 2'!$B$27),(($H60*'Alternative 2'!$B$39)+(3*($N$62/3)*COS($K$63))),IF(($A60&lt;'Alternative 2'!$B$28),(($H60*'Alternative 2'!$B$39)+(2*(($N$62/3)*COS($K$63)))),IF(($A60&lt;'Alternative 2'!$B$29),(($H$3*'Alternative 2'!$B$39+(($N$62/3)*COS($K$63)))),($H60*'Alternative 2'!$B$39))))</f>
        <v>#VALUE!</v>
      </c>
      <c r="BD60" s="78" t="e">
        <f>BB60*'Alternative 2'!$K61/'Alternative 2'!$L61</f>
        <v>#VALUE!</v>
      </c>
      <c r="BE60" s="78" t="e">
        <f>BC60/'Alternative 2'!$M61</f>
        <v>#VALUE!</v>
      </c>
      <c r="BF60" s="78" t="e">
        <f t="shared" si="8"/>
        <v>#VALUE!</v>
      </c>
      <c r="BH60" s="78" t="e">
        <f>'Alternative 2'!$B$39*$B60*$C60*COS($K$73)-($N$72/3)*$E60*SIN($K$73)-($N$72/3)*$F60*SIN($K$73)-($N$72/3)*$G60*SIN($K$73)</f>
        <v>#VALUE!</v>
      </c>
      <c r="BI60" s="79" t="e">
        <f>IF(($A60&lt;'Alternative 2'!$B$27),(($H60*'Alternative 2'!$B$39)+(3*($N$72/3)*COS($K$73))),IF(($A60&lt;'Alternative 2'!$B$28),(($H60*'Alternative 2'!$B$39)+(2*(($N$72/3)*COS($K$73)))),IF(($A60&lt;'Alternative 2'!$B$29),(($H$3*'Alternative 2'!$B$39+(($N$72/3)*COS($K$73)))),($H60*'Alternative 2'!$B$39))))</f>
        <v>#VALUE!</v>
      </c>
      <c r="BJ60" s="78" t="e">
        <f>BH60*'Alternative 2'!$K61/'Alternative 2'!$L61</f>
        <v>#VALUE!</v>
      </c>
      <c r="BK60" s="78" t="e">
        <f>BI60/'Alternative 2'!$M61</f>
        <v>#VALUE!</v>
      </c>
      <c r="BL60" s="78" t="e">
        <f t="shared" si="9"/>
        <v>#VALUE!</v>
      </c>
      <c r="BN60" s="78" t="e">
        <f>'Alternative 2'!$B$39*$B60*$C60*COS($K$83)-($N$82/3)*$E60*SIN($K$83)-($N$82/3)*$F60*SIN($K$83)-($N$82/3)*$G60*SIN($K$83)</f>
        <v>#VALUE!</v>
      </c>
      <c r="BO60" s="79" t="e">
        <f>IF(($A60&lt;'Alternative 2'!$B$27),(($H60*'Alternative 2'!$B$39)+(3*($N$82/3)*COS($K$83))),IF(($A60&lt;'Alternative 2'!$B$28),(($H60*'Alternative 2'!$B$39)+(2*(($N$82/3)*COS($K$83)))),IF(($A60&lt;'Alternative 2'!$B$29),(($H$3*'Alternative 2'!$B$39+(($N$82/3)*COS($K$83)))),($H60*'Alternative 2'!$B$39))))</f>
        <v>#VALUE!</v>
      </c>
      <c r="BP60" s="78" t="e">
        <f>BN60*'Alternative 2'!$K61/'Alternative 2'!$L61</f>
        <v>#VALUE!</v>
      </c>
      <c r="BQ60" s="78" t="e">
        <f>BO60/'Alternative 2'!$M61</f>
        <v>#VALUE!</v>
      </c>
      <c r="BR60" s="78" t="e">
        <f t="shared" si="10"/>
        <v>#VALUE!</v>
      </c>
      <c r="BT60" s="78" t="e">
        <f>'Alternative 2'!$B$39*$B60*$C60*COS($K$93)-($K$92/3)*$E60*SIN($K$93)-($K$92/3)*$F60*SIN($K$93)-($K$92/3)*$G60*SIN($K$93)</f>
        <v>#VALUE!</v>
      </c>
      <c r="BU60" s="79" t="e">
        <f>IF(($A60&lt;'Alternative 2'!$B$27),(($H60*'Alternative 2'!$B$39)+(3*($N$92/3)*COS($K$93))),IF(($A60&lt;'Alternative 2'!$B$28),(($H60*'Alternative 2'!$B$39)+(2*(($N$92/3)*COS($K$93)))),IF(($A60&lt;'Alternative 2'!$B$29),(($H$3*'Alternative 2'!$B$39+(($N$92/3)*COS($K$93)))),($H60*'Alternative 2'!$B$39))))</f>
        <v>#VALUE!</v>
      </c>
      <c r="BV60" s="78" t="e">
        <f>BT60*'Alternative 2'!$K61/'Alternative 2'!$L61</f>
        <v>#VALUE!</v>
      </c>
      <c r="BW60" s="78" t="e">
        <f>BU60/'Alternative 2'!$M61</f>
        <v>#VALUE!</v>
      </c>
      <c r="BX60" s="78" t="e">
        <f t="shared" si="11"/>
        <v>#VALUE!</v>
      </c>
      <c r="BZ60" s="77">
        <v>150</v>
      </c>
      <c r="CA60" s="77">
        <v>-150</v>
      </c>
    </row>
    <row r="61" spans="1:79" ht="15" customHeight="1" x14ac:dyDescent="0.25">
      <c r="A61" s="13" t="str">
        <f>IF('Alternative 2'!F62&gt;0,'Alternative 2'!F62,"x")</f>
        <v>x</v>
      </c>
      <c r="B61" s="13" t="e">
        <f t="shared" si="17"/>
        <v>#VALUE!</v>
      </c>
      <c r="C61" s="13">
        <f t="shared" si="12"/>
        <v>0</v>
      </c>
      <c r="D61" s="13" t="str">
        <f t="shared" si="13"/>
        <v>x</v>
      </c>
      <c r="E61" s="74">
        <f>IF($A61&lt;='Alternative 2'!$B$27, IF($A61='Alternative 2'!$B$27,0,E62+1),0)</f>
        <v>0</v>
      </c>
      <c r="F61" s="74">
        <f>IF($A61&lt;=('Alternative 2'!$B$28), IF($A61=ROUNDDOWN('Alternative 2'!$B$28,0),0,F62+1),0)</f>
        <v>0</v>
      </c>
      <c r="G61" s="74">
        <f>IF($A61&lt;=('Alternative 2'!$B$29), IF($A61=ROUNDDOWN('Alternative 2'!$B$29,0),0,G62+1),0)</f>
        <v>0</v>
      </c>
      <c r="H61" s="13" t="e">
        <f t="shared" si="14"/>
        <v>#VALUE!</v>
      </c>
      <c r="J61" s="77">
        <f t="shared" si="15"/>
        <v>58</v>
      </c>
      <c r="K61" s="77">
        <f t="shared" si="16"/>
        <v>1.0122909661567112</v>
      </c>
      <c r="L61" s="78">
        <f>'Alternative 2'!$B$27*SIN(K61)+'Alternative 2'!$B$28*SIN(K61)+'Alternative 2'!$B$29*SIN(K61)</f>
        <v>57.667270538636963</v>
      </c>
      <c r="M61" s="77">
        <f>(('Alternative 2'!$B$27)*(((('Alternative 2'!$B$28-'Alternative 2'!$B$27)/2)+'Alternative 2'!$B$27)*'Alternative 2'!$B$39)*COS('Alternative 2-Tilt Up'!K61))+(('Alternative 2'!$B$28)*((('Alternative 2'!$B$28-'Alternative 2'!$B$27)/2)+(('Alternative 2'!$B$29-'Alternative 2'!$B$28)/2))*('Alternative 2'!$B$39)*COS('Alternative 2-Tilt Up'!K61))+(('Alternative 2'!$B$29)*((('Alternative 2'!$B$12-'Alternative 2'!$B$29+(('Alternative 2'!$B$29-'Alternative 2'!$B$28)/2)*('Alternative 2'!$B$39)*COS('Alternative 2-Tilt Up'!K61)))))</f>
        <v>2515148.3657336924</v>
      </c>
      <c r="N61" s="77">
        <f t="shared" si="0"/>
        <v>130844.49856432244</v>
      </c>
      <c r="O61" s="77">
        <f>(((('Alternative 2'!$B$28-'Alternative 2'!$B$27)/2)+'Alternative 2'!$B$27)*('Alternative 2'!$B$39)*COS('Alternative 2-Tilt Up'!K61))+(((('Alternative 2'!$B$28-'Alternative 2'!$B$27)/2)+(('Alternative 2'!$B$29-'Alternative 2'!$B$28)/2))*('Alternative 2'!$B$39)*COS('Alternative 2-Tilt Up'!K61))+(((('Alternative 2'!$B$12-'Alternative 2'!$B$29)+(('Alternative 2'!$B$29-'Alternative 2'!$B$28)/2))*('Alternative 2'!$B$39)*COS('Alternative 2-Tilt Up'!K61)))</f>
        <v>162218.83568586351</v>
      </c>
      <c r="P61" s="77">
        <f t="shared" si="1"/>
        <v>69337.020408168377</v>
      </c>
      <c r="R61" s="78" t="e">
        <f>'Alternative 2'!$B$39*$B61*$C61*COS($K$5)-($N$5/3)*$E61*SIN($K$5)-($N$5/3)*$F61*SIN($K$5)-($N$5/3)*$G61*SIN($K$5)</f>
        <v>#VALUE!</v>
      </c>
      <c r="S61" s="79" t="e">
        <f>IF(($A61&lt;'Alternative 2'!$B$27),(($H61*'Alternative 2'!$B$39)+(3*($N$5/3)*COS($K$5))),IF(($A61&lt;'Alternative 2'!$B$28),(($H61*'Alternative 2'!$B$39)+(2*(($N$5/3)*COS($K$5)))),IF(($A61&lt;'Alternative 2'!$B$29),(($H$3*'Alternative 2'!$B$39+(($N$5/3)*COS($K$5)))),($H61*'Alternative 2'!$B$39))))</f>
        <v>#VALUE!</v>
      </c>
      <c r="T61" s="78" t="e">
        <f>R61*'Alternative 2'!$K62/'Alternative 2'!$L62</f>
        <v>#VALUE!</v>
      </c>
      <c r="U61" s="78" t="e">
        <f>S61/'Alternative 2'!$M62</f>
        <v>#VALUE!</v>
      </c>
      <c r="V61" s="78" t="e">
        <f t="shared" si="2"/>
        <v>#VALUE!</v>
      </c>
      <c r="X61" s="78" t="e">
        <f>'Alternative 2'!$B$39*$B61*$C61*COS($K$13)-($N$12/3)*$E61*SIN($K$13)-($N$12/3)*$F61*SIN($K$13)-($N$12/3)*$G61*SIN($K$13)</f>
        <v>#VALUE!</v>
      </c>
      <c r="Y61" s="79" t="e">
        <f>IF(($A61&lt;'Alternative 2'!$B$27),(($H61*'Alternative 2'!$B$39)+(3*($N$12/3)*COS($K$13))),IF(($A61&lt;'Alternative 2'!$B$28),(($H61*'Alternative 2'!$B$39)+(2*(($N$12/3)*COS($K$13)))),IF(($A61&lt;'Alternative 2'!$B$29),(($H$3*'Alternative 2'!$B$39+(($N$12/3)*COS($K$13)))),($H61*'Alternative 2'!$B$39))))</f>
        <v>#VALUE!</v>
      </c>
      <c r="Z61" s="78" t="e">
        <f>X61*'Alternative 2'!$K62/'Alternative 2'!$L62</f>
        <v>#VALUE!</v>
      </c>
      <c r="AA61" s="78" t="e">
        <f>Y61/'Alternative 2'!$M62</f>
        <v>#VALUE!</v>
      </c>
      <c r="AB61" s="78" t="e">
        <f t="shared" si="3"/>
        <v>#VALUE!</v>
      </c>
      <c r="AD61" s="78" t="e">
        <f>'Alternative 2'!$B$39*$B61*$C61*COS($K$23)-($N$22/3)*$E61*SIN($K$23)-($N$22/3)*$F61*SIN($K$23)-($N$22/3)*$G61*SIN($K$23)</f>
        <v>#VALUE!</v>
      </c>
      <c r="AE61" s="79" t="e">
        <f>IF(($A61&lt;'Alternative 2'!$B$27),(($H61*'Alternative 2'!$B$39)+(3*($N$22/3)*COS($K$23))),IF(($A61&lt;'Alternative 2'!$B$28),(($H61*'Alternative 2'!$B$39)+(2*(($N$22/3)*COS($K$23)))),IF(($A61&lt;'Alternative 2'!$B$29),(($H$3*'Alternative 2'!$B$39+(($N$22/3)*COS($K$23)))),($H61*'Alternative 2'!$B$39))))</f>
        <v>#VALUE!</v>
      </c>
      <c r="AF61" s="78" t="e">
        <f>AD61*'Alternative 2'!$K62/'Alternative 2'!$L62</f>
        <v>#VALUE!</v>
      </c>
      <c r="AG61" s="78" t="e">
        <f>AE61/'Alternative 2'!$M62</f>
        <v>#VALUE!</v>
      </c>
      <c r="AH61" s="78" t="e">
        <f t="shared" si="4"/>
        <v>#VALUE!</v>
      </c>
      <c r="AJ61" s="78" t="e">
        <f>'Alternative 2'!$B$39*$B61*$C61*COS($K$33)-($N$32/3)*$E61*SIN($K$33)-($N$32/3)*$F61*SIN($K$33)-($N$32/3)*$G61*SIN($K$33)</f>
        <v>#VALUE!</v>
      </c>
      <c r="AK61" s="79" t="e">
        <f>IF(($A61&lt;'Alternative 2'!$B$27),(($H61*'Alternative 2'!$B$39)+(3*($N$32/3)*COS($K$33))),IF(($A61&lt;'Alternative 2'!$B$28),(($H61*'Alternative 2'!$B$39)+(2*(($N$32/3)*COS($K$33)))),IF(($A61&lt;'Alternative 2'!$B$29),(($H$3*'Alternative 2'!$B$39+(($N$32/3)*COS($K$33)))),($H61*'Alternative 2'!$B$39))))</f>
        <v>#VALUE!</v>
      </c>
      <c r="AL61" s="78" t="e">
        <f>AJ61*'Alternative 2'!$K62/'Alternative 2'!$L62</f>
        <v>#VALUE!</v>
      </c>
      <c r="AM61" s="78" t="e">
        <f>AK61/'Alternative 2'!$M62</f>
        <v>#VALUE!</v>
      </c>
      <c r="AN61" s="78" t="e">
        <f t="shared" si="5"/>
        <v>#VALUE!</v>
      </c>
      <c r="AP61" s="78" t="e">
        <f>'Alternative 2'!$B$39*$B61*$C61*COS($K$43)-($N$42/3)*$E61*SIN($K$43)-($N$42/3)*$F61*SIN($K$43)-($N$42/3)*$G61*SIN($K$43)</f>
        <v>#VALUE!</v>
      </c>
      <c r="AQ61" s="79" t="e">
        <f>IF(($A61&lt;'Alternative 2'!$B$27),(($H61*'Alternative 2'!$B$39)+(3*($N$42/3)*COS($K$43))),IF(($A61&lt;'Alternative 2'!$B$28),(($H61*'Alternative 2'!$B$39)+(2*(($N$42/3)*COS($K$43)))),IF(($A61&lt;'Alternative 2'!$B$29),(($H$3*'Alternative 2'!$B$39+(($N$42/3)*COS($K$43)))),($H61*'Alternative 2'!$B$39))))</f>
        <v>#VALUE!</v>
      </c>
      <c r="AR61" s="78" t="e">
        <f>AP61*'Alternative 2'!$K62/'Alternative 2'!$L62</f>
        <v>#VALUE!</v>
      </c>
      <c r="AS61" s="78" t="e">
        <f>AQ61/'Alternative 2'!$M62</f>
        <v>#VALUE!</v>
      </c>
      <c r="AT61" s="78" t="e">
        <f t="shared" si="6"/>
        <v>#VALUE!</v>
      </c>
      <c r="AV61" s="78" t="e">
        <f>'Alternative 2'!$B$39*$B61*$C61*COS($K$53)-($N$52/3)*$E61*SIN($K$53)-($N$52/3)*$F61*SIN($K$53)-($N$52/3)*$G61*SIN($K$53)</f>
        <v>#VALUE!</v>
      </c>
      <c r="AW61" s="79" t="e">
        <f>IF(($A61&lt;'Alternative 2'!$B$27),(($H61*'Alternative 2'!$B$39)+(3*($N$52/3)*COS($K$53))),IF(($A61&lt;'Alternative 2'!$B$28),(($H61*'Alternative 2'!$B$39)+(2*(($N$52/3)*COS($K$53)))),IF(($A61&lt;'Alternative 2'!$B$29),(($H$3*'Alternative 2'!$B$39+(($N$52/3)*COS($K$53)))),($H61*'Alternative 2'!$B$39))))</f>
        <v>#VALUE!</v>
      </c>
      <c r="AX61" s="78" t="e">
        <f>AV61*'Alternative 2'!$K62/'Alternative 2'!$L62</f>
        <v>#VALUE!</v>
      </c>
      <c r="AY61" s="78" t="e">
        <f>AW61/'Alternative 2'!$M62</f>
        <v>#VALUE!</v>
      </c>
      <c r="AZ61" s="78" t="e">
        <f t="shared" si="7"/>
        <v>#VALUE!</v>
      </c>
      <c r="BB61" s="78" t="e">
        <f>'Alternative 2'!$B$39*$B61*$C61*COS($K$63)-($N$62/3)*$E61*SIN($K$63)-($N$62/3)*$F61*SIN($K$63)-($N$62/3)*$G61*SIN($K$63)</f>
        <v>#VALUE!</v>
      </c>
      <c r="BC61" s="79" t="e">
        <f>IF(($A61&lt;'Alternative 2'!$B$27),(($H61*'Alternative 2'!$B$39)+(3*($N$62/3)*COS($K$63))),IF(($A61&lt;'Alternative 2'!$B$28),(($H61*'Alternative 2'!$B$39)+(2*(($N$62/3)*COS($K$63)))),IF(($A61&lt;'Alternative 2'!$B$29),(($H$3*'Alternative 2'!$B$39+(($N$62/3)*COS($K$63)))),($H61*'Alternative 2'!$B$39))))</f>
        <v>#VALUE!</v>
      </c>
      <c r="BD61" s="78" t="e">
        <f>BB61*'Alternative 2'!$K62/'Alternative 2'!$L62</f>
        <v>#VALUE!</v>
      </c>
      <c r="BE61" s="78" t="e">
        <f>BC61/'Alternative 2'!$M62</f>
        <v>#VALUE!</v>
      </c>
      <c r="BF61" s="78" t="e">
        <f t="shared" si="8"/>
        <v>#VALUE!</v>
      </c>
      <c r="BH61" s="78" t="e">
        <f>'Alternative 2'!$B$39*$B61*$C61*COS($K$73)-($N$72/3)*$E61*SIN($K$73)-($N$72/3)*$F61*SIN($K$73)-($N$72/3)*$G61*SIN($K$73)</f>
        <v>#VALUE!</v>
      </c>
      <c r="BI61" s="79" t="e">
        <f>IF(($A61&lt;'Alternative 2'!$B$27),(($H61*'Alternative 2'!$B$39)+(3*($N$72/3)*COS($K$73))),IF(($A61&lt;'Alternative 2'!$B$28),(($H61*'Alternative 2'!$B$39)+(2*(($N$72/3)*COS($K$73)))),IF(($A61&lt;'Alternative 2'!$B$29),(($H$3*'Alternative 2'!$B$39+(($N$72/3)*COS($K$73)))),($H61*'Alternative 2'!$B$39))))</f>
        <v>#VALUE!</v>
      </c>
      <c r="BJ61" s="78" t="e">
        <f>BH61*'Alternative 2'!$K62/'Alternative 2'!$L62</f>
        <v>#VALUE!</v>
      </c>
      <c r="BK61" s="78" t="e">
        <f>BI61/'Alternative 2'!$M62</f>
        <v>#VALUE!</v>
      </c>
      <c r="BL61" s="78" t="e">
        <f t="shared" si="9"/>
        <v>#VALUE!</v>
      </c>
      <c r="BN61" s="78" t="e">
        <f>'Alternative 2'!$B$39*$B61*$C61*COS($K$83)-($N$82/3)*$E61*SIN($K$83)-($N$82/3)*$F61*SIN($K$83)-($N$82/3)*$G61*SIN($K$83)</f>
        <v>#VALUE!</v>
      </c>
      <c r="BO61" s="79" t="e">
        <f>IF(($A61&lt;'Alternative 2'!$B$27),(($H61*'Alternative 2'!$B$39)+(3*($N$82/3)*COS($K$83))),IF(($A61&lt;'Alternative 2'!$B$28),(($H61*'Alternative 2'!$B$39)+(2*(($N$82/3)*COS($K$83)))),IF(($A61&lt;'Alternative 2'!$B$29),(($H$3*'Alternative 2'!$B$39+(($N$82/3)*COS($K$83)))),($H61*'Alternative 2'!$B$39))))</f>
        <v>#VALUE!</v>
      </c>
      <c r="BP61" s="78" t="e">
        <f>BN61*'Alternative 2'!$K62/'Alternative 2'!$L62</f>
        <v>#VALUE!</v>
      </c>
      <c r="BQ61" s="78" t="e">
        <f>BO61/'Alternative 2'!$M62</f>
        <v>#VALUE!</v>
      </c>
      <c r="BR61" s="78" t="e">
        <f t="shared" si="10"/>
        <v>#VALUE!</v>
      </c>
      <c r="BT61" s="78" t="e">
        <f>'Alternative 2'!$B$39*$B61*$C61*COS($K$93)-($K$92/3)*$E61*SIN($K$93)-($K$92/3)*$F61*SIN($K$93)-($K$92/3)*$G61*SIN($K$93)</f>
        <v>#VALUE!</v>
      </c>
      <c r="BU61" s="79" t="e">
        <f>IF(($A61&lt;'Alternative 2'!$B$27),(($H61*'Alternative 2'!$B$39)+(3*($N$92/3)*COS($K$93))),IF(($A61&lt;'Alternative 2'!$B$28),(($H61*'Alternative 2'!$B$39)+(2*(($N$92/3)*COS($K$93)))),IF(($A61&lt;'Alternative 2'!$B$29),(($H$3*'Alternative 2'!$B$39+(($N$92/3)*COS($K$93)))),($H61*'Alternative 2'!$B$39))))</f>
        <v>#VALUE!</v>
      </c>
      <c r="BV61" s="78" t="e">
        <f>BT61*'Alternative 2'!$K62/'Alternative 2'!$L62</f>
        <v>#VALUE!</v>
      </c>
      <c r="BW61" s="78" t="e">
        <f>BU61/'Alternative 2'!$M62</f>
        <v>#VALUE!</v>
      </c>
      <c r="BX61" s="78" t="e">
        <f t="shared" si="11"/>
        <v>#VALUE!</v>
      </c>
      <c r="BZ61" s="77">
        <v>150</v>
      </c>
      <c r="CA61" s="77">
        <v>-150</v>
      </c>
    </row>
    <row r="62" spans="1:79" ht="15" customHeight="1" x14ac:dyDescent="0.25">
      <c r="A62" s="13" t="str">
        <f>IF('Alternative 2'!F63&gt;0,'Alternative 2'!F63,"x")</f>
        <v>x</v>
      </c>
      <c r="B62" s="13" t="e">
        <f t="shared" si="17"/>
        <v>#VALUE!</v>
      </c>
      <c r="C62" s="13">
        <f t="shared" si="12"/>
        <v>0</v>
      </c>
      <c r="D62" s="13" t="str">
        <f t="shared" si="13"/>
        <v>x</v>
      </c>
      <c r="E62" s="74">
        <f>IF($A62&lt;='Alternative 2'!$B$27, IF($A62='Alternative 2'!$B$27,0,E63+1),0)</f>
        <v>0</v>
      </c>
      <c r="F62" s="74">
        <f>IF($A62&lt;=('Alternative 2'!$B$28), IF($A62=ROUNDDOWN('Alternative 2'!$B$28,0),0,F63+1),0)</f>
        <v>0</v>
      </c>
      <c r="G62" s="74">
        <f>IF($A62&lt;=('Alternative 2'!$B$29), IF($A62=ROUNDDOWN('Alternative 2'!$B$29,0),0,G63+1),0)</f>
        <v>0</v>
      </c>
      <c r="H62" s="13" t="e">
        <f t="shared" si="14"/>
        <v>#VALUE!</v>
      </c>
      <c r="J62" s="77">
        <f t="shared" si="15"/>
        <v>59</v>
      </c>
      <c r="K62" s="77">
        <f t="shared" si="16"/>
        <v>1.0297442586766543</v>
      </c>
      <c r="L62" s="78">
        <f>'Alternative 2'!$B$27*SIN(K62)+'Alternative 2'!$B$28*SIN(K62)+'Alternative 2'!$B$29*SIN(K62)</f>
        <v>58.287376447743625</v>
      </c>
      <c r="M62" s="77">
        <f>(('Alternative 2'!$B$27)*(((('Alternative 2'!$B$28-'Alternative 2'!$B$27)/2)+'Alternative 2'!$B$27)*'Alternative 2'!$B$39)*COS('Alternative 2-Tilt Up'!K62))+(('Alternative 2'!$B$28)*((('Alternative 2'!$B$28-'Alternative 2'!$B$27)/2)+(('Alternative 2'!$B$29-'Alternative 2'!$B$28)/2))*('Alternative 2'!$B$39)*COS('Alternative 2-Tilt Up'!K62))+(('Alternative 2'!$B$29)*((('Alternative 2'!$B$12-'Alternative 2'!$B$29+(('Alternative 2'!$B$29-'Alternative 2'!$B$28)/2)*('Alternative 2'!$B$39)*COS('Alternative 2-Tilt Up'!K62)))))</f>
        <v>2444523.4794370718</v>
      </c>
      <c r="N62" s="82">
        <f t="shared" si="0"/>
        <v>125817.47344360199</v>
      </c>
      <c r="O62" s="77">
        <f>(((('Alternative 2'!$B$28-'Alternative 2'!$B$27)/2)+'Alternative 2'!$B$27)*('Alternative 2'!$B$39)*COS('Alternative 2-Tilt Up'!K62))+(((('Alternative 2'!$B$28-'Alternative 2'!$B$27)/2)+(('Alternative 2'!$B$29-'Alternative 2'!$B$28)/2))*('Alternative 2'!$B$39)*COS('Alternative 2-Tilt Up'!K62))+(((('Alternative 2'!$B$12-'Alternative 2'!$B$29)+(('Alternative 2'!$B$29-'Alternative 2'!$B$28)/2))*('Alternative 2'!$B$39)*COS('Alternative 2-Tilt Up'!K62)))</f>
        <v>157663.40739979155</v>
      </c>
      <c r="P62" s="77">
        <f t="shared" si="1"/>
        <v>64800.789312439658</v>
      </c>
      <c r="R62" s="78" t="e">
        <f>'Alternative 2'!$B$39*$B62*$C62*COS($K$5)-($N$5/3)*$E62*SIN($K$5)-($N$5/3)*$F62*SIN($K$5)-($N$5/3)*$G62*SIN($K$5)</f>
        <v>#VALUE!</v>
      </c>
      <c r="S62" s="79" t="e">
        <f>IF(($A62&lt;'Alternative 2'!$B$27),(($H62*'Alternative 2'!$B$39)+(3*($N$5/3)*COS($K$5))),IF(($A62&lt;'Alternative 2'!$B$28),(($H62*'Alternative 2'!$B$39)+(2*(($N$5/3)*COS($K$5)))),IF(($A62&lt;'Alternative 2'!$B$29),(($H$3*'Alternative 2'!$B$39+(($N$5/3)*COS($K$5)))),($H62*'Alternative 2'!$B$39))))</f>
        <v>#VALUE!</v>
      </c>
      <c r="T62" s="78" t="e">
        <f>R62*'Alternative 2'!$K63/'Alternative 2'!$L63</f>
        <v>#VALUE!</v>
      </c>
      <c r="U62" s="78" t="e">
        <f>S62/'Alternative 2'!$M63</f>
        <v>#VALUE!</v>
      </c>
      <c r="V62" s="78" t="e">
        <f t="shared" si="2"/>
        <v>#VALUE!</v>
      </c>
      <c r="X62" s="78" t="e">
        <f>'Alternative 2'!$B$39*$B62*$C62*COS($K$13)-($N$12/3)*$E62*SIN($K$13)-($N$12/3)*$F62*SIN($K$13)-($N$12/3)*$G62*SIN($K$13)</f>
        <v>#VALUE!</v>
      </c>
      <c r="Y62" s="79" t="e">
        <f>IF(($A62&lt;'Alternative 2'!$B$27),(($H62*'Alternative 2'!$B$39)+(3*($N$12/3)*COS($K$13))),IF(($A62&lt;'Alternative 2'!$B$28),(($H62*'Alternative 2'!$B$39)+(2*(($N$12/3)*COS($K$13)))),IF(($A62&lt;'Alternative 2'!$B$29),(($H$3*'Alternative 2'!$B$39+(($N$12/3)*COS($K$13)))),($H62*'Alternative 2'!$B$39))))</f>
        <v>#VALUE!</v>
      </c>
      <c r="Z62" s="78" t="e">
        <f>X62*'Alternative 2'!$K63/'Alternative 2'!$L63</f>
        <v>#VALUE!</v>
      </c>
      <c r="AA62" s="78" t="e">
        <f>Y62/'Alternative 2'!$M63</f>
        <v>#VALUE!</v>
      </c>
      <c r="AB62" s="78" t="e">
        <f t="shared" si="3"/>
        <v>#VALUE!</v>
      </c>
      <c r="AD62" s="78" t="e">
        <f>'Alternative 2'!$B$39*$B62*$C62*COS($K$23)-($N$22/3)*$E62*SIN($K$23)-($N$22/3)*$F62*SIN($K$23)-($N$22/3)*$G62*SIN($K$23)</f>
        <v>#VALUE!</v>
      </c>
      <c r="AE62" s="79" t="e">
        <f>IF(($A62&lt;'Alternative 2'!$B$27),(($H62*'Alternative 2'!$B$39)+(3*($N$22/3)*COS($K$23))),IF(($A62&lt;'Alternative 2'!$B$28),(($H62*'Alternative 2'!$B$39)+(2*(($N$22/3)*COS($K$23)))),IF(($A62&lt;'Alternative 2'!$B$29),(($H$3*'Alternative 2'!$B$39+(($N$22/3)*COS($K$23)))),($H62*'Alternative 2'!$B$39))))</f>
        <v>#VALUE!</v>
      </c>
      <c r="AF62" s="78" t="e">
        <f>AD62*'Alternative 2'!$K63/'Alternative 2'!$L63</f>
        <v>#VALUE!</v>
      </c>
      <c r="AG62" s="78" t="e">
        <f>AE62/'Alternative 2'!$M63</f>
        <v>#VALUE!</v>
      </c>
      <c r="AH62" s="78" t="e">
        <f t="shared" si="4"/>
        <v>#VALUE!</v>
      </c>
      <c r="AJ62" s="78" t="e">
        <f>'Alternative 2'!$B$39*$B62*$C62*COS($K$33)-($N$32/3)*$E62*SIN($K$33)-($N$32/3)*$F62*SIN($K$33)-($N$32/3)*$G62*SIN($K$33)</f>
        <v>#VALUE!</v>
      </c>
      <c r="AK62" s="79" t="e">
        <f>IF(($A62&lt;'Alternative 2'!$B$27),(($H62*'Alternative 2'!$B$39)+(3*($N$32/3)*COS($K$33))),IF(($A62&lt;'Alternative 2'!$B$28),(($H62*'Alternative 2'!$B$39)+(2*(($N$32/3)*COS($K$33)))),IF(($A62&lt;'Alternative 2'!$B$29),(($H$3*'Alternative 2'!$B$39+(($N$32/3)*COS($K$33)))),($H62*'Alternative 2'!$B$39))))</f>
        <v>#VALUE!</v>
      </c>
      <c r="AL62" s="78" t="e">
        <f>AJ62*'Alternative 2'!$K63/'Alternative 2'!$L63</f>
        <v>#VALUE!</v>
      </c>
      <c r="AM62" s="78" t="e">
        <f>AK62/'Alternative 2'!$M63</f>
        <v>#VALUE!</v>
      </c>
      <c r="AN62" s="78" t="e">
        <f t="shared" si="5"/>
        <v>#VALUE!</v>
      </c>
      <c r="AP62" s="78" t="e">
        <f>'Alternative 2'!$B$39*$B62*$C62*COS($K$43)-($N$42/3)*$E62*SIN($K$43)-($N$42/3)*$F62*SIN($K$43)-($N$42/3)*$G62*SIN($K$43)</f>
        <v>#VALUE!</v>
      </c>
      <c r="AQ62" s="79" t="e">
        <f>IF(($A62&lt;'Alternative 2'!$B$27),(($H62*'Alternative 2'!$B$39)+(3*($N$42/3)*COS($K$43))),IF(($A62&lt;'Alternative 2'!$B$28),(($H62*'Alternative 2'!$B$39)+(2*(($N$42/3)*COS($K$43)))),IF(($A62&lt;'Alternative 2'!$B$29),(($H$3*'Alternative 2'!$B$39+(($N$42/3)*COS($K$43)))),($H62*'Alternative 2'!$B$39))))</f>
        <v>#VALUE!</v>
      </c>
      <c r="AR62" s="78" t="e">
        <f>AP62*'Alternative 2'!$K63/'Alternative 2'!$L63</f>
        <v>#VALUE!</v>
      </c>
      <c r="AS62" s="78" t="e">
        <f>AQ62/'Alternative 2'!$M63</f>
        <v>#VALUE!</v>
      </c>
      <c r="AT62" s="78" t="e">
        <f t="shared" si="6"/>
        <v>#VALUE!</v>
      </c>
      <c r="AV62" s="78" t="e">
        <f>'Alternative 2'!$B$39*$B62*$C62*COS($K$53)-($N$52/3)*$E62*SIN($K$53)-($N$52/3)*$F62*SIN($K$53)-($N$52/3)*$G62*SIN($K$53)</f>
        <v>#VALUE!</v>
      </c>
      <c r="AW62" s="79" t="e">
        <f>IF(($A62&lt;'Alternative 2'!$B$27),(($H62*'Alternative 2'!$B$39)+(3*($N$52/3)*COS($K$53))),IF(($A62&lt;'Alternative 2'!$B$28),(($H62*'Alternative 2'!$B$39)+(2*(($N$52/3)*COS($K$53)))),IF(($A62&lt;'Alternative 2'!$B$29),(($H$3*'Alternative 2'!$B$39+(($N$52/3)*COS($K$53)))),($H62*'Alternative 2'!$B$39))))</f>
        <v>#VALUE!</v>
      </c>
      <c r="AX62" s="78" t="e">
        <f>AV62*'Alternative 2'!$K63/'Alternative 2'!$L63</f>
        <v>#VALUE!</v>
      </c>
      <c r="AY62" s="78" t="e">
        <f>AW62/'Alternative 2'!$M63</f>
        <v>#VALUE!</v>
      </c>
      <c r="AZ62" s="78" t="e">
        <f t="shared" si="7"/>
        <v>#VALUE!</v>
      </c>
      <c r="BB62" s="78" t="e">
        <f>'Alternative 2'!$B$39*$B62*$C62*COS($K$63)-($N$62/3)*$E62*SIN($K$63)-($N$62/3)*$F62*SIN($K$63)-($N$62/3)*$G62*SIN($K$63)</f>
        <v>#VALUE!</v>
      </c>
      <c r="BC62" s="79" t="e">
        <f>IF(($A62&lt;'Alternative 2'!$B$27),(($H62*'Alternative 2'!$B$39)+(3*($N$62/3)*COS($K$63))),IF(($A62&lt;'Alternative 2'!$B$28),(($H62*'Alternative 2'!$B$39)+(2*(($N$62/3)*COS($K$63)))),IF(($A62&lt;'Alternative 2'!$B$29),(($H$3*'Alternative 2'!$B$39+(($N$62/3)*COS($K$63)))),($H62*'Alternative 2'!$B$39))))</f>
        <v>#VALUE!</v>
      </c>
      <c r="BD62" s="78" t="e">
        <f>BB62*'Alternative 2'!$K63/'Alternative 2'!$L63</f>
        <v>#VALUE!</v>
      </c>
      <c r="BE62" s="78" t="e">
        <f>BC62/'Alternative 2'!$M63</f>
        <v>#VALUE!</v>
      </c>
      <c r="BF62" s="78" t="e">
        <f t="shared" si="8"/>
        <v>#VALUE!</v>
      </c>
      <c r="BH62" s="78" t="e">
        <f>'Alternative 2'!$B$39*$B62*$C62*COS($K$73)-($N$72/3)*$E62*SIN($K$73)-($N$72/3)*$F62*SIN($K$73)-($N$72/3)*$G62*SIN($K$73)</f>
        <v>#VALUE!</v>
      </c>
      <c r="BI62" s="79" t="e">
        <f>IF(($A62&lt;'Alternative 2'!$B$27),(($H62*'Alternative 2'!$B$39)+(3*($N$72/3)*COS($K$73))),IF(($A62&lt;'Alternative 2'!$B$28),(($H62*'Alternative 2'!$B$39)+(2*(($N$72/3)*COS($K$73)))),IF(($A62&lt;'Alternative 2'!$B$29),(($H$3*'Alternative 2'!$B$39+(($N$72/3)*COS($K$73)))),($H62*'Alternative 2'!$B$39))))</f>
        <v>#VALUE!</v>
      </c>
      <c r="BJ62" s="78" t="e">
        <f>BH62*'Alternative 2'!$K63/'Alternative 2'!$L63</f>
        <v>#VALUE!</v>
      </c>
      <c r="BK62" s="78" t="e">
        <f>BI62/'Alternative 2'!$M63</f>
        <v>#VALUE!</v>
      </c>
      <c r="BL62" s="78" t="e">
        <f t="shared" si="9"/>
        <v>#VALUE!</v>
      </c>
      <c r="BN62" s="78" t="e">
        <f>'Alternative 2'!$B$39*$B62*$C62*COS($K$83)-($N$82/3)*$E62*SIN($K$83)-($N$82/3)*$F62*SIN($K$83)-($N$82/3)*$G62*SIN($K$83)</f>
        <v>#VALUE!</v>
      </c>
      <c r="BO62" s="79" t="e">
        <f>IF(($A62&lt;'Alternative 2'!$B$27),(($H62*'Alternative 2'!$B$39)+(3*($N$82/3)*COS($K$83))),IF(($A62&lt;'Alternative 2'!$B$28),(($H62*'Alternative 2'!$B$39)+(2*(($N$82/3)*COS($K$83)))),IF(($A62&lt;'Alternative 2'!$B$29),(($H$3*'Alternative 2'!$B$39+(($N$82/3)*COS($K$83)))),($H62*'Alternative 2'!$B$39))))</f>
        <v>#VALUE!</v>
      </c>
      <c r="BP62" s="78" t="e">
        <f>BN62*'Alternative 2'!$K63/'Alternative 2'!$L63</f>
        <v>#VALUE!</v>
      </c>
      <c r="BQ62" s="78" t="e">
        <f>BO62/'Alternative 2'!$M63</f>
        <v>#VALUE!</v>
      </c>
      <c r="BR62" s="78" t="e">
        <f t="shared" si="10"/>
        <v>#VALUE!</v>
      </c>
      <c r="BT62" s="78" t="e">
        <f>'Alternative 2'!$B$39*$B62*$C62*COS($K$93)-($K$92/3)*$E62*SIN($K$93)-($K$92/3)*$F62*SIN($K$93)-($K$92/3)*$G62*SIN($K$93)</f>
        <v>#VALUE!</v>
      </c>
      <c r="BU62" s="79" t="e">
        <f>IF(($A62&lt;'Alternative 2'!$B$27),(($H62*'Alternative 2'!$B$39)+(3*($N$92/3)*COS($K$93))),IF(($A62&lt;'Alternative 2'!$B$28),(($H62*'Alternative 2'!$B$39)+(2*(($N$92/3)*COS($K$93)))),IF(($A62&lt;'Alternative 2'!$B$29),(($H$3*'Alternative 2'!$B$39+(($N$92/3)*COS($K$93)))),($H62*'Alternative 2'!$B$39))))</f>
        <v>#VALUE!</v>
      </c>
      <c r="BV62" s="78" t="e">
        <f>BT62*'Alternative 2'!$K63/'Alternative 2'!$L63</f>
        <v>#VALUE!</v>
      </c>
      <c r="BW62" s="78" t="e">
        <f>BU62/'Alternative 2'!$M63</f>
        <v>#VALUE!</v>
      </c>
      <c r="BX62" s="78" t="e">
        <f t="shared" si="11"/>
        <v>#VALUE!</v>
      </c>
      <c r="BZ62" s="77">
        <v>150</v>
      </c>
      <c r="CA62" s="77">
        <v>-150</v>
      </c>
    </row>
    <row r="63" spans="1:79" ht="15" customHeight="1" x14ac:dyDescent="0.25">
      <c r="A63" s="13" t="str">
        <f>IF('Alternative 2'!F64&gt;0,'Alternative 2'!F64,"x")</f>
        <v>x</v>
      </c>
      <c r="B63" s="13" t="e">
        <f t="shared" si="17"/>
        <v>#VALUE!</v>
      </c>
      <c r="C63" s="13">
        <f t="shared" si="12"/>
        <v>0</v>
      </c>
      <c r="D63" s="13" t="str">
        <f t="shared" si="13"/>
        <v>x</v>
      </c>
      <c r="E63" s="74">
        <f>IF($A63&lt;='Alternative 2'!$B$27, IF($A63='Alternative 2'!$B$27,0,E64+1),0)</f>
        <v>0</v>
      </c>
      <c r="F63" s="74">
        <f>IF($A63&lt;=('Alternative 2'!$B$28), IF($A63=ROUNDDOWN('Alternative 2'!$B$28,0),0,F64+1),0)</f>
        <v>0</v>
      </c>
      <c r="G63" s="74">
        <f>IF($A63&lt;=('Alternative 2'!$B$29), IF($A63=ROUNDDOWN('Alternative 2'!$B$29,0),0,G64+1),0)</f>
        <v>0</v>
      </c>
      <c r="H63" s="13" t="e">
        <f t="shared" si="14"/>
        <v>#VALUE!</v>
      </c>
      <c r="J63" s="77">
        <f t="shared" si="15"/>
        <v>60</v>
      </c>
      <c r="K63" s="82">
        <f t="shared" si="16"/>
        <v>1.0471975511965976</v>
      </c>
      <c r="L63" s="78">
        <f>'Alternative 2'!$B$27*SIN(K63)+'Alternative 2'!$B$28*SIN(K63)+'Alternative 2'!$B$29*SIN(K63)</f>
        <v>58.88972745734182</v>
      </c>
      <c r="M63" s="77">
        <f>(('Alternative 2'!$B$27)*(((('Alternative 2'!$B$28-'Alternative 2'!$B$27)/2)+'Alternative 2'!$B$27)*'Alternative 2'!$B$39)*COS('Alternative 2-Tilt Up'!K63))+(('Alternative 2'!$B$28)*((('Alternative 2'!$B$28-'Alternative 2'!$B$27)/2)+(('Alternative 2'!$B$29-'Alternative 2'!$B$28)/2))*('Alternative 2'!$B$39)*COS('Alternative 2-Tilt Up'!K63))+(('Alternative 2'!$B$29)*((('Alternative 2'!$B$12-'Alternative 2'!$B$29+(('Alternative 2'!$B$29-'Alternative 2'!$B$28)/2)*('Alternative 2'!$B$39)*COS('Alternative 2-Tilt Up'!K63)))))</f>
        <v>2373154.0271991105</v>
      </c>
      <c r="N63" s="77">
        <f t="shared" si="0"/>
        <v>120894.80439104569</v>
      </c>
      <c r="O63" s="77">
        <f>(((('Alternative 2'!$B$28-'Alternative 2'!$B$27)/2)+'Alternative 2'!$B$27)*('Alternative 2'!$B$39)*COS('Alternative 2-Tilt Up'!K63))+(((('Alternative 2'!$B$28-'Alternative 2'!$B$27)/2)+(('Alternative 2'!$B$29-'Alternative 2'!$B$28)/2))*('Alternative 2'!$B$39)*COS('Alternative 2-Tilt Up'!K63))+(((('Alternative 2'!$B$12-'Alternative 2'!$B$29)+(('Alternative 2'!$B$29-'Alternative 2'!$B$28)/2))*('Alternative 2'!$B$39)*COS('Alternative 2-Tilt Up'!K63)))</f>
        <v>153059.95331250579</v>
      </c>
      <c r="P63" s="82">
        <f t="shared" si="1"/>
        <v>60447.40219552286</v>
      </c>
      <c r="R63" s="78" t="e">
        <f>'Alternative 2'!$B$39*$B63*$C63*COS($K$5)-($N$5/3)*$E63*SIN($K$5)-($N$5/3)*$F63*SIN($K$5)-($N$5/3)*$G63*SIN($K$5)</f>
        <v>#VALUE!</v>
      </c>
      <c r="S63" s="79" t="e">
        <f>IF(($A63&lt;'Alternative 2'!$B$27),(($H63*'Alternative 2'!$B$39)+(3*($N$5/3)*COS($K$5))),IF(($A63&lt;'Alternative 2'!$B$28),(($H63*'Alternative 2'!$B$39)+(2*(($N$5/3)*COS($K$5)))),IF(($A63&lt;'Alternative 2'!$B$29),(($H$3*'Alternative 2'!$B$39+(($N$5/3)*COS($K$5)))),($H63*'Alternative 2'!$B$39))))</f>
        <v>#VALUE!</v>
      </c>
      <c r="T63" s="78" t="e">
        <f>R63*'Alternative 2'!$K64/'Alternative 2'!$L64</f>
        <v>#VALUE!</v>
      </c>
      <c r="U63" s="78" t="e">
        <f>S63/'Alternative 2'!$M64</f>
        <v>#VALUE!</v>
      </c>
      <c r="V63" s="78" t="e">
        <f t="shared" si="2"/>
        <v>#VALUE!</v>
      </c>
      <c r="X63" s="78" t="e">
        <f>'Alternative 2'!$B$39*$B63*$C63*COS($K$13)-($N$12/3)*$E63*SIN($K$13)-($N$12/3)*$F63*SIN($K$13)-($N$12/3)*$G63*SIN($K$13)</f>
        <v>#VALUE!</v>
      </c>
      <c r="Y63" s="79" t="e">
        <f>IF(($A63&lt;'Alternative 2'!$B$27),(($H63*'Alternative 2'!$B$39)+(3*($N$12/3)*COS($K$13))),IF(($A63&lt;'Alternative 2'!$B$28),(($H63*'Alternative 2'!$B$39)+(2*(($N$12/3)*COS($K$13)))),IF(($A63&lt;'Alternative 2'!$B$29),(($H$3*'Alternative 2'!$B$39+(($N$12/3)*COS($K$13)))),($H63*'Alternative 2'!$B$39))))</f>
        <v>#VALUE!</v>
      </c>
      <c r="Z63" s="78" t="e">
        <f>X63*'Alternative 2'!$K64/'Alternative 2'!$L64</f>
        <v>#VALUE!</v>
      </c>
      <c r="AA63" s="78" t="e">
        <f>Y63/'Alternative 2'!$M64</f>
        <v>#VALUE!</v>
      </c>
      <c r="AB63" s="78" t="e">
        <f t="shared" si="3"/>
        <v>#VALUE!</v>
      </c>
      <c r="AD63" s="78" t="e">
        <f>'Alternative 2'!$B$39*$B63*$C63*COS($K$23)-($N$22/3)*$E63*SIN($K$23)-($N$22/3)*$F63*SIN($K$23)-($N$22/3)*$G63*SIN($K$23)</f>
        <v>#VALUE!</v>
      </c>
      <c r="AE63" s="79" t="e">
        <f>IF(($A63&lt;'Alternative 2'!$B$27),(($H63*'Alternative 2'!$B$39)+(3*($N$22/3)*COS($K$23))),IF(($A63&lt;'Alternative 2'!$B$28),(($H63*'Alternative 2'!$B$39)+(2*(($N$22/3)*COS($K$23)))),IF(($A63&lt;'Alternative 2'!$B$29),(($H$3*'Alternative 2'!$B$39+(($N$22/3)*COS($K$23)))),($H63*'Alternative 2'!$B$39))))</f>
        <v>#VALUE!</v>
      </c>
      <c r="AF63" s="78" t="e">
        <f>AD63*'Alternative 2'!$K64/'Alternative 2'!$L64</f>
        <v>#VALUE!</v>
      </c>
      <c r="AG63" s="78" t="e">
        <f>AE63/'Alternative 2'!$M64</f>
        <v>#VALUE!</v>
      </c>
      <c r="AH63" s="78" t="e">
        <f t="shared" si="4"/>
        <v>#VALUE!</v>
      </c>
      <c r="AJ63" s="78" t="e">
        <f>'Alternative 2'!$B$39*$B63*$C63*COS($K$33)-($N$32/3)*$E63*SIN($K$33)-($N$32/3)*$F63*SIN($K$33)-($N$32/3)*$G63*SIN($K$33)</f>
        <v>#VALUE!</v>
      </c>
      <c r="AK63" s="79" t="e">
        <f>IF(($A63&lt;'Alternative 2'!$B$27),(($H63*'Alternative 2'!$B$39)+(3*($N$32/3)*COS($K$33))),IF(($A63&lt;'Alternative 2'!$B$28),(($H63*'Alternative 2'!$B$39)+(2*(($N$32/3)*COS($K$33)))),IF(($A63&lt;'Alternative 2'!$B$29),(($H$3*'Alternative 2'!$B$39+(($N$32/3)*COS($K$33)))),($H63*'Alternative 2'!$B$39))))</f>
        <v>#VALUE!</v>
      </c>
      <c r="AL63" s="78" t="e">
        <f>AJ63*'Alternative 2'!$K64/'Alternative 2'!$L64</f>
        <v>#VALUE!</v>
      </c>
      <c r="AM63" s="78" t="e">
        <f>AK63/'Alternative 2'!$M64</f>
        <v>#VALUE!</v>
      </c>
      <c r="AN63" s="78" t="e">
        <f t="shared" si="5"/>
        <v>#VALUE!</v>
      </c>
      <c r="AP63" s="78" t="e">
        <f>'Alternative 2'!$B$39*$B63*$C63*COS($K$43)-($N$42/3)*$E63*SIN($K$43)-($N$42/3)*$F63*SIN($K$43)-($N$42/3)*$G63*SIN($K$43)</f>
        <v>#VALUE!</v>
      </c>
      <c r="AQ63" s="79" t="e">
        <f>IF(($A63&lt;'Alternative 2'!$B$27),(($H63*'Alternative 2'!$B$39)+(3*($N$42/3)*COS($K$43))),IF(($A63&lt;'Alternative 2'!$B$28),(($H63*'Alternative 2'!$B$39)+(2*(($N$42/3)*COS($K$43)))),IF(($A63&lt;'Alternative 2'!$B$29),(($H$3*'Alternative 2'!$B$39+(($N$42/3)*COS($K$43)))),($H63*'Alternative 2'!$B$39))))</f>
        <v>#VALUE!</v>
      </c>
      <c r="AR63" s="78" t="e">
        <f>AP63*'Alternative 2'!$K64/'Alternative 2'!$L64</f>
        <v>#VALUE!</v>
      </c>
      <c r="AS63" s="78" t="e">
        <f>AQ63/'Alternative 2'!$M64</f>
        <v>#VALUE!</v>
      </c>
      <c r="AT63" s="78" t="e">
        <f t="shared" si="6"/>
        <v>#VALUE!</v>
      </c>
      <c r="AV63" s="78" t="e">
        <f>'Alternative 2'!$B$39*$B63*$C63*COS($K$53)-($N$52/3)*$E63*SIN($K$53)-($N$52/3)*$F63*SIN($K$53)-($N$52/3)*$G63*SIN($K$53)</f>
        <v>#VALUE!</v>
      </c>
      <c r="AW63" s="79" t="e">
        <f>IF(($A63&lt;'Alternative 2'!$B$27),(($H63*'Alternative 2'!$B$39)+(3*($N$52/3)*COS($K$53))),IF(($A63&lt;'Alternative 2'!$B$28),(($H63*'Alternative 2'!$B$39)+(2*(($N$52/3)*COS($K$53)))),IF(($A63&lt;'Alternative 2'!$B$29),(($H$3*'Alternative 2'!$B$39+(($N$52/3)*COS($K$53)))),($H63*'Alternative 2'!$B$39))))</f>
        <v>#VALUE!</v>
      </c>
      <c r="AX63" s="78" t="e">
        <f>AV63*'Alternative 2'!$K64/'Alternative 2'!$L64</f>
        <v>#VALUE!</v>
      </c>
      <c r="AY63" s="78" t="e">
        <f>AW63/'Alternative 2'!$M64</f>
        <v>#VALUE!</v>
      </c>
      <c r="AZ63" s="78" t="e">
        <f t="shared" si="7"/>
        <v>#VALUE!</v>
      </c>
      <c r="BB63" s="78" t="e">
        <f>'Alternative 2'!$B$39*$B63*$C63*COS($K$63)-($N$62/3)*$E63*SIN($K$63)-($N$62/3)*$F63*SIN($K$63)-($N$62/3)*$G63*SIN($K$63)</f>
        <v>#VALUE!</v>
      </c>
      <c r="BC63" s="79" t="e">
        <f>IF(($A63&lt;'Alternative 2'!$B$27),(($H63*'Alternative 2'!$B$39)+(3*($N$62/3)*COS($K$63))),IF(($A63&lt;'Alternative 2'!$B$28),(($H63*'Alternative 2'!$B$39)+(2*(($N$62/3)*COS($K$63)))),IF(($A63&lt;'Alternative 2'!$B$29),(($H$3*'Alternative 2'!$B$39+(($N$62/3)*COS($K$63)))),($H63*'Alternative 2'!$B$39))))</f>
        <v>#VALUE!</v>
      </c>
      <c r="BD63" s="78" t="e">
        <f>BB63*'Alternative 2'!$K64/'Alternative 2'!$L64</f>
        <v>#VALUE!</v>
      </c>
      <c r="BE63" s="78" t="e">
        <f>BC63/'Alternative 2'!$M64</f>
        <v>#VALUE!</v>
      </c>
      <c r="BF63" s="78" t="e">
        <f t="shared" si="8"/>
        <v>#VALUE!</v>
      </c>
      <c r="BH63" s="78" t="e">
        <f>'Alternative 2'!$B$39*$B63*$C63*COS($K$73)-($N$72/3)*$E63*SIN($K$73)-($N$72/3)*$F63*SIN($K$73)-($N$72/3)*$G63*SIN($K$73)</f>
        <v>#VALUE!</v>
      </c>
      <c r="BI63" s="79" t="e">
        <f>IF(($A63&lt;'Alternative 2'!$B$27),(($H63*'Alternative 2'!$B$39)+(3*($N$72/3)*COS($K$73))),IF(($A63&lt;'Alternative 2'!$B$28),(($H63*'Alternative 2'!$B$39)+(2*(($N$72/3)*COS($K$73)))),IF(($A63&lt;'Alternative 2'!$B$29),(($H$3*'Alternative 2'!$B$39+(($N$72/3)*COS($K$73)))),($H63*'Alternative 2'!$B$39))))</f>
        <v>#VALUE!</v>
      </c>
      <c r="BJ63" s="78" t="e">
        <f>BH63*'Alternative 2'!$K64/'Alternative 2'!$L64</f>
        <v>#VALUE!</v>
      </c>
      <c r="BK63" s="78" t="e">
        <f>BI63/'Alternative 2'!$M64</f>
        <v>#VALUE!</v>
      </c>
      <c r="BL63" s="78" t="e">
        <f t="shared" si="9"/>
        <v>#VALUE!</v>
      </c>
      <c r="BN63" s="78" t="e">
        <f>'Alternative 2'!$B$39*$B63*$C63*COS($K$83)-($N$82/3)*$E63*SIN($K$83)-($N$82/3)*$F63*SIN($K$83)-($N$82/3)*$G63*SIN($K$83)</f>
        <v>#VALUE!</v>
      </c>
      <c r="BO63" s="79" t="e">
        <f>IF(($A63&lt;'Alternative 2'!$B$27),(($H63*'Alternative 2'!$B$39)+(3*($N$82/3)*COS($K$83))),IF(($A63&lt;'Alternative 2'!$B$28),(($H63*'Alternative 2'!$B$39)+(2*(($N$82/3)*COS($K$83)))),IF(($A63&lt;'Alternative 2'!$B$29),(($H$3*'Alternative 2'!$B$39+(($N$82/3)*COS($K$83)))),($H63*'Alternative 2'!$B$39))))</f>
        <v>#VALUE!</v>
      </c>
      <c r="BP63" s="78" t="e">
        <f>BN63*'Alternative 2'!$K64/'Alternative 2'!$L64</f>
        <v>#VALUE!</v>
      </c>
      <c r="BQ63" s="78" t="e">
        <f>BO63/'Alternative 2'!$M64</f>
        <v>#VALUE!</v>
      </c>
      <c r="BR63" s="78" t="e">
        <f t="shared" si="10"/>
        <v>#VALUE!</v>
      </c>
      <c r="BT63" s="78" t="e">
        <f>'Alternative 2'!$B$39*$B63*$C63*COS($K$93)-($K$92/3)*$E63*SIN($K$93)-($K$92/3)*$F63*SIN($K$93)-($K$92/3)*$G63*SIN($K$93)</f>
        <v>#VALUE!</v>
      </c>
      <c r="BU63" s="79" t="e">
        <f>IF(($A63&lt;'Alternative 2'!$B$27),(($H63*'Alternative 2'!$B$39)+(3*($N$92/3)*COS($K$93))),IF(($A63&lt;'Alternative 2'!$B$28),(($H63*'Alternative 2'!$B$39)+(2*(($N$92/3)*COS($K$93)))),IF(($A63&lt;'Alternative 2'!$B$29),(($H$3*'Alternative 2'!$B$39+(($N$92/3)*COS($K$93)))),($H63*'Alternative 2'!$B$39))))</f>
        <v>#VALUE!</v>
      </c>
      <c r="BV63" s="78" t="e">
        <f>BT63*'Alternative 2'!$K64/'Alternative 2'!$L64</f>
        <v>#VALUE!</v>
      </c>
      <c r="BW63" s="78" t="e">
        <f>BU63/'Alternative 2'!$M64</f>
        <v>#VALUE!</v>
      </c>
      <c r="BX63" s="78" t="e">
        <f t="shared" si="11"/>
        <v>#VALUE!</v>
      </c>
      <c r="BZ63" s="77">
        <v>150</v>
      </c>
      <c r="CA63" s="77">
        <v>-150</v>
      </c>
    </row>
    <row r="64" spans="1:79" ht="15" customHeight="1" x14ac:dyDescent="0.25">
      <c r="A64" s="13" t="str">
        <f>IF('Alternative 2'!F65&gt;0,'Alternative 2'!F65,"x")</f>
        <v>x</v>
      </c>
      <c r="B64" s="13" t="e">
        <f t="shared" si="17"/>
        <v>#VALUE!</v>
      </c>
      <c r="C64" s="13">
        <f t="shared" si="12"/>
        <v>0</v>
      </c>
      <c r="D64" s="13" t="str">
        <f t="shared" si="13"/>
        <v>x</v>
      </c>
      <c r="E64" s="74">
        <f>IF($A64&lt;='Alternative 2'!$B$27, IF($A64='Alternative 2'!$B$27,0,E65+1),0)</f>
        <v>0</v>
      </c>
      <c r="F64" s="74">
        <f>IF($A64&lt;=('Alternative 2'!$B$28), IF($A64=ROUNDDOWN('Alternative 2'!$B$28,0),0,F65+1),0)</f>
        <v>0</v>
      </c>
      <c r="G64" s="74">
        <f>IF($A64&lt;=('Alternative 2'!$B$29), IF($A64=ROUNDDOWN('Alternative 2'!$B$29,0),0,G65+1),0)</f>
        <v>0</v>
      </c>
      <c r="H64" s="13" t="e">
        <f t="shared" si="14"/>
        <v>#VALUE!</v>
      </c>
      <c r="J64" s="77">
        <f t="shared" si="15"/>
        <v>61</v>
      </c>
      <c r="K64" s="77">
        <f t="shared" si="16"/>
        <v>1.064650843716541</v>
      </c>
      <c r="L64" s="78">
        <f>'Alternative 2'!$B$27*SIN(K64)+'Alternative 2'!$B$28*SIN(K64)+'Alternative 2'!$B$29*SIN(K64)</f>
        <v>59.474140085478915</v>
      </c>
      <c r="M64" s="77">
        <f>(('Alternative 2'!$B$27)*(((('Alternative 2'!$B$28-'Alternative 2'!$B$27)/2)+'Alternative 2'!$B$27)*'Alternative 2'!$B$39)*COS('Alternative 2-Tilt Up'!K64))+(('Alternative 2'!$B$28)*((('Alternative 2'!$B$28-'Alternative 2'!$B$27)/2)+(('Alternative 2'!$B$29-'Alternative 2'!$B$28)/2))*('Alternative 2'!$B$39)*COS('Alternative 2-Tilt Up'!K64))+(('Alternative 2'!$B$29)*((('Alternative 2'!$B$12-'Alternative 2'!$B$29+(('Alternative 2'!$B$29-'Alternative 2'!$B$28)/2)*('Alternative 2'!$B$39)*COS('Alternative 2-Tilt Up'!K64)))))</f>
        <v>2301061.7488463335</v>
      </c>
      <c r="N64" s="77">
        <f t="shared" si="0"/>
        <v>116070.36666049196</v>
      </c>
      <c r="O64" s="77">
        <f>(((('Alternative 2'!$B$28-'Alternative 2'!$B$27)/2)+'Alternative 2'!$B$27)*('Alternative 2'!$B$39)*COS('Alternative 2-Tilt Up'!K64))+(((('Alternative 2'!$B$28-'Alternative 2'!$B$27)/2)+(('Alternative 2'!$B$29-'Alternative 2'!$B$28)/2))*('Alternative 2'!$B$39)*COS('Alternative 2-Tilt Up'!K64))+(((('Alternative 2'!$B$12-'Alternative 2'!$B$29)+(('Alternative 2'!$B$29-'Alternative 2'!$B$28)/2))*('Alternative 2'!$B$39)*COS('Alternative 2-Tilt Up'!K64)))</f>
        <v>148409.87568071604</v>
      </c>
      <c r="P64" s="77">
        <f t="shared" si="1"/>
        <v>56272.030382526216</v>
      </c>
      <c r="R64" s="78" t="e">
        <f>'Alternative 2'!$B$39*$B64*$C64*COS($K$5)-($N$5/3)*$E64*SIN($K$5)-($N$5/3)*$F64*SIN($K$5)-($N$5/3)*$G64*SIN($K$5)</f>
        <v>#VALUE!</v>
      </c>
      <c r="S64" s="79" t="e">
        <f>IF(($A64&lt;'Alternative 2'!$B$27),(($H64*'Alternative 2'!$B$39)+(3*($N$5/3)*COS($K$5))),IF(($A64&lt;'Alternative 2'!$B$28),(($H64*'Alternative 2'!$B$39)+(2*(($N$5/3)*COS($K$5)))),IF(($A64&lt;'Alternative 2'!$B$29),(($H$3*'Alternative 2'!$B$39+(($N$5/3)*COS($K$5)))),($H64*'Alternative 2'!$B$39))))</f>
        <v>#VALUE!</v>
      </c>
      <c r="T64" s="78" t="e">
        <f>R64*'Alternative 2'!$K65/'Alternative 2'!$L65</f>
        <v>#VALUE!</v>
      </c>
      <c r="U64" s="78" t="e">
        <f>S64/'Alternative 2'!$M65</f>
        <v>#VALUE!</v>
      </c>
      <c r="V64" s="78" t="e">
        <f t="shared" si="2"/>
        <v>#VALUE!</v>
      </c>
      <c r="X64" s="78" t="e">
        <f>'Alternative 2'!$B$39*$B64*$C64*COS($K$13)-($N$12/3)*$E64*SIN($K$13)-($N$12/3)*$F64*SIN($K$13)-($N$12/3)*$G64*SIN($K$13)</f>
        <v>#VALUE!</v>
      </c>
      <c r="Y64" s="79" t="e">
        <f>IF(($A64&lt;'Alternative 2'!$B$27),(($H64*'Alternative 2'!$B$39)+(3*($N$12/3)*COS($K$13))),IF(($A64&lt;'Alternative 2'!$B$28),(($H64*'Alternative 2'!$B$39)+(2*(($N$12/3)*COS($K$13)))),IF(($A64&lt;'Alternative 2'!$B$29),(($H$3*'Alternative 2'!$B$39+(($N$12/3)*COS($K$13)))),($H64*'Alternative 2'!$B$39))))</f>
        <v>#VALUE!</v>
      </c>
      <c r="Z64" s="78" t="e">
        <f>X64*'Alternative 2'!$K65/'Alternative 2'!$L65</f>
        <v>#VALUE!</v>
      </c>
      <c r="AA64" s="78" t="e">
        <f>Y64/'Alternative 2'!$M65</f>
        <v>#VALUE!</v>
      </c>
      <c r="AB64" s="78" t="e">
        <f t="shared" si="3"/>
        <v>#VALUE!</v>
      </c>
      <c r="AD64" s="78" t="e">
        <f>'Alternative 2'!$B$39*$B64*$C64*COS($K$23)-($N$22/3)*$E64*SIN($K$23)-($N$22/3)*$F64*SIN($K$23)-($N$22/3)*$G64*SIN($K$23)</f>
        <v>#VALUE!</v>
      </c>
      <c r="AE64" s="79" t="e">
        <f>IF(($A64&lt;'Alternative 2'!$B$27),(($H64*'Alternative 2'!$B$39)+(3*($N$22/3)*COS($K$23))),IF(($A64&lt;'Alternative 2'!$B$28),(($H64*'Alternative 2'!$B$39)+(2*(($N$22/3)*COS($K$23)))),IF(($A64&lt;'Alternative 2'!$B$29),(($H$3*'Alternative 2'!$B$39+(($N$22/3)*COS($K$23)))),($H64*'Alternative 2'!$B$39))))</f>
        <v>#VALUE!</v>
      </c>
      <c r="AF64" s="78" t="e">
        <f>AD64*'Alternative 2'!$K65/'Alternative 2'!$L65</f>
        <v>#VALUE!</v>
      </c>
      <c r="AG64" s="78" t="e">
        <f>AE64/'Alternative 2'!$M65</f>
        <v>#VALUE!</v>
      </c>
      <c r="AH64" s="78" t="e">
        <f t="shared" si="4"/>
        <v>#VALUE!</v>
      </c>
      <c r="AJ64" s="78" t="e">
        <f>'Alternative 2'!$B$39*$B64*$C64*COS($K$33)-($N$32/3)*$E64*SIN($K$33)-($N$32/3)*$F64*SIN($K$33)-($N$32/3)*$G64*SIN($K$33)</f>
        <v>#VALUE!</v>
      </c>
      <c r="AK64" s="79" t="e">
        <f>IF(($A64&lt;'Alternative 2'!$B$27),(($H64*'Alternative 2'!$B$39)+(3*($N$32/3)*COS($K$33))),IF(($A64&lt;'Alternative 2'!$B$28),(($H64*'Alternative 2'!$B$39)+(2*(($N$32/3)*COS($K$33)))),IF(($A64&lt;'Alternative 2'!$B$29),(($H$3*'Alternative 2'!$B$39+(($N$32/3)*COS($K$33)))),($H64*'Alternative 2'!$B$39))))</f>
        <v>#VALUE!</v>
      </c>
      <c r="AL64" s="78" t="e">
        <f>AJ64*'Alternative 2'!$K65/'Alternative 2'!$L65</f>
        <v>#VALUE!</v>
      </c>
      <c r="AM64" s="78" t="e">
        <f>AK64/'Alternative 2'!$M65</f>
        <v>#VALUE!</v>
      </c>
      <c r="AN64" s="78" t="e">
        <f t="shared" si="5"/>
        <v>#VALUE!</v>
      </c>
      <c r="AP64" s="78" t="e">
        <f>'Alternative 2'!$B$39*$B64*$C64*COS($K$43)-($N$42/3)*$E64*SIN($K$43)-($N$42/3)*$F64*SIN($K$43)-($N$42/3)*$G64*SIN($K$43)</f>
        <v>#VALUE!</v>
      </c>
      <c r="AQ64" s="79" t="e">
        <f>IF(($A64&lt;'Alternative 2'!$B$27),(($H64*'Alternative 2'!$B$39)+(3*($N$42/3)*COS($K$43))),IF(($A64&lt;'Alternative 2'!$B$28),(($H64*'Alternative 2'!$B$39)+(2*(($N$42/3)*COS($K$43)))),IF(($A64&lt;'Alternative 2'!$B$29),(($H$3*'Alternative 2'!$B$39+(($N$42/3)*COS($K$43)))),($H64*'Alternative 2'!$B$39))))</f>
        <v>#VALUE!</v>
      </c>
      <c r="AR64" s="78" t="e">
        <f>AP64*'Alternative 2'!$K65/'Alternative 2'!$L65</f>
        <v>#VALUE!</v>
      </c>
      <c r="AS64" s="78" t="e">
        <f>AQ64/'Alternative 2'!$M65</f>
        <v>#VALUE!</v>
      </c>
      <c r="AT64" s="78" t="e">
        <f t="shared" si="6"/>
        <v>#VALUE!</v>
      </c>
      <c r="AV64" s="78" t="e">
        <f>'Alternative 2'!$B$39*$B64*$C64*COS($K$53)-($N$52/3)*$E64*SIN($K$53)-($N$52/3)*$F64*SIN($K$53)-($N$52/3)*$G64*SIN($K$53)</f>
        <v>#VALUE!</v>
      </c>
      <c r="AW64" s="79" t="e">
        <f>IF(($A64&lt;'Alternative 2'!$B$27),(($H64*'Alternative 2'!$B$39)+(3*($N$52/3)*COS($K$53))),IF(($A64&lt;'Alternative 2'!$B$28),(($H64*'Alternative 2'!$B$39)+(2*(($N$52/3)*COS($K$53)))),IF(($A64&lt;'Alternative 2'!$B$29),(($H$3*'Alternative 2'!$B$39+(($N$52/3)*COS($K$53)))),($H64*'Alternative 2'!$B$39))))</f>
        <v>#VALUE!</v>
      </c>
      <c r="AX64" s="78" t="e">
        <f>AV64*'Alternative 2'!$K65/'Alternative 2'!$L65</f>
        <v>#VALUE!</v>
      </c>
      <c r="AY64" s="78" t="e">
        <f>AW64/'Alternative 2'!$M65</f>
        <v>#VALUE!</v>
      </c>
      <c r="AZ64" s="78" t="e">
        <f t="shared" si="7"/>
        <v>#VALUE!</v>
      </c>
      <c r="BB64" s="78" t="e">
        <f>'Alternative 2'!$B$39*$B64*$C64*COS($K$63)-($N$62/3)*$E64*SIN($K$63)-($N$62/3)*$F64*SIN($K$63)-($N$62/3)*$G64*SIN($K$63)</f>
        <v>#VALUE!</v>
      </c>
      <c r="BC64" s="79" t="e">
        <f>IF(($A64&lt;'Alternative 2'!$B$27),(($H64*'Alternative 2'!$B$39)+(3*($N$62/3)*COS($K$63))),IF(($A64&lt;'Alternative 2'!$B$28),(($H64*'Alternative 2'!$B$39)+(2*(($N$62/3)*COS($K$63)))),IF(($A64&lt;'Alternative 2'!$B$29),(($H$3*'Alternative 2'!$B$39+(($N$62/3)*COS($K$63)))),($H64*'Alternative 2'!$B$39))))</f>
        <v>#VALUE!</v>
      </c>
      <c r="BD64" s="78" t="e">
        <f>BB64*'Alternative 2'!$K65/'Alternative 2'!$L65</f>
        <v>#VALUE!</v>
      </c>
      <c r="BE64" s="78" t="e">
        <f>BC64/'Alternative 2'!$M65</f>
        <v>#VALUE!</v>
      </c>
      <c r="BF64" s="78" t="e">
        <f t="shared" si="8"/>
        <v>#VALUE!</v>
      </c>
      <c r="BH64" s="78" t="e">
        <f>'Alternative 2'!$B$39*$B64*$C64*COS($K$73)-($N$72/3)*$E64*SIN($K$73)-($N$72/3)*$F64*SIN($K$73)-($N$72/3)*$G64*SIN($K$73)</f>
        <v>#VALUE!</v>
      </c>
      <c r="BI64" s="79" t="e">
        <f>IF(($A64&lt;'Alternative 2'!$B$27),(($H64*'Alternative 2'!$B$39)+(3*($N$72/3)*COS($K$73))),IF(($A64&lt;'Alternative 2'!$B$28),(($H64*'Alternative 2'!$B$39)+(2*(($N$72/3)*COS($K$73)))),IF(($A64&lt;'Alternative 2'!$B$29),(($H$3*'Alternative 2'!$B$39+(($N$72/3)*COS($K$73)))),($H64*'Alternative 2'!$B$39))))</f>
        <v>#VALUE!</v>
      </c>
      <c r="BJ64" s="78" t="e">
        <f>BH64*'Alternative 2'!$K65/'Alternative 2'!$L65</f>
        <v>#VALUE!</v>
      </c>
      <c r="BK64" s="78" t="e">
        <f>BI64/'Alternative 2'!$M65</f>
        <v>#VALUE!</v>
      </c>
      <c r="BL64" s="78" t="e">
        <f t="shared" si="9"/>
        <v>#VALUE!</v>
      </c>
      <c r="BN64" s="78" t="e">
        <f>'Alternative 2'!$B$39*$B64*$C64*COS($K$83)-($N$82/3)*$E64*SIN($K$83)-($N$82/3)*$F64*SIN($K$83)-($N$82/3)*$G64*SIN($K$83)</f>
        <v>#VALUE!</v>
      </c>
      <c r="BO64" s="79" t="e">
        <f>IF(($A64&lt;'Alternative 2'!$B$27),(($H64*'Alternative 2'!$B$39)+(3*($N$82/3)*COS($K$83))),IF(($A64&lt;'Alternative 2'!$B$28),(($H64*'Alternative 2'!$B$39)+(2*(($N$82/3)*COS($K$83)))),IF(($A64&lt;'Alternative 2'!$B$29),(($H$3*'Alternative 2'!$B$39+(($N$82/3)*COS($K$83)))),($H64*'Alternative 2'!$B$39))))</f>
        <v>#VALUE!</v>
      </c>
      <c r="BP64" s="78" t="e">
        <f>BN64*'Alternative 2'!$K65/'Alternative 2'!$L65</f>
        <v>#VALUE!</v>
      </c>
      <c r="BQ64" s="78" t="e">
        <f>BO64/'Alternative 2'!$M65</f>
        <v>#VALUE!</v>
      </c>
      <c r="BR64" s="78" t="e">
        <f t="shared" si="10"/>
        <v>#VALUE!</v>
      </c>
      <c r="BT64" s="78" t="e">
        <f>'Alternative 2'!$B$39*$B64*$C64*COS($K$93)-($K$92/3)*$E64*SIN($K$93)-($K$92/3)*$F64*SIN($K$93)-($K$92/3)*$G64*SIN($K$93)</f>
        <v>#VALUE!</v>
      </c>
      <c r="BU64" s="79" t="e">
        <f>IF(($A64&lt;'Alternative 2'!$B$27),(($H64*'Alternative 2'!$B$39)+(3*($N$92/3)*COS($K$93))),IF(($A64&lt;'Alternative 2'!$B$28),(($H64*'Alternative 2'!$B$39)+(2*(($N$92/3)*COS($K$93)))),IF(($A64&lt;'Alternative 2'!$B$29),(($H$3*'Alternative 2'!$B$39+(($N$92/3)*COS($K$93)))),($H64*'Alternative 2'!$B$39))))</f>
        <v>#VALUE!</v>
      </c>
      <c r="BV64" s="78" t="e">
        <f>BT64*'Alternative 2'!$K65/'Alternative 2'!$L65</f>
        <v>#VALUE!</v>
      </c>
      <c r="BW64" s="78" t="e">
        <f>BU64/'Alternative 2'!$M65</f>
        <v>#VALUE!</v>
      </c>
      <c r="BX64" s="78" t="e">
        <f t="shared" si="11"/>
        <v>#VALUE!</v>
      </c>
      <c r="BZ64" s="77">
        <v>150</v>
      </c>
      <c r="CA64" s="77">
        <v>-150</v>
      </c>
    </row>
    <row r="65" spans="1:79" ht="15" customHeight="1" x14ac:dyDescent="0.25">
      <c r="A65" s="13" t="str">
        <f>IF('Alternative 2'!F66&gt;0,'Alternative 2'!F66,"x")</f>
        <v>x</v>
      </c>
      <c r="B65" s="13" t="e">
        <f t="shared" si="17"/>
        <v>#VALUE!</v>
      </c>
      <c r="C65" s="13">
        <f t="shared" si="12"/>
        <v>0</v>
      </c>
      <c r="D65" s="13" t="str">
        <f t="shared" si="13"/>
        <v>x</v>
      </c>
      <c r="E65" s="74">
        <f>IF($A65&lt;='Alternative 2'!$B$27, IF($A65='Alternative 2'!$B$27,0,E66+1),0)</f>
        <v>0</v>
      </c>
      <c r="F65" s="74">
        <f>IF($A65&lt;=('Alternative 2'!$B$28), IF($A65=ROUNDDOWN('Alternative 2'!$B$28,0),0,F66+1),0)</f>
        <v>0</v>
      </c>
      <c r="G65" s="74">
        <f>IF($A65&lt;=('Alternative 2'!$B$29), IF($A65=ROUNDDOWN('Alternative 2'!$B$29,0),0,G66+1),0)</f>
        <v>0</v>
      </c>
      <c r="H65" s="13" t="e">
        <f t="shared" si="14"/>
        <v>#VALUE!</v>
      </c>
      <c r="J65" s="77">
        <f t="shared" si="15"/>
        <v>62</v>
      </c>
      <c r="K65" s="77">
        <f t="shared" si="16"/>
        <v>1.0821041362364843</v>
      </c>
      <c r="L65" s="78">
        <f>'Alternative 2'!$B$27*SIN(K65)+'Alternative 2'!$B$28*SIN(K65)+'Alternative 2'!$B$29*SIN(K65)</f>
        <v>60.040436314407032</v>
      </c>
      <c r="M65" s="77">
        <f>(('Alternative 2'!$B$27)*(((('Alternative 2'!$B$28-'Alternative 2'!$B$27)/2)+'Alternative 2'!$B$27)*'Alternative 2'!$B$39)*COS('Alternative 2-Tilt Up'!K65))+(('Alternative 2'!$B$28)*((('Alternative 2'!$B$28-'Alternative 2'!$B$27)/2)+(('Alternative 2'!$B$29-'Alternative 2'!$B$28)/2))*('Alternative 2'!$B$39)*COS('Alternative 2-Tilt Up'!K65))+(('Alternative 2'!$B$29)*((('Alternative 2'!$B$12-'Alternative 2'!$B$29+(('Alternative 2'!$B$29-'Alternative 2'!$B$28)/2)*('Alternative 2'!$B$39)*COS('Alternative 2-Tilt Up'!K65)))))</f>
        <v>2228268.6043851003</v>
      </c>
      <c r="N65" s="77">
        <f t="shared" si="0"/>
        <v>111338.39498017181</v>
      </c>
      <c r="O65" s="77">
        <f>(((('Alternative 2'!$B$28-'Alternative 2'!$B$27)/2)+'Alternative 2'!$B$27)*('Alternative 2'!$B$39)*COS('Alternative 2-Tilt Up'!K65))+(((('Alternative 2'!$B$28-'Alternative 2'!$B$27)/2)+(('Alternative 2'!$B$29-'Alternative 2'!$B$28)/2))*('Alternative 2'!$B$39)*COS('Alternative 2-Tilt Up'!K65))+(((('Alternative 2'!$B$12-'Alternative 2'!$B$29)+(('Alternative 2'!$B$29-'Alternative 2'!$B$28)/2))*('Alternative 2'!$B$39)*COS('Alternative 2-Tilt Up'!K65)))</f>
        <v>143714.59096311516</v>
      </c>
      <c r="P65" s="77">
        <f t="shared" si="1"/>
        <v>52270.210289414048</v>
      </c>
      <c r="R65" s="78" t="e">
        <f>'Alternative 2'!$B$39*$B65*$C65*COS($K$5)-($N$5/3)*$E65*SIN($K$5)-($N$5/3)*$F65*SIN($K$5)-($N$5/3)*$G65*SIN($K$5)</f>
        <v>#VALUE!</v>
      </c>
      <c r="S65" s="79" t="e">
        <f>IF(($A65&lt;'Alternative 2'!$B$27),(($H65*'Alternative 2'!$B$39)+(3*($N$5/3)*COS($K$5))),IF(($A65&lt;'Alternative 2'!$B$28),(($H65*'Alternative 2'!$B$39)+(2*(($N$5/3)*COS($K$5)))),IF(($A65&lt;'Alternative 2'!$B$29),(($H$3*'Alternative 2'!$B$39+(($N$5/3)*COS($K$5)))),($H65*'Alternative 2'!$B$39))))</f>
        <v>#VALUE!</v>
      </c>
      <c r="T65" s="78" t="e">
        <f>R65*'Alternative 2'!$K66/'Alternative 2'!$L66</f>
        <v>#VALUE!</v>
      </c>
      <c r="U65" s="78" t="e">
        <f>S65/'Alternative 2'!$M66</f>
        <v>#VALUE!</v>
      </c>
      <c r="V65" s="78" t="e">
        <f t="shared" si="2"/>
        <v>#VALUE!</v>
      </c>
      <c r="X65" s="78" t="e">
        <f>'Alternative 2'!$B$39*$B65*$C65*COS($K$13)-($N$12/3)*$E65*SIN($K$13)-($N$12/3)*$F65*SIN($K$13)-($N$12/3)*$G65*SIN($K$13)</f>
        <v>#VALUE!</v>
      </c>
      <c r="Y65" s="79" t="e">
        <f>IF(($A65&lt;'Alternative 2'!$B$27),(($H65*'Alternative 2'!$B$39)+(3*($N$12/3)*COS($K$13))),IF(($A65&lt;'Alternative 2'!$B$28),(($H65*'Alternative 2'!$B$39)+(2*(($N$12/3)*COS($K$13)))),IF(($A65&lt;'Alternative 2'!$B$29),(($H$3*'Alternative 2'!$B$39+(($N$12/3)*COS($K$13)))),($H65*'Alternative 2'!$B$39))))</f>
        <v>#VALUE!</v>
      </c>
      <c r="Z65" s="78" t="e">
        <f>X65*'Alternative 2'!$K66/'Alternative 2'!$L66</f>
        <v>#VALUE!</v>
      </c>
      <c r="AA65" s="78" t="e">
        <f>Y65/'Alternative 2'!$M66</f>
        <v>#VALUE!</v>
      </c>
      <c r="AB65" s="78" t="e">
        <f t="shared" si="3"/>
        <v>#VALUE!</v>
      </c>
      <c r="AD65" s="78" t="e">
        <f>'Alternative 2'!$B$39*$B65*$C65*COS($K$23)-($N$22/3)*$E65*SIN($K$23)-($N$22/3)*$F65*SIN($K$23)-($N$22/3)*$G65*SIN($K$23)</f>
        <v>#VALUE!</v>
      </c>
      <c r="AE65" s="79" t="e">
        <f>IF(($A65&lt;'Alternative 2'!$B$27),(($H65*'Alternative 2'!$B$39)+(3*($N$22/3)*COS($K$23))),IF(($A65&lt;'Alternative 2'!$B$28),(($H65*'Alternative 2'!$B$39)+(2*(($N$22/3)*COS($K$23)))),IF(($A65&lt;'Alternative 2'!$B$29),(($H$3*'Alternative 2'!$B$39+(($N$22/3)*COS($K$23)))),($H65*'Alternative 2'!$B$39))))</f>
        <v>#VALUE!</v>
      </c>
      <c r="AF65" s="78" t="e">
        <f>AD65*'Alternative 2'!$K66/'Alternative 2'!$L66</f>
        <v>#VALUE!</v>
      </c>
      <c r="AG65" s="78" t="e">
        <f>AE65/'Alternative 2'!$M66</f>
        <v>#VALUE!</v>
      </c>
      <c r="AH65" s="78" t="e">
        <f t="shared" si="4"/>
        <v>#VALUE!</v>
      </c>
      <c r="AJ65" s="78" t="e">
        <f>'Alternative 2'!$B$39*$B65*$C65*COS($K$33)-($N$32/3)*$E65*SIN($K$33)-($N$32/3)*$F65*SIN($K$33)-($N$32/3)*$G65*SIN($K$33)</f>
        <v>#VALUE!</v>
      </c>
      <c r="AK65" s="79" t="e">
        <f>IF(($A65&lt;'Alternative 2'!$B$27),(($H65*'Alternative 2'!$B$39)+(3*($N$32/3)*COS($K$33))),IF(($A65&lt;'Alternative 2'!$B$28),(($H65*'Alternative 2'!$B$39)+(2*(($N$32/3)*COS($K$33)))),IF(($A65&lt;'Alternative 2'!$B$29),(($H$3*'Alternative 2'!$B$39+(($N$32/3)*COS($K$33)))),($H65*'Alternative 2'!$B$39))))</f>
        <v>#VALUE!</v>
      </c>
      <c r="AL65" s="78" t="e">
        <f>AJ65*'Alternative 2'!$K66/'Alternative 2'!$L66</f>
        <v>#VALUE!</v>
      </c>
      <c r="AM65" s="78" t="e">
        <f>AK65/'Alternative 2'!$M66</f>
        <v>#VALUE!</v>
      </c>
      <c r="AN65" s="78" t="e">
        <f t="shared" si="5"/>
        <v>#VALUE!</v>
      </c>
      <c r="AP65" s="78" t="e">
        <f>'Alternative 2'!$B$39*$B65*$C65*COS($K$43)-($N$42/3)*$E65*SIN($K$43)-($N$42/3)*$F65*SIN($K$43)-($N$42/3)*$G65*SIN($K$43)</f>
        <v>#VALUE!</v>
      </c>
      <c r="AQ65" s="79" t="e">
        <f>IF(($A65&lt;'Alternative 2'!$B$27),(($H65*'Alternative 2'!$B$39)+(3*($N$42/3)*COS($K$43))),IF(($A65&lt;'Alternative 2'!$B$28),(($H65*'Alternative 2'!$B$39)+(2*(($N$42/3)*COS($K$43)))),IF(($A65&lt;'Alternative 2'!$B$29),(($H$3*'Alternative 2'!$B$39+(($N$42/3)*COS($K$43)))),($H65*'Alternative 2'!$B$39))))</f>
        <v>#VALUE!</v>
      </c>
      <c r="AR65" s="78" t="e">
        <f>AP65*'Alternative 2'!$K66/'Alternative 2'!$L66</f>
        <v>#VALUE!</v>
      </c>
      <c r="AS65" s="78" t="e">
        <f>AQ65/'Alternative 2'!$M66</f>
        <v>#VALUE!</v>
      </c>
      <c r="AT65" s="78" t="e">
        <f t="shared" si="6"/>
        <v>#VALUE!</v>
      </c>
      <c r="AV65" s="78" t="e">
        <f>'Alternative 2'!$B$39*$B65*$C65*COS($K$53)-($N$52/3)*$E65*SIN($K$53)-($N$52/3)*$F65*SIN($K$53)-($N$52/3)*$G65*SIN($K$53)</f>
        <v>#VALUE!</v>
      </c>
      <c r="AW65" s="79" t="e">
        <f>IF(($A65&lt;'Alternative 2'!$B$27),(($H65*'Alternative 2'!$B$39)+(3*($N$52/3)*COS($K$53))),IF(($A65&lt;'Alternative 2'!$B$28),(($H65*'Alternative 2'!$B$39)+(2*(($N$52/3)*COS($K$53)))),IF(($A65&lt;'Alternative 2'!$B$29),(($H$3*'Alternative 2'!$B$39+(($N$52/3)*COS($K$53)))),($H65*'Alternative 2'!$B$39))))</f>
        <v>#VALUE!</v>
      </c>
      <c r="AX65" s="78" t="e">
        <f>AV65*'Alternative 2'!$K66/'Alternative 2'!$L66</f>
        <v>#VALUE!</v>
      </c>
      <c r="AY65" s="78" t="e">
        <f>AW65/'Alternative 2'!$M66</f>
        <v>#VALUE!</v>
      </c>
      <c r="AZ65" s="78" t="e">
        <f t="shared" si="7"/>
        <v>#VALUE!</v>
      </c>
      <c r="BB65" s="78" t="e">
        <f>'Alternative 2'!$B$39*$B65*$C65*COS($K$63)-($N$62/3)*$E65*SIN($K$63)-($N$62/3)*$F65*SIN($K$63)-($N$62/3)*$G65*SIN($K$63)</f>
        <v>#VALUE!</v>
      </c>
      <c r="BC65" s="79" t="e">
        <f>IF(($A65&lt;'Alternative 2'!$B$27),(($H65*'Alternative 2'!$B$39)+(3*($N$62/3)*COS($K$63))),IF(($A65&lt;'Alternative 2'!$B$28),(($H65*'Alternative 2'!$B$39)+(2*(($N$62/3)*COS($K$63)))),IF(($A65&lt;'Alternative 2'!$B$29),(($H$3*'Alternative 2'!$B$39+(($N$62/3)*COS($K$63)))),($H65*'Alternative 2'!$B$39))))</f>
        <v>#VALUE!</v>
      </c>
      <c r="BD65" s="78" t="e">
        <f>BB65*'Alternative 2'!$K66/'Alternative 2'!$L66</f>
        <v>#VALUE!</v>
      </c>
      <c r="BE65" s="78" t="e">
        <f>BC65/'Alternative 2'!$M66</f>
        <v>#VALUE!</v>
      </c>
      <c r="BF65" s="78" t="e">
        <f t="shared" si="8"/>
        <v>#VALUE!</v>
      </c>
      <c r="BH65" s="78" t="e">
        <f>'Alternative 2'!$B$39*$B65*$C65*COS($K$73)-($N$72/3)*$E65*SIN($K$73)-($N$72/3)*$F65*SIN($K$73)-($N$72/3)*$G65*SIN($K$73)</f>
        <v>#VALUE!</v>
      </c>
      <c r="BI65" s="79" t="e">
        <f>IF(($A65&lt;'Alternative 2'!$B$27),(($H65*'Alternative 2'!$B$39)+(3*($N$72/3)*COS($K$73))),IF(($A65&lt;'Alternative 2'!$B$28),(($H65*'Alternative 2'!$B$39)+(2*(($N$72/3)*COS($K$73)))),IF(($A65&lt;'Alternative 2'!$B$29),(($H$3*'Alternative 2'!$B$39+(($N$72/3)*COS($K$73)))),($H65*'Alternative 2'!$B$39))))</f>
        <v>#VALUE!</v>
      </c>
      <c r="BJ65" s="78" t="e">
        <f>BH65*'Alternative 2'!$K66/'Alternative 2'!$L66</f>
        <v>#VALUE!</v>
      </c>
      <c r="BK65" s="78" t="e">
        <f>BI65/'Alternative 2'!$M66</f>
        <v>#VALUE!</v>
      </c>
      <c r="BL65" s="78" t="e">
        <f t="shared" si="9"/>
        <v>#VALUE!</v>
      </c>
      <c r="BN65" s="78" t="e">
        <f>'Alternative 2'!$B$39*$B65*$C65*COS($K$83)-($N$82/3)*$E65*SIN($K$83)-($N$82/3)*$F65*SIN($K$83)-($N$82/3)*$G65*SIN($K$83)</f>
        <v>#VALUE!</v>
      </c>
      <c r="BO65" s="79" t="e">
        <f>IF(($A65&lt;'Alternative 2'!$B$27),(($H65*'Alternative 2'!$B$39)+(3*($N$82/3)*COS($K$83))),IF(($A65&lt;'Alternative 2'!$B$28),(($H65*'Alternative 2'!$B$39)+(2*(($N$82/3)*COS($K$83)))),IF(($A65&lt;'Alternative 2'!$B$29),(($H$3*'Alternative 2'!$B$39+(($N$82/3)*COS($K$83)))),($H65*'Alternative 2'!$B$39))))</f>
        <v>#VALUE!</v>
      </c>
      <c r="BP65" s="78" t="e">
        <f>BN65*'Alternative 2'!$K66/'Alternative 2'!$L66</f>
        <v>#VALUE!</v>
      </c>
      <c r="BQ65" s="78" t="e">
        <f>BO65/'Alternative 2'!$M66</f>
        <v>#VALUE!</v>
      </c>
      <c r="BR65" s="78" t="e">
        <f t="shared" si="10"/>
        <v>#VALUE!</v>
      </c>
      <c r="BT65" s="78" t="e">
        <f>'Alternative 2'!$B$39*$B65*$C65*COS($K$93)-($K$92/3)*$E65*SIN($K$93)-($K$92/3)*$F65*SIN($K$93)-($K$92/3)*$G65*SIN($K$93)</f>
        <v>#VALUE!</v>
      </c>
      <c r="BU65" s="79" t="e">
        <f>IF(($A65&lt;'Alternative 2'!$B$27),(($H65*'Alternative 2'!$B$39)+(3*($N$92/3)*COS($K$93))),IF(($A65&lt;'Alternative 2'!$B$28),(($H65*'Alternative 2'!$B$39)+(2*(($N$92/3)*COS($K$93)))),IF(($A65&lt;'Alternative 2'!$B$29),(($H$3*'Alternative 2'!$B$39+(($N$92/3)*COS($K$93)))),($H65*'Alternative 2'!$B$39))))</f>
        <v>#VALUE!</v>
      </c>
      <c r="BV65" s="78" t="e">
        <f>BT65*'Alternative 2'!$K66/'Alternative 2'!$L66</f>
        <v>#VALUE!</v>
      </c>
      <c r="BW65" s="78" t="e">
        <f>BU65/'Alternative 2'!$M66</f>
        <v>#VALUE!</v>
      </c>
      <c r="BX65" s="78" t="e">
        <f t="shared" si="11"/>
        <v>#VALUE!</v>
      </c>
      <c r="BZ65" s="77">
        <v>150</v>
      </c>
      <c r="CA65" s="77">
        <v>-150</v>
      </c>
    </row>
    <row r="66" spans="1:79" ht="15" customHeight="1" x14ac:dyDescent="0.25">
      <c r="A66" s="13" t="str">
        <f>IF('Alternative 2'!F67&gt;0,'Alternative 2'!F67,"x")</f>
        <v>x</v>
      </c>
      <c r="B66" s="13" t="e">
        <f t="shared" si="17"/>
        <v>#VALUE!</v>
      </c>
      <c r="C66" s="13">
        <f t="shared" si="12"/>
        <v>0</v>
      </c>
      <c r="D66" s="13" t="str">
        <f t="shared" si="13"/>
        <v>x</v>
      </c>
      <c r="E66" s="74">
        <f>IF($A66&lt;='Alternative 2'!$B$27, IF($A66='Alternative 2'!$B$27,0,E67+1),0)</f>
        <v>0</v>
      </c>
      <c r="F66" s="74">
        <f>IF($A66&lt;=('Alternative 2'!$B$28), IF($A66=ROUNDDOWN('Alternative 2'!$B$28,0),0,F67+1),0)</f>
        <v>0</v>
      </c>
      <c r="G66" s="74">
        <f>IF($A66&lt;=('Alternative 2'!$B$29), IF($A66=ROUNDDOWN('Alternative 2'!$B$29,0),0,G67+1),0)</f>
        <v>0</v>
      </c>
      <c r="H66" s="13" t="e">
        <f t="shared" si="14"/>
        <v>#VALUE!</v>
      </c>
      <c r="J66" s="77">
        <f t="shared" si="15"/>
        <v>63</v>
      </c>
      <c r="K66" s="77">
        <f t="shared" si="16"/>
        <v>1.0995574287564276</v>
      </c>
      <c r="L66" s="78">
        <f>'Alternative 2'!$B$27*SIN(K66)+'Alternative 2'!$B$28*SIN(K66)+'Alternative 2'!$B$29*SIN(K66)</f>
        <v>60.588443644809004</v>
      </c>
      <c r="M66" s="77">
        <f>(('Alternative 2'!$B$27)*(((('Alternative 2'!$B$28-'Alternative 2'!$B$27)/2)+'Alternative 2'!$B$27)*'Alternative 2'!$B$39)*COS('Alternative 2-Tilt Up'!K66))+(('Alternative 2'!$B$28)*((('Alternative 2'!$B$28-'Alternative 2'!$B$27)/2)+(('Alternative 2'!$B$29-'Alternative 2'!$B$28)/2))*('Alternative 2'!$B$39)*COS('Alternative 2-Tilt Up'!K66))+(('Alternative 2'!$B$29)*((('Alternative 2'!$B$12-'Alternative 2'!$B$29+(('Alternative 2'!$B$29-'Alternative 2'!$B$28)/2)*('Alternative 2'!$B$39)*COS('Alternative 2-Tilt Up'!K66)))))</f>
        <v>2154796.7673123768</v>
      </c>
      <c r="N66" s="77">
        <f t="shared" si="0"/>
        <v>106693.45362019338</v>
      </c>
      <c r="O66" s="77">
        <f>(((('Alternative 2'!$B$28-'Alternative 2'!$B$27)/2)+'Alternative 2'!$B$27)*('Alternative 2'!$B$39)*COS('Alternative 2-Tilt Up'!K66))+(((('Alternative 2'!$B$28-'Alternative 2'!$B$27)/2)+(('Alternative 2'!$B$29-'Alternative 2'!$B$28)/2))*('Alternative 2'!$B$39)*COS('Alternative 2-Tilt Up'!K66))+(((('Alternative 2'!$B$12-'Alternative 2'!$B$29)+(('Alternative 2'!$B$29-'Alternative 2'!$B$28)/2))*('Alternative 2'!$B$39)*COS('Alternative 2-Tilt Up'!K66)))</f>
        <v>138975.5293889124</v>
      </c>
      <c r="P66" s="77">
        <f t="shared" si="1"/>
        <v>48437.814327969754</v>
      </c>
      <c r="R66" s="78" t="e">
        <f>'Alternative 2'!$B$39*$B66*$C66*COS($K$5)-($N$5/3)*$E66*SIN($K$5)-($N$5/3)*$F66*SIN($K$5)-($N$5/3)*$G66*SIN($K$5)</f>
        <v>#VALUE!</v>
      </c>
      <c r="S66" s="79" t="e">
        <f>IF(($A66&lt;'Alternative 2'!$B$27),(($H66*'Alternative 2'!$B$39)+(3*($N$5/3)*COS($K$5))),IF(($A66&lt;'Alternative 2'!$B$28),(($H66*'Alternative 2'!$B$39)+(2*(($N$5/3)*COS($K$5)))),IF(($A66&lt;'Alternative 2'!$B$29),(($H$3*'Alternative 2'!$B$39+(($N$5/3)*COS($K$5)))),($H66*'Alternative 2'!$B$39))))</f>
        <v>#VALUE!</v>
      </c>
      <c r="T66" s="78" t="e">
        <f>R66*'Alternative 2'!$K67/'Alternative 2'!$L67</f>
        <v>#VALUE!</v>
      </c>
      <c r="U66" s="78" t="e">
        <f>S66/'Alternative 2'!$M67</f>
        <v>#VALUE!</v>
      </c>
      <c r="V66" s="78" t="e">
        <f t="shared" si="2"/>
        <v>#VALUE!</v>
      </c>
      <c r="X66" s="78" t="e">
        <f>'Alternative 2'!$B$39*$B66*$C66*COS($K$13)-($N$12/3)*$E66*SIN($K$13)-($N$12/3)*$F66*SIN($K$13)-($N$12/3)*$G66*SIN($K$13)</f>
        <v>#VALUE!</v>
      </c>
      <c r="Y66" s="79" t="e">
        <f>IF(($A66&lt;'Alternative 2'!$B$27),(($H66*'Alternative 2'!$B$39)+(3*($N$12/3)*COS($K$13))),IF(($A66&lt;'Alternative 2'!$B$28),(($H66*'Alternative 2'!$B$39)+(2*(($N$12/3)*COS($K$13)))),IF(($A66&lt;'Alternative 2'!$B$29),(($H$3*'Alternative 2'!$B$39+(($N$12/3)*COS($K$13)))),($H66*'Alternative 2'!$B$39))))</f>
        <v>#VALUE!</v>
      </c>
      <c r="Z66" s="78" t="e">
        <f>X66*'Alternative 2'!$K67/'Alternative 2'!$L67</f>
        <v>#VALUE!</v>
      </c>
      <c r="AA66" s="78" t="e">
        <f>Y66/'Alternative 2'!$M67</f>
        <v>#VALUE!</v>
      </c>
      <c r="AB66" s="78" t="e">
        <f t="shared" si="3"/>
        <v>#VALUE!</v>
      </c>
      <c r="AD66" s="78" t="e">
        <f>'Alternative 2'!$B$39*$B66*$C66*COS($K$23)-($N$22/3)*$E66*SIN($K$23)-($N$22/3)*$F66*SIN($K$23)-($N$22/3)*$G66*SIN($K$23)</f>
        <v>#VALUE!</v>
      </c>
      <c r="AE66" s="79" t="e">
        <f>IF(($A66&lt;'Alternative 2'!$B$27),(($H66*'Alternative 2'!$B$39)+(3*($N$22/3)*COS($K$23))),IF(($A66&lt;'Alternative 2'!$B$28),(($H66*'Alternative 2'!$B$39)+(2*(($N$22/3)*COS($K$23)))),IF(($A66&lt;'Alternative 2'!$B$29),(($H$3*'Alternative 2'!$B$39+(($N$22/3)*COS($K$23)))),($H66*'Alternative 2'!$B$39))))</f>
        <v>#VALUE!</v>
      </c>
      <c r="AF66" s="78" t="e">
        <f>AD66*'Alternative 2'!$K67/'Alternative 2'!$L67</f>
        <v>#VALUE!</v>
      </c>
      <c r="AG66" s="78" t="e">
        <f>AE66/'Alternative 2'!$M67</f>
        <v>#VALUE!</v>
      </c>
      <c r="AH66" s="78" t="e">
        <f t="shared" si="4"/>
        <v>#VALUE!</v>
      </c>
      <c r="AJ66" s="78" t="e">
        <f>'Alternative 2'!$B$39*$B66*$C66*COS($K$33)-($N$32/3)*$E66*SIN($K$33)-($N$32/3)*$F66*SIN($K$33)-($N$32/3)*$G66*SIN($K$33)</f>
        <v>#VALUE!</v>
      </c>
      <c r="AK66" s="79" t="e">
        <f>IF(($A66&lt;'Alternative 2'!$B$27),(($H66*'Alternative 2'!$B$39)+(3*($N$32/3)*COS($K$33))),IF(($A66&lt;'Alternative 2'!$B$28),(($H66*'Alternative 2'!$B$39)+(2*(($N$32/3)*COS($K$33)))),IF(($A66&lt;'Alternative 2'!$B$29),(($H$3*'Alternative 2'!$B$39+(($N$32/3)*COS($K$33)))),($H66*'Alternative 2'!$B$39))))</f>
        <v>#VALUE!</v>
      </c>
      <c r="AL66" s="78" t="e">
        <f>AJ66*'Alternative 2'!$K67/'Alternative 2'!$L67</f>
        <v>#VALUE!</v>
      </c>
      <c r="AM66" s="78" t="e">
        <f>AK66/'Alternative 2'!$M67</f>
        <v>#VALUE!</v>
      </c>
      <c r="AN66" s="78" t="e">
        <f t="shared" si="5"/>
        <v>#VALUE!</v>
      </c>
      <c r="AP66" s="78" t="e">
        <f>'Alternative 2'!$B$39*$B66*$C66*COS($K$43)-($N$42/3)*$E66*SIN($K$43)-($N$42/3)*$F66*SIN($K$43)-($N$42/3)*$G66*SIN($K$43)</f>
        <v>#VALUE!</v>
      </c>
      <c r="AQ66" s="79" t="e">
        <f>IF(($A66&lt;'Alternative 2'!$B$27),(($H66*'Alternative 2'!$B$39)+(3*($N$42/3)*COS($K$43))),IF(($A66&lt;'Alternative 2'!$B$28),(($H66*'Alternative 2'!$B$39)+(2*(($N$42/3)*COS($K$43)))),IF(($A66&lt;'Alternative 2'!$B$29),(($H$3*'Alternative 2'!$B$39+(($N$42/3)*COS($K$43)))),($H66*'Alternative 2'!$B$39))))</f>
        <v>#VALUE!</v>
      </c>
      <c r="AR66" s="78" t="e">
        <f>AP66*'Alternative 2'!$K67/'Alternative 2'!$L67</f>
        <v>#VALUE!</v>
      </c>
      <c r="AS66" s="78" t="e">
        <f>AQ66/'Alternative 2'!$M67</f>
        <v>#VALUE!</v>
      </c>
      <c r="AT66" s="78" t="e">
        <f t="shared" si="6"/>
        <v>#VALUE!</v>
      </c>
      <c r="AV66" s="78" t="e">
        <f>'Alternative 2'!$B$39*$B66*$C66*COS($K$53)-($N$52/3)*$E66*SIN($K$53)-($N$52/3)*$F66*SIN($K$53)-($N$52/3)*$G66*SIN($K$53)</f>
        <v>#VALUE!</v>
      </c>
      <c r="AW66" s="79" t="e">
        <f>IF(($A66&lt;'Alternative 2'!$B$27),(($H66*'Alternative 2'!$B$39)+(3*($N$52/3)*COS($K$53))),IF(($A66&lt;'Alternative 2'!$B$28),(($H66*'Alternative 2'!$B$39)+(2*(($N$52/3)*COS($K$53)))),IF(($A66&lt;'Alternative 2'!$B$29),(($H$3*'Alternative 2'!$B$39+(($N$52/3)*COS($K$53)))),($H66*'Alternative 2'!$B$39))))</f>
        <v>#VALUE!</v>
      </c>
      <c r="AX66" s="78" t="e">
        <f>AV66*'Alternative 2'!$K67/'Alternative 2'!$L67</f>
        <v>#VALUE!</v>
      </c>
      <c r="AY66" s="78" t="e">
        <f>AW66/'Alternative 2'!$M67</f>
        <v>#VALUE!</v>
      </c>
      <c r="AZ66" s="78" t="e">
        <f t="shared" si="7"/>
        <v>#VALUE!</v>
      </c>
      <c r="BB66" s="78" t="e">
        <f>'Alternative 2'!$B$39*$B66*$C66*COS($K$63)-($N$62/3)*$E66*SIN($K$63)-($N$62/3)*$F66*SIN($K$63)-($N$62/3)*$G66*SIN($K$63)</f>
        <v>#VALUE!</v>
      </c>
      <c r="BC66" s="79" t="e">
        <f>IF(($A66&lt;'Alternative 2'!$B$27),(($H66*'Alternative 2'!$B$39)+(3*($N$62/3)*COS($K$63))),IF(($A66&lt;'Alternative 2'!$B$28),(($H66*'Alternative 2'!$B$39)+(2*(($N$62/3)*COS($K$63)))),IF(($A66&lt;'Alternative 2'!$B$29),(($H$3*'Alternative 2'!$B$39+(($N$62/3)*COS($K$63)))),($H66*'Alternative 2'!$B$39))))</f>
        <v>#VALUE!</v>
      </c>
      <c r="BD66" s="78" t="e">
        <f>BB66*'Alternative 2'!$K67/'Alternative 2'!$L67</f>
        <v>#VALUE!</v>
      </c>
      <c r="BE66" s="78" t="e">
        <f>BC66/'Alternative 2'!$M67</f>
        <v>#VALUE!</v>
      </c>
      <c r="BF66" s="78" t="e">
        <f t="shared" si="8"/>
        <v>#VALUE!</v>
      </c>
      <c r="BH66" s="78" t="e">
        <f>'Alternative 2'!$B$39*$B66*$C66*COS($K$73)-($N$72/3)*$E66*SIN($K$73)-($N$72/3)*$F66*SIN($K$73)-($N$72/3)*$G66*SIN($K$73)</f>
        <v>#VALUE!</v>
      </c>
      <c r="BI66" s="79" t="e">
        <f>IF(($A66&lt;'Alternative 2'!$B$27),(($H66*'Alternative 2'!$B$39)+(3*($N$72/3)*COS($K$73))),IF(($A66&lt;'Alternative 2'!$B$28),(($H66*'Alternative 2'!$B$39)+(2*(($N$72/3)*COS($K$73)))),IF(($A66&lt;'Alternative 2'!$B$29),(($H$3*'Alternative 2'!$B$39+(($N$72/3)*COS($K$73)))),($H66*'Alternative 2'!$B$39))))</f>
        <v>#VALUE!</v>
      </c>
      <c r="BJ66" s="78" t="e">
        <f>BH66*'Alternative 2'!$K67/'Alternative 2'!$L67</f>
        <v>#VALUE!</v>
      </c>
      <c r="BK66" s="78" t="e">
        <f>BI66/'Alternative 2'!$M67</f>
        <v>#VALUE!</v>
      </c>
      <c r="BL66" s="78" t="e">
        <f t="shared" si="9"/>
        <v>#VALUE!</v>
      </c>
      <c r="BN66" s="78" t="e">
        <f>'Alternative 2'!$B$39*$B66*$C66*COS($K$83)-($N$82/3)*$E66*SIN($K$83)-($N$82/3)*$F66*SIN($K$83)-($N$82/3)*$G66*SIN($K$83)</f>
        <v>#VALUE!</v>
      </c>
      <c r="BO66" s="79" t="e">
        <f>IF(($A66&lt;'Alternative 2'!$B$27),(($H66*'Alternative 2'!$B$39)+(3*($N$82/3)*COS($K$83))),IF(($A66&lt;'Alternative 2'!$B$28),(($H66*'Alternative 2'!$B$39)+(2*(($N$82/3)*COS($K$83)))),IF(($A66&lt;'Alternative 2'!$B$29),(($H$3*'Alternative 2'!$B$39+(($N$82/3)*COS($K$83)))),($H66*'Alternative 2'!$B$39))))</f>
        <v>#VALUE!</v>
      </c>
      <c r="BP66" s="78" t="e">
        <f>BN66*'Alternative 2'!$K67/'Alternative 2'!$L67</f>
        <v>#VALUE!</v>
      </c>
      <c r="BQ66" s="78" t="e">
        <f>BO66/'Alternative 2'!$M67</f>
        <v>#VALUE!</v>
      </c>
      <c r="BR66" s="78" t="e">
        <f t="shared" si="10"/>
        <v>#VALUE!</v>
      </c>
      <c r="BT66" s="78" t="e">
        <f>'Alternative 2'!$B$39*$B66*$C66*COS($K$93)-($K$92/3)*$E66*SIN($K$93)-($K$92/3)*$F66*SIN($K$93)-($K$92/3)*$G66*SIN($K$93)</f>
        <v>#VALUE!</v>
      </c>
      <c r="BU66" s="79" t="e">
        <f>IF(($A66&lt;'Alternative 2'!$B$27),(($H66*'Alternative 2'!$B$39)+(3*($N$92/3)*COS($K$93))),IF(($A66&lt;'Alternative 2'!$B$28),(($H66*'Alternative 2'!$B$39)+(2*(($N$92/3)*COS($K$93)))),IF(($A66&lt;'Alternative 2'!$B$29),(($H$3*'Alternative 2'!$B$39+(($N$92/3)*COS($K$93)))),($H66*'Alternative 2'!$B$39))))</f>
        <v>#VALUE!</v>
      </c>
      <c r="BV66" s="78" t="e">
        <f>BT66*'Alternative 2'!$K67/'Alternative 2'!$L67</f>
        <v>#VALUE!</v>
      </c>
      <c r="BW66" s="78" t="e">
        <f>BU66/'Alternative 2'!$M67</f>
        <v>#VALUE!</v>
      </c>
      <c r="BX66" s="78" t="e">
        <f t="shared" si="11"/>
        <v>#VALUE!</v>
      </c>
      <c r="BZ66" s="77">
        <v>150</v>
      </c>
      <c r="CA66" s="77">
        <v>-150</v>
      </c>
    </row>
    <row r="67" spans="1:79" ht="15" customHeight="1" x14ac:dyDescent="0.25">
      <c r="A67" s="13" t="str">
        <f>IF('Alternative 2'!F68&gt;0,'Alternative 2'!F68,"x")</f>
        <v>x</v>
      </c>
      <c r="B67" s="13" t="e">
        <f t="shared" si="17"/>
        <v>#VALUE!</v>
      </c>
      <c r="C67" s="13">
        <f t="shared" si="12"/>
        <v>0</v>
      </c>
      <c r="D67" s="13" t="str">
        <f t="shared" si="13"/>
        <v>x</v>
      </c>
      <c r="E67" s="74">
        <f>IF($A67&lt;='Alternative 2'!$B$27, IF($A67='Alternative 2'!$B$27,0,E68+1),0)</f>
        <v>0</v>
      </c>
      <c r="F67" s="74">
        <f>IF($A67&lt;=('Alternative 2'!$B$28), IF($A67=ROUNDDOWN('Alternative 2'!$B$28,0),0,F68+1),0)</f>
        <v>0</v>
      </c>
      <c r="G67" s="74">
        <f>IF($A67&lt;=('Alternative 2'!$B$29), IF($A67=ROUNDDOWN('Alternative 2'!$B$29,0),0,G68+1),0)</f>
        <v>0</v>
      </c>
      <c r="H67" s="13" t="e">
        <f t="shared" si="14"/>
        <v>#VALUE!</v>
      </c>
      <c r="J67" s="77">
        <f t="shared" si="15"/>
        <v>64</v>
      </c>
      <c r="K67" s="77">
        <f t="shared" si="16"/>
        <v>1.1170107212763709</v>
      </c>
      <c r="L67" s="78">
        <f>'Alternative 2'!$B$27*SIN(K67)+'Alternative 2'!$B$28*SIN(K67)+'Alternative 2'!$B$29*SIN(K67)</f>
        <v>61.117995148343354</v>
      </c>
      <c r="M67" s="77">
        <f>(('Alternative 2'!$B$27)*(((('Alternative 2'!$B$28-'Alternative 2'!$B$27)/2)+'Alternative 2'!$B$27)*'Alternative 2'!$B$39)*COS('Alternative 2-Tilt Up'!K67))+(('Alternative 2'!$B$28)*((('Alternative 2'!$B$28-'Alternative 2'!$B$27)/2)+(('Alternative 2'!$B$29-'Alternative 2'!$B$28)/2))*('Alternative 2'!$B$39)*COS('Alternative 2-Tilt Up'!K67))+(('Alternative 2'!$B$29)*((('Alternative 2'!$B$12-'Alternative 2'!$B$29+(('Alternative 2'!$B$29-'Alternative 2'!$B$28)/2)*('Alternative 2'!$B$39)*COS('Alternative 2-Tilt Up'!K67)))))</f>
        <v>2080668.6178614735</v>
      </c>
      <c r="N67" s="77">
        <f t="shared" ref="N67:N93" si="18">M67*3/L67</f>
        <v>102130.40919346343</v>
      </c>
      <c r="O67" s="77">
        <f>(((('Alternative 2'!$B$28-'Alternative 2'!$B$27)/2)+'Alternative 2'!$B$27)*('Alternative 2'!$B$39)*COS('Alternative 2-Tilt Up'!K67))+(((('Alternative 2'!$B$28-'Alternative 2'!$B$27)/2)+(('Alternative 2'!$B$29-'Alternative 2'!$B$28)/2))*('Alternative 2'!$B$39)*COS('Alternative 2-Tilt Up'!K67))+(((('Alternative 2'!$B$12-'Alternative 2'!$B$29)+(('Alternative 2'!$B$29-'Alternative 2'!$B$28)/2))*('Alternative 2'!$B$39)*COS('Alternative 2-Tilt Up'!K67)))</f>
        <v>134194.13452217163</v>
      </c>
      <c r="P67" s="77">
        <f t="shared" ref="P67:P93" si="19">N67*COS(K67)</f>
        <v>44771.024600176308</v>
      </c>
      <c r="R67" s="78" t="e">
        <f>'Alternative 2'!$B$39*$B67*$C67*COS($K$5)-($N$5/3)*$E67*SIN($K$5)-($N$5/3)*$F67*SIN($K$5)-($N$5/3)*$G67*SIN($K$5)</f>
        <v>#VALUE!</v>
      </c>
      <c r="S67" s="79" t="e">
        <f>IF(($A67&lt;'Alternative 2'!$B$27),(($H67*'Alternative 2'!$B$39)+(3*($N$5/3)*COS($K$5))),IF(($A67&lt;'Alternative 2'!$B$28),(($H67*'Alternative 2'!$B$39)+(2*(($N$5/3)*COS($K$5)))),IF(($A67&lt;'Alternative 2'!$B$29),(($H$3*'Alternative 2'!$B$39+(($N$5/3)*COS($K$5)))),($H67*'Alternative 2'!$B$39))))</f>
        <v>#VALUE!</v>
      </c>
      <c r="T67" s="78" t="e">
        <f>R67*'Alternative 2'!$K68/'Alternative 2'!$L68</f>
        <v>#VALUE!</v>
      </c>
      <c r="U67" s="78" t="e">
        <f>S67/'Alternative 2'!$M68</f>
        <v>#VALUE!</v>
      </c>
      <c r="V67" s="78" t="e">
        <f t="shared" ref="V67:V93" si="20">(T67+U67)/1000000</f>
        <v>#VALUE!</v>
      </c>
      <c r="X67" s="78" t="e">
        <f>'Alternative 2'!$B$39*$B67*$C67*COS($K$13)-($N$12/3)*$E67*SIN($K$13)-($N$12/3)*$F67*SIN($K$13)-($N$12/3)*$G67*SIN($K$13)</f>
        <v>#VALUE!</v>
      </c>
      <c r="Y67" s="79" t="e">
        <f>IF(($A67&lt;'Alternative 2'!$B$27),(($H67*'Alternative 2'!$B$39)+(3*($N$12/3)*COS($K$13))),IF(($A67&lt;'Alternative 2'!$B$28),(($H67*'Alternative 2'!$B$39)+(2*(($N$12/3)*COS($K$13)))),IF(($A67&lt;'Alternative 2'!$B$29),(($H$3*'Alternative 2'!$B$39+(($N$12/3)*COS($K$13)))),($H67*'Alternative 2'!$B$39))))</f>
        <v>#VALUE!</v>
      </c>
      <c r="Z67" s="78" t="e">
        <f>X67*'Alternative 2'!$K68/'Alternative 2'!$L68</f>
        <v>#VALUE!</v>
      </c>
      <c r="AA67" s="78" t="e">
        <f>Y67/'Alternative 2'!$M68</f>
        <v>#VALUE!</v>
      </c>
      <c r="AB67" s="78" t="e">
        <f t="shared" ref="AB67:AB93" si="21">(Z67+AA67)/1000000</f>
        <v>#VALUE!</v>
      </c>
      <c r="AD67" s="78" t="e">
        <f>'Alternative 2'!$B$39*$B67*$C67*COS($K$23)-($N$22/3)*$E67*SIN($K$23)-($N$22/3)*$F67*SIN($K$23)-($N$22/3)*$G67*SIN($K$23)</f>
        <v>#VALUE!</v>
      </c>
      <c r="AE67" s="79" t="e">
        <f>IF(($A67&lt;'Alternative 2'!$B$27),(($H67*'Alternative 2'!$B$39)+(3*($N$22/3)*COS($K$23))),IF(($A67&lt;'Alternative 2'!$B$28),(($H67*'Alternative 2'!$B$39)+(2*(($N$22/3)*COS($K$23)))),IF(($A67&lt;'Alternative 2'!$B$29),(($H$3*'Alternative 2'!$B$39+(($N$22/3)*COS($K$23)))),($H67*'Alternative 2'!$B$39))))</f>
        <v>#VALUE!</v>
      </c>
      <c r="AF67" s="78" t="e">
        <f>AD67*'Alternative 2'!$K68/'Alternative 2'!$L68</f>
        <v>#VALUE!</v>
      </c>
      <c r="AG67" s="78" t="e">
        <f>AE67/'Alternative 2'!$M68</f>
        <v>#VALUE!</v>
      </c>
      <c r="AH67" s="78" t="e">
        <f t="shared" ref="AH67:AH93" si="22">(AF67+AG67)/1000000</f>
        <v>#VALUE!</v>
      </c>
      <c r="AJ67" s="78" t="e">
        <f>'Alternative 2'!$B$39*$B67*$C67*COS($K$33)-($N$32/3)*$E67*SIN($K$33)-($N$32/3)*$F67*SIN($K$33)-($N$32/3)*$G67*SIN($K$33)</f>
        <v>#VALUE!</v>
      </c>
      <c r="AK67" s="79" t="e">
        <f>IF(($A67&lt;'Alternative 2'!$B$27),(($H67*'Alternative 2'!$B$39)+(3*($N$32/3)*COS($K$33))),IF(($A67&lt;'Alternative 2'!$B$28),(($H67*'Alternative 2'!$B$39)+(2*(($N$32/3)*COS($K$33)))),IF(($A67&lt;'Alternative 2'!$B$29),(($H$3*'Alternative 2'!$B$39+(($N$32/3)*COS($K$33)))),($H67*'Alternative 2'!$B$39))))</f>
        <v>#VALUE!</v>
      </c>
      <c r="AL67" s="78" t="e">
        <f>AJ67*'Alternative 2'!$K68/'Alternative 2'!$L68</f>
        <v>#VALUE!</v>
      </c>
      <c r="AM67" s="78" t="e">
        <f>AK67/'Alternative 2'!$M68</f>
        <v>#VALUE!</v>
      </c>
      <c r="AN67" s="78" t="e">
        <f t="shared" ref="AN67:AN93" si="23">(AL67+AM67)/1000000</f>
        <v>#VALUE!</v>
      </c>
      <c r="AP67" s="78" t="e">
        <f>'Alternative 2'!$B$39*$B67*$C67*COS($K$43)-($N$42/3)*$E67*SIN($K$43)-($N$42/3)*$F67*SIN($K$43)-($N$42/3)*$G67*SIN($K$43)</f>
        <v>#VALUE!</v>
      </c>
      <c r="AQ67" s="79" t="e">
        <f>IF(($A67&lt;'Alternative 2'!$B$27),(($H67*'Alternative 2'!$B$39)+(3*($N$42/3)*COS($K$43))),IF(($A67&lt;'Alternative 2'!$B$28),(($H67*'Alternative 2'!$B$39)+(2*(($N$42/3)*COS($K$43)))),IF(($A67&lt;'Alternative 2'!$B$29),(($H$3*'Alternative 2'!$B$39+(($N$42/3)*COS($K$43)))),($H67*'Alternative 2'!$B$39))))</f>
        <v>#VALUE!</v>
      </c>
      <c r="AR67" s="78" t="e">
        <f>AP67*'Alternative 2'!$K68/'Alternative 2'!$L68</f>
        <v>#VALUE!</v>
      </c>
      <c r="AS67" s="78" t="e">
        <f>AQ67/'Alternative 2'!$M68</f>
        <v>#VALUE!</v>
      </c>
      <c r="AT67" s="78" t="e">
        <f t="shared" ref="AT67:AT93" si="24">(AR67+AS67)/1000000</f>
        <v>#VALUE!</v>
      </c>
      <c r="AV67" s="78" t="e">
        <f>'Alternative 2'!$B$39*$B67*$C67*COS($K$53)-($N$52/3)*$E67*SIN($K$53)-($N$52/3)*$F67*SIN($K$53)-($N$52/3)*$G67*SIN($K$53)</f>
        <v>#VALUE!</v>
      </c>
      <c r="AW67" s="79" t="e">
        <f>IF(($A67&lt;'Alternative 2'!$B$27),(($H67*'Alternative 2'!$B$39)+(3*($N$52/3)*COS($K$53))),IF(($A67&lt;'Alternative 2'!$B$28),(($H67*'Alternative 2'!$B$39)+(2*(($N$52/3)*COS($K$53)))),IF(($A67&lt;'Alternative 2'!$B$29),(($H$3*'Alternative 2'!$B$39+(($N$52/3)*COS($K$53)))),($H67*'Alternative 2'!$B$39))))</f>
        <v>#VALUE!</v>
      </c>
      <c r="AX67" s="78" t="e">
        <f>AV67*'Alternative 2'!$K68/'Alternative 2'!$L68</f>
        <v>#VALUE!</v>
      </c>
      <c r="AY67" s="78" t="e">
        <f>AW67/'Alternative 2'!$M68</f>
        <v>#VALUE!</v>
      </c>
      <c r="AZ67" s="78" t="e">
        <f t="shared" ref="AZ67:AZ93" si="25">(AX67+AY67)/1000000</f>
        <v>#VALUE!</v>
      </c>
      <c r="BB67" s="78" t="e">
        <f>'Alternative 2'!$B$39*$B67*$C67*COS($K$63)-($N$62/3)*$E67*SIN($K$63)-($N$62/3)*$F67*SIN($K$63)-($N$62/3)*$G67*SIN($K$63)</f>
        <v>#VALUE!</v>
      </c>
      <c r="BC67" s="79" t="e">
        <f>IF(($A67&lt;'Alternative 2'!$B$27),(($H67*'Alternative 2'!$B$39)+(3*($N$62/3)*COS($K$63))),IF(($A67&lt;'Alternative 2'!$B$28),(($H67*'Alternative 2'!$B$39)+(2*(($N$62/3)*COS($K$63)))),IF(($A67&lt;'Alternative 2'!$B$29),(($H$3*'Alternative 2'!$B$39+(($N$62/3)*COS($K$63)))),($H67*'Alternative 2'!$B$39))))</f>
        <v>#VALUE!</v>
      </c>
      <c r="BD67" s="78" t="e">
        <f>BB67*'Alternative 2'!$K68/'Alternative 2'!$L68</f>
        <v>#VALUE!</v>
      </c>
      <c r="BE67" s="78" t="e">
        <f>BC67/'Alternative 2'!$M68</f>
        <v>#VALUE!</v>
      </c>
      <c r="BF67" s="78" t="e">
        <f t="shared" ref="BF67:BF93" si="26">(BD67+BE67)/1000000</f>
        <v>#VALUE!</v>
      </c>
      <c r="BH67" s="78" t="e">
        <f>'Alternative 2'!$B$39*$B67*$C67*COS($K$73)-($N$72/3)*$E67*SIN($K$73)-($N$72/3)*$F67*SIN($K$73)-($N$72/3)*$G67*SIN($K$73)</f>
        <v>#VALUE!</v>
      </c>
      <c r="BI67" s="79" t="e">
        <f>IF(($A67&lt;'Alternative 2'!$B$27),(($H67*'Alternative 2'!$B$39)+(3*($N$72/3)*COS($K$73))),IF(($A67&lt;'Alternative 2'!$B$28),(($H67*'Alternative 2'!$B$39)+(2*(($N$72/3)*COS($K$73)))),IF(($A67&lt;'Alternative 2'!$B$29),(($H$3*'Alternative 2'!$B$39+(($N$72/3)*COS($K$73)))),($H67*'Alternative 2'!$B$39))))</f>
        <v>#VALUE!</v>
      </c>
      <c r="BJ67" s="78" t="e">
        <f>BH67*'Alternative 2'!$K68/'Alternative 2'!$L68</f>
        <v>#VALUE!</v>
      </c>
      <c r="BK67" s="78" t="e">
        <f>BI67/'Alternative 2'!$M68</f>
        <v>#VALUE!</v>
      </c>
      <c r="BL67" s="78" t="e">
        <f t="shared" ref="BL67:BL93" si="27">(BJ67+BK67)/1000000</f>
        <v>#VALUE!</v>
      </c>
      <c r="BN67" s="78" t="e">
        <f>'Alternative 2'!$B$39*$B67*$C67*COS($K$83)-($N$82/3)*$E67*SIN($K$83)-($N$82/3)*$F67*SIN($K$83)-($N$82/3)*$G67*SIN($K$83)</f>
        <v>#VALUE!</v>
      </c>
      <c r="BO67" s="79" t="e">
        <f>IF(($A67&lt;'Alternative 2'!$B$27),(($H67*'Alternative 2'!$B$39)+(3*($N$82/3)*COS($K$83))),IF(($A67&lt;'Alternative 2'!$B$28),(($H67*'Alternative 2'!$B$39)+(2*(($N$82/3)*COS($K$83)))),IF(($A67&lt;'Alternative 2'!$B$29),(($H$3*'Alternative 2'!$B$39+(($N$82/3)*COS($K$83)))),($H67*'Alternative 2'!$B$39))))</f>
        <v>#VALUE!</v>
      </c>
      <c r="BP67" s="78" t="e">
        <f>BN67*'Alternative 2'!$K68/'Alternative 2'!$L68</f>
        <v>#VALUE!</v>
      </c>
      <c r="BQ67" s="78" t="e">
        <f>BO67/'Alternative 2'!$M68</f>
        <v>#VALUE!</v>
      </c>
      <c r="BR67" s="78" t="e">
        <f t="shared" ref="BR67:BR93" si="28">(BP67+BQ67)/1000000</f>
        <v>#VALUE!</v>
      </c>
      <c r="BT67" s="78" t="e">
        <f>'Alternative 2'!$B$39*$B67*$C67*COS($K$93)-($K$92/3)*$E67*SIN($K$93)-($K$92/3)*$F67*SIN($K$93)-($K$92/3)*$G67*SIN($K$93)</f>
        <v>#VALUE!</v>
      </c>
      <c r="BU67" s="79" t="e">
        <f>IF(($A67&lt;'Alternative 2'!$B$27),(($H67*'Alternative 2'!$B$39)+(3*($N$92/3)*COS($K$93))),IF(($A67&lt;'Alternative 2'!$B$28),(($H67*'Alternative 2'!$B$39)+(2*(($N$92/3)*COS($K$93)))),IF(($A67&lt;'Alternative 2'!$B$29),(($H$3*'Alternative 2'!$B$39+(($N$92/3)*COS($K$93)))),($H67*'Alternative 2'!$B$39))))</f>
        <v>#VALUE!</v>
      </c>
      <c r="BV67" s="78" t="e">
        <f>BT67*'Alternative 2'!$K68/'Alternative 2'!$L68</f>
        <v>#VALUE!</v>
      </c>
      <c r="BW67" s="78" t="e">
        <f>BU67/'Alternative 2'!$M68</f>
        <v>#VALUE!</v>
      </c>
      <c r="BX67" s="78" t="e">
        <f t="shared" ref="BX67:BX93" si="29">(BV67+BW67)/1000000</f>
        <v>#VALUE!</v>
      </c>
      <c r="BZ67" s="77">
        <v>150</v>
      </c>
      <c r="CA67" s="77">
        <v>-150</v>
      </c>
    </row>
    <row r="68" spans="1:79" ht="15" customHeight="1" x14ac:dyDescent="0.25">
      <c r="A68" s="13" t="str">
        <f>IF('Alternative 2'!F69&gt;0,'Alternative 2'!F69,"x")</f>
        <v>x</v>
      </c>
      <c r="B68" s="13" t="e">
        <f t="shared" si="17"/>
        <v>#VALUE!</v>
      </c>
      <c r="C68" s="13">
        <f t="shared" ref="C68:C92" si="30">IF((A68="x"),0,C69+0.5)</f>
        <v>0</v>
      </c>
      <c r="D68" s="13" t="str">
        <f t="shared" ref="D68:D92" si="31">A68</f>
        <v>x</v>
      </c>
      <c r="E68" s="74">
        <f>IF($A68&lt;='Alternative 2'!$B$27, IF($A68='Alternative 2'!$B$27,0,E69+1),0)</f>
        <v>0</v>
      </c>
      <c r="F68" s="74">
        <f>IF($A68&lt;=('Alternative 2'!$B$28), IF($A68=ROUNDDOWN('Alternative 2'!$B$28,0),0,F69+1),0)</f>
        <v>0</v>
      </c>
      <c r="G68" s="74">
        <f>IF($A68&lt;=('Alternative 2'!$B$29), IF($A68=ROUNDDOWN('Alternative 2'!$B$29,0),0,G69+1),0)</f>
        <v>0</v>
      </c>
      <c r="H68" s="13" t="e">
        <f t="shared" ref="H68:H92" si="32">B68</f>
        <v>#VALUE!</v>
      </c>
      <c r="J68" s="77">
        <f t="shared" ref="J68:J93" si="33">J67+1</f>
        <v>65</v>
      </c>
      <c r="K68" s="77">
        <f t="shared" ref="K68:K93" si="34">J68*PI()/180</f>
        <v>1.1344640137963142</v>
      </c>
      <c r="L68" s="78">
        <f>'Alternative 2'!$B$27*SIN(K68)+'Alternative 2'!$B$28*SIN(K68)+'Alternative 2'!$B$29*SIN(K68)</f>
        <v>61.628929518492193</v>
      </c>
      <c r="M68" s="77">
        <f>(('Alternative 2'!$B$27)*(((('Alternative 2'!$B$28-'Alternative 2'!$B$27)/2)+'Alternative 2'!$B$27)*'Alternative 2'!$B$39)*COS('Alternative 2-Tilt Up'!K68))+(('Alternative 2'!$B$28)*((('Alternative 2'!$B$28-'Alternative 2'!$B$27)/2)+(('Alternative 2'!$B$29-'Alternative 2'!$B$28)/2))*('Alternative 2'!$B$39)*COS('Alternative 2-Tilt Up'!K68))+(('Alternative 2'!$B$29)*((('Alternative 2'!$B$12-'Alternative 2'!$B$29+(('Alternative 2'!$B$29-'Alternative 2'!$B$28)/2)*('Alternative 2'!$B$39)*COS('Alternative 2-Tilt Up'!K68)))))</f>
        <v>2005906.7361848082</v>
      </c>
      <c r="N68" s="77">
        <f t="shared" si="18"/>
        <v>97644.405891372255</v>
      </c>
      <c r="O68" s="77">
        <f>(((('Alternative 2'!$B$28-'Alternative 2'!$B$27)/2)+'Alternative 2'!$B$27)*('Alternative 2'!$B$39)*COS('Alternative 2-Tilt Up'!K68))+(((('Alternative 2'!$B$28-'Alternative 2'!$B$27)/2)+(('Alternative 2'!$B$29-'Alternative 2'!$B$28)/2))*('Alternative 2'!$B$39)*COS('Alternative 2-Tilt Up'!K68))+(((('Alternative 2'!$B$12-'Alternative 2'!$B$29)+(('Alternative 2'!$B$29-'Alternative 2'!$B$28)/2))*('Alternative 2'!$B$39)*COS('Alternative 2-Tilt Up'!K68)))</f>
        <v>129371.8628220876</v>
      </c>
      <c r="P68" s="77">
        <f t="shared" si="19"/>
        <v>41266.309086515052</v>
      </c>
      <c r="R68" s="78" t="e">
        <f>'Alternative 2'!$B$39*$B68*$C68*COS($K$5)-($N$5/3)*$E68*SIN($K$5)-($N$5/3)*$F68*SIN($K$5)-($N$5/3)*$G68*SIN($K$5)</f>
        <v>#VALUE!</v>
      </c>
      <c r="S68" s="79" t="e">
        <f>IF(($A68&lt;'Alternative 2'!$B$27),(($H68*'Alternative 2'!$B$39)+(3*($N$5/3)*COS($K$5))),IF(($A68&lt;'Alternative 2'!$B$28),(($H68*'Alternative 2'!$B$39)+(2*(($N$5/3)*COS($K$5)))),IF(($A68&lt;'Alternative 2'!$B$29),(($H$3*'Alternative 2'!$B$39+(($N$5/3)*COS($K$5)))),($H68*'Alternative 2'!$B$39))))</f>
        <v>#VALUE!</v>
      </c>
      <c r="T68" s="78" t="e">
        <f>R68*'Alternative 2'!$K69/'Alternative 2'!$L69</f>
        <v>#VALUE!</v>
      </c>
      <c r="U68" s="78" t="e">
        <f>S68/'Alternative 2'!$M69</f>
        <v>#VALUE!</v>
      </c>
      <c r="V68" s="78" t="e">
        <f t="shared" si="20"/>
        <v>#VALUE!</v>
      </c>
      <c r="X68" s="78" t="e">
        <f>'Alternative 2'!$B$39*$B68*$C68*COS($K$13)-($N$12/3)*$E68*SIN($K$13)-($N$12/3)*$F68*SIN($K$13)-($N$12/3)*$G68*SIN($K$13)</f>
        <v>#VALUE!</v>
      </c>
      <c r="Y68" s="79" t="e">
        <f>IF(($A68&lt;'Alternative 2'!$B$27),(($H68*'Alternative 2'!$B$39)+(3*($N$12/3)*COS($K$13))),IF(($A68&lt;'Alternative 2'!$B$28),(($H68*'Alternative 2'!$B$39)+(2*(($N$12/3)*COS($K$13)))),IF(($A68&lt;'Alternative 2'!$B$29),(($H$3*'Alternative 2'!$B$39+(($N$12/3)*COS($K$13)))),($H68*'Alternative 2'!$B$39))))</f>
        <v>#VALUE!</v>
      </c>
      <c r="Z68" s="78" t="e">
        <f>X68*'Alternative 2'!$K69/'Alternative 2'!$L69</f>
        <v>#VALUE!</v>
      </c>
      <c r="AA68" s="78" t="e">
        <f>Y68/'Alternative 2'!$M69</f>
        <v>#VALUE!</v>
      </c>
      <c r="AB68" s="78" t="e">
        <f t="shared" si="21"/>
        <v>#VALUE!</v>
      </c>
      <c r="AD68" s="78" t="e">
        <f>'Alternative 2'!$B$39*$B68*$C68*COS($K$23)-($N$22/3)*$E68*SIN($K$23)-($N$22/3)*$F68*SIN($K$23)-($N$22/3)*$G68*SIN($K$23)</f>
        <v>#VALUE!</v>
      </c>
      <c r="AE68" s="79" t="e">
        <f>IF(($A68&lt;'Alternative 2'!$B$27),(($H68*'Alternative 2'!$B$39)+(3*($N$22/3)*COS($K$23))),IF(($A68&lt;'Alternative 2'!$B$28),(($H68*'Alternative 2'!$B$39)+(2*(($N$22/3)*COS($K$23)))),IF(($A68&lt;'Alternative 2'!$B$29),(($H$3*'Alternative 2'!$B$39+(($N$22/3)*COS($K$23)))),($H68*'Alternative 2'!$B$39))))</f>
        <v>#VALUE!</v>
      </c>
      <c r="AF68" s="78" t="e">
        <f>AD68*'Alternative 2'!$K69/'Alternative 2'!$L69</f>
        <v>#VALUE!</v>
      </c>
      <c r="AG68" s="78" t="e">
        <f>AE68/'Alternative 2'!$M69</f>
        <v>#VALUE!</v>
      </c>
      <c r="AH68" s="78" t="e">
        <f t="shared" si="22"/>
        <v>#VALUE!</v>
      </c>
      <c r="AJ68" s="78" t="e">
        <f>'Alternative 2'!$B$39*$B68*$C68*COS($K$33)-($N$32/3)*$E68*SIN($K$33)-($N$32/3)*$F68*SIN($K$33)-($N$32/3)*$G68*SIN($K$33)</f>
        <v>#VALUE!</v>
      </c>
      <c r="AK68" s="79" t="e">
        <f>IF(($A68&lt;'Alternative 2'!$B$27),(($H68*'Alternative 2'!$B$39)+(3*($N$32/3)*COS($K$33))),IF(($A68&lt;'Alternative 2'!$B$28),(($H68*'Alternative 2'!$B$39)+(2*(($N$32/3)*COS($K$33)))),IF(($A68&lt;'Alternative 2'!$B$29),(($H$3*'Alternative 2'!$B$39+(($N$32/3)*COS($K$33)))),($H68*'Alternative 2'!$B$39))))</f>
        <v>#VALUE!</v>
      </c>
      <c r="AL68" s="78" t="e">
        <f>AJ68*'Alternative 2'!$K69/'Alternative 2'!$L69</f>
        <v>#VALUE!</v>
      </c>
      <c r="AM68" s="78" t="e">
        <f>AK68/'Alternative 2'!$M69</f>
        <v>#VALUE!</v>
      </c>
      <c r="AN68" s="78" t="e">
        <f t="shared" si="23"/>
        <v>#VALUE!</v>
      </c>
      <c r="AP68" s="78" t="e">
        <f>'Alternative 2'!$B$39*$B68*$C68*COS($K$43)-($N$42/3)*$E68*SIN($K$43)-($N$42/3)*$F68*SIN($K$43)-($N$42/3)*$G68*SIN($K$43)</f>
        <v>#VALUE!</v>
      </c>
      <c r="AQ68" s="79" t="e">
        <f>IF(($A68&lt;'Alternative 2'!$B$27),(($H68*'Alternative 2'!$B$39)+(3*($N$42/3)*COS($K$43))),IF(($A68&lt;'Alternative 2'!$B$28),(($H68*'Alternative 2'!$B$39)+(2*(($N$42/3)*COS($K$43)))),IF(($A68&lt;'Alternative 2'!$B$29),(($H$3*'Alternative 2'!$B$39+(($N$42/3)*COS($K$43)))),($H68*'Alternative 2'!$B$39))))</f>
        <v>#VALUE!</v>
      </c>
      <c r="AR68" s="78" t="e">
        <f>AP68*'Alternative 2'!$K69/'Alternative 2'!$L69</f>
        <v>#VALUE!</v>
      </c>
      <c r="AS68" s="78" t="e">
        <f>AQ68/'Alternative 2'!$M69</f>
        <v>#VALUE!</v>
      </c>
      <c r="AT68" s="78" t="e">
        <f t="shared" si="24"/>
        <v>#VALUE!</v>
      </c>
      <c r="AV68" s="78" t="e">
        <f>'Alternative 2'!$B$39*$B68*$C68*COS($K$53)-($N$52/3)*$E68*SIN($K$53)-($N$52/3)*$F68*SIN($K$53)-($N$52/3)*$G68*SIN($K$53)</f>
        <v>#VALUE!</v>
      </c>
      <c r="AW68" s="79" t="e">
        <f>IF(($A68&lt;'Alternative 2'!$B$27),(($H68*'Alternative 2'!$B$39)+(3*($N$52/3)*COS($K$53))),IF(($A68&lt;'Alternative 2'!$B$28),(($H68*'Alternative 2'!$B$39)+(2*(($N$52/3)*COS($K$53)))),IF(($A68&lt;'Alternative 2'!$B$29),(($H$3*'Alternative 2'!$B$39+(($N$52/3)*COS($K$53)))),($H68*'Alternative 2'!$B$39))))</f>
        <v>#VALUE!</v>
      </c>
      <c r="AX68" s="78" t="e">
        <f>AV68*'Alternative 2'!$K69/'Alternative 2'!$L69</f>
        <v>#VALUE!</v>
      </c>
      <c r="AY68" s="78" t="e">
        <f>AW68/'Alternative 2'!$M69</f>
        <v>#VALUE!</v>
      </c>
      <c r="AZ68" s="78" t="e">
        <f t="shared" si="25"/>
        <v>#VALUE!</v>
      </c>
      <c r="BB68" s="78" t="e">
        <f>'Alternative 2'!$B$39*$B68*$C68*COS($K$63)-($N$62/3)*$E68*SIN($K$63)-($N$62/3)*$F68*SIN($K$63)-($N$62/3)*$G68*SIN($K$63)</f>
        <v>#VALUE!</v>
      </c>
      <c r="BC68" s="79" t="e">
        <f>IF(($A68&lt;'Alternative 2'!$B$27),(($H68*'Alternative 2'!$B$39)+(3*($N$62/3)*COS($K$63))),IF(($A68&lt;'Alternative 2'!$B$28),(($H68*'Alternative 2'!$B$39)+(2*(($N$62/3)*COS($K$63)))),IF(($A68&lt;'Alternative 2'!$B$29),(($H$3*'Alternative 2'!$B$39+(($N$62/3)*COS($K$63)))),($H68*'Alternative 2'!$B$39))))</f>
        <v>#VALUE!</v>
      </c>
      <c r="BD68" s="78" t="e">
        <f>BB68*'Alternative 2'!$K69/'Alternative 2'!$L69</f>
        <v>#VALUE!</v>
      </c>
      <c r="BE68" s="78" t="e">
        <f>BC68/'Alternative 2'!$M69</f>
        <v>#VALUE!</v>
      </c>
      <c r="BF68" s="78" t="e">
        <f t="shared" si="26"/>
        <v>#VALUE!</v>
      </c>
      <c r="BH68" s="78" t="e">
        <f>'Alternative 2'!$B$39*$B68*$C68*COS($K$73)-($N$72/3)*$E68*SIN($K$73)-($N$72/3)*$F68*SIN($K$73)-($N$72/3)*$G68*SIN($K$73)</f>
        <v>#VALUE!</v>
      </c>
      <c r="BI68" s="79" t="e">
        <f>IF(($A68&lt;'Alternative 2'!$B$27),(($H68*'Alternative 2'!$B$39)+(3*($N$72/3)*COS($K$73))),IF(($A68&lt;'Alternative 2'!$B$28),(($H68*'Alternative 2'!$B$39)+(2*(($N$72/3)*COS($K$73)))),IF(($A68&lt;'Alternative 2'!$B$29),(($H$3*'Alternative 2'!$B$39+(($N$72/3)*COS($K$73)))),($H68*'Alternative 2'!$B$39))))</f>
        <v>#VALUE!</v>
      </c>
      <c r="BJ68" s="78" t="e">
        <f>BH68*'Alternative 2'!$K69/'Alternative 2'!$L69</f>
        <v>#VALUE!</v>
      </c>
      <c r="BK68" s="78" t="e">
        <f>BI68/'Alternative 2'!$M69</f>
        <v>#VALUE!</v>
      </c>
      <c r="BL68" s="78" t="e">
        <f t="shared" si="27"/>
        <v>#VALUE!</v>
      </c>
      <c r="BN68" s="78" t="e">
        <f>'Alternative 2'!$B$39*$B68*$C68*COS($K$83)-($N$82/3)*$E68*SIN($K$83)-($N$82/3)*$F68*SIN($K$83)-($N$82/3)*$G68*SIN($K$83)</f>
        <v>#VALUE!</v>
      </c>
      <c r="BO68" s="79" t="e">
        <f>IF(($A68&lt;'Alternative 2'!$B$27),(($H68*'Alternative 2'!$B$39)+(3*($N$82/3)*COS($K$83))),IF(($A68&lt;'Alternative 2'!$B$28),(($H68*'Alternative 2'!$B$39)+(2*(($N$82/3)*COS($K$83)))),IF(($A68&lt;'Alternative 2'!$B$29),(($H$3*'Alternative 2'!$B$39+(($N$82/3)*COS($K$83)))),($H68*'Alternative 2'!$B$39))))</f>
        <v>#VALUE!</v>
      </c>
      <c r="BP68" s="78" t="e">
        <f>BN68*'Alternative 2'!$K69/'Alternative 2'!$L69</f>
        <v>#VALUE!</v>
      </c>
      <c r="BQ68" s="78" t="e">
        <f>BO68/'Alternative 2'!$M69</f>
        <v>#VALUE!</v>
      </c>
      <c r="BR68" s="78" t="e">
        <f t="shared" si="28"/>
        <v>#VALUE!</v>
      </c>
      <c r="BT68" s="78" t="e">
        <f>'Alternative 2'!$B$39*$B68*$C68*COS($K$93)-($K$92/3)*$E68*SIN($K$93)-($K$92/3)*$F68*SIN($K$93)-($K$92/3)*$G68*SIN($K$93)</f>
        <v>#VALUE!</v>
      </c>
      <c r="BU68" s="79" t="e">
        <f>IF(($A68&lt;'Alternative 2'!$B$27),(($H68*'Alternative 2'!$B$39)+(3*($N$92/3)*COS($K$93))),IF(($A68&lt;'Alternative 2'!$B$28),(($H68*'Alternative 2'!$B$39)+(2*(($N$92/3)*COS($K$93)))),IF(($A68&lt;'Alternative 2'!$B$29),(($H$3*'Alternative 2'!$B$39+(($N$92/3)*COS($K$93)))),($H68*'Alternative 2'!$B$39))))</f>
        <v>#VALUE!</v>
      </c>
      <c r="BV68" s="78" t="e">
        <f>BT68*'Alternative 2'!$K69/'Alternative 2'!$L69</f>
        <v>#VALUE!</v>
      </c>
      <c r="BW68" s="78" t="e">
        <f>BU68/'Alternative 2'!$M69</f>
        <v>#VALUE!</v>
      </c>
      <c r="BX68" s="78" t="e">
        <f t="shared" si="29"/>
        <v>#VALUE!</v>
      </c>
      <c r="BZ68" s="77">
        <v>150</v>
      </c>
      <c r="CA68" s="77">
        <v>-150</v>
      </c>
    </row>
    <row r="69" spans="1:79" ht="15" customHeight="1" x14ac:dyDescent="0.25">
      <c r="A69" s="13" t="str">
        <f>IF('Alternative 2'!F70&gt;0,'Alternative 2'!F70,"x")</f>
        <v>x</v>
      </c>
      <c r="B69" s="13" t="e">
        <f t="shared" ref="B69:B92" si="35">IF(B68-1&gt;0,B68-1,"x")</f>
        <v>#VALUE!</v>
      </c>
      <c r="C69" s="13">
        <f t="shared" si="30"/>
        <v>0</v>
      </c>
      <c r="D69" s="13" t="str">
        <f t="shared" si="31"/>
        <v>x</v>
      </c>
      <c r="E69" s="74">
        <f>IF($A69&lt;='Alternative 2'!$B$27, IF($A69='Alternative 2'!$B$27,0,E70+1),0)</f>
        <v>0</v>
      </c>
      <c r="F69" s="74">
        <f>IF($A69&lt;=('Alternative 2'!$B$28), IF($A69=ROUNDDOWN('Alternative 2'!$B$28,0),0,F70+1),0)</f>
        <v>0</v>
      </c>
      <c r="G69" s="74">
        <f>IF($A69&lt;=('Alternative 2'!$B$29), IF($A69=ROUNDDOWN('Alternative 2'!$B$29,0),0,G70+1),0)</f>
        <v>0</v>
      </c>
      <c r="H69" s="13" t="e">
        <f t="shared" si="32"/>
        <v>#VALUE!</v>
      </c>
      <c r="J69" s="77">
        <f t="shared" si="33"/>
        <v>66</v>
      </c>
      <c r="K69" s="77">
        <f t="shared" si="34"/>
        <v>1.1519173063162575</v>
      </c>
      <c r="L69" s="78">
        <f>'Alternative 2'!$B$27*SIN(K69)+'Alternative 2'!$B$28*SIN(K69)+'Alternative 2'!$B$29*SIN(K69)</f>
        <v>62.121091119696857</v>
      </c>
      <c r="M69" s="77">
        <f>(('Alternative 2'!$B$27)*(((('Alternative 2'!$B$28-'Alternative 2'!$B$27)/2)+'Alternative 2'!$B$27)*'Alternative 2'!$B$39)*COS('Alternative 2-Tilt Up'!K69))+(('Alternative 2'!$B$28)*((('Alternative 2'!$B$28-'Alternative 2'!$B$27)/2)+(('Alternative 2'!$B$29-'Alternative 2'!$B$28)/2))*('Alternative 2'!$B$39)*COS('Alternative 2-Tilt Up'!K69))+(('Alternative 2'!$B$29)*((('Alternative 2'!$B$12-'Alternative 2'!$B$29+(('Alternative 2'!$B$29-'Alternative 2'!$B$28)/2)*('Alternative 2'!$B$39)*COS('Alternative 2-Tilt Up'!K69)))))</f>
        <v>1930533.8954757741</v>
      </c>
      <c r="N69" s="77">
        <f t="shared" si="18"/>
        <v>93230.84289147277</v>
      </c>
      <c r="O69" s="77">
        <f>(((('Alternative 2'!$B$28-'Alternative 2'!$B$27)/2)+'Alternative 2'!$B$27)*('Alternative 2'!$B$39)*COS('Alternative 2-Tilt Up'!K69))+(((('Alternative 2'!$B$28-'Alternative 2'!$B$27)/2)+(('Alternative 2'!$B$29-'Alternative 2'!$B$28)/2))*('Alternative 2'!$B$39)*COS('Alternative 2-Tilt Up'!K69))+(((('Alternative 2'!$B$12-'Alternative 2'!$B$29)+(('Alternative 2'!$B$29-'Alternative 2'!$B$28)/2))*('Alternative 2'!$B$39)*COS('Alternative 2-Tilt Up'!K69)))</f>
        <v>124510.18319933461</v>
      </c>
      <c r="P69" s="77">
        <f t="shared" si="19"/>
        <v>37920.400068804964</v>
      </c>
      <c r="R69" s="78" t="e">
        <f>'Alternative 2'!$B$39*$B69*$C69*COS($K$5)-($N$5/3)*$E69*SIN($K$5)-($N$5/3)*$F69*SIN($K$5)-($N$5/3)*$G69*SIN($K$5)</f>
        <v>#VALUE!</v>
      </c>
      <c r="S69" s="79" t="e">
        <f>IF(($A69&lt;'Alternative 2'!$B$27),(($H69*'Alternative 2'!$B$39)+(3*($N$5/3)*COS($K$5))),IF(($A69&lt;'Alternative 2'!$B$28),(($H69*'Alternative 2'!$B$39)+(2*(($N$5/3)*COS($K$5)))),IF(($A69&lt;'Alternative 2'!$B$29),(($H$3*'Alternative 2'!$B$39+(($N$5/3)*COS($K$5)))),($H69*'Alternative 2'!$B$39))))</f>
        <v>#VALUE!</v>
      </c>
      <c r="T69" s="78" t="e">
        <f>R69*'Alternative 2'!$K70/'Alternative 2'!$L70</f>
        <v>#VALUE!</v>
      </c>
      <c r="U69" s="78" t="e">
        <f>S69/'Alternative 2'!$M70</f>
        <v>#VALUE!</v>
      </c>
      <c r="V69" s="78" t="e">
        <f t="shared" si="20"/>
        <v>#VALUE!</v>
      </c>
      <c r="X69" s="78" t="e">
        <f>'Alternative 2'!$B$39*$B69*$C69*COS($K$13)-($N$12/3)*$E69*SIN($K$13)-($N$12/3)*$F69*SIN($K$13)-($N$12/3)*$G69*SIN($K$13)</f>
        <v>#VALUE!</v>
      </c>
      <c r="Y69" s="79" t="e">
        <f>IF(($A69&lt;'Alternative 2'!$B$27),(($H69*'Alternative 2'!$B$39)+(3*($N$12/3)*COS($K$13))),IF(($A69&lt;'Alternative 2'!$B$28),(($H69*'Alternative 2'!$B$39)+(2*(($N$12/3)*COS($K$13)))),IF(($A69&lt;'Alternative 2'!$B$29),(($H$3*'Alternative 2'!$B$39+(($N$12/3)*COS($K$13)))),($H69*'Alternative 2'!$B$39))))</f>
        <v>#VALUE!</v>
      </c>
      <c r="Z69" s="78" t="e">
        <f>X69*'Alternative 2'!$K70/'Alternative 2'!$L70</f>
        <v>#VALUE!</v>
      </c>
      <c r="AA69" s="78" t="e">
        <f>Y69/'Alternative 2'!$M70</f>
        <v>#VALUE!</v>
      </c>
      <c r="AB69" s="78" t="e">
        <f t="shared" si="21"/>
        <v>#VALUE!</v>
      </c>
      <c r="AD69" s="78" t="e">
        <f>'Alternative 2'!$B$39*$B69*$C69*COS($K$23)-($N$22/3)*$E69*SIN($K$23)-($N$22/3)*$F69*SIN($K$23)-($N$22/3)*$G69*SIN($K$23)</f>
        <v>#VALUE!</v>
      </c>
      <c r="AE69" s="79" t="e">
        <f>IF(($A69&lt;'Alternative 2'!$B$27),(($H69*'Alternative 2'!$B$39)+(3*($N$22/3)*COS($K$23))),IF(($A69&lt;'Alternative 2'!$B$28),(($H69*'Alternative 2'!$B$39)+(2*(($N$22/3)*COS($K$23)))),IF(($A69&lt;'Alternative 2'!$B$29),(($H$3*'Alternative 2'!$B$39+(($N$22/3)*COS($K$23)))),($H69*'Alternative 2'!$B$39))))</f>
        <v>#VALUE!</v>
      </c>
      <c r="AF69" s="78" t="e">
        <f>AD69*'Alternative 2'!$K70/'Alternative 2'!$L70</f>
        <v>#VALUE!</v>
      </c>
      <c r="AG69" s="78" t="e">
        <f>AE69/'Alternative 2'!$M70</f>
        <v>#VALUE!</v>
      </c>
      <c r="AH69" s="78" t="e">
        <f t="shared" si="22"/>
        <v>#VALUE!</v>
      </c>
      <c r="AJ69" s="78" t="e">
        <f>'Alternative 2'!$B$39*$B69*$C69*COS($K$33)-($N$32/3)*$E69*SIN($K$33)-($N$32/3)*$F69*SIN($K$33)-($N$32/3)*$G69*SIN($K$33)</f>
        <v>#VALUE!</v>
      </c>
      <c r="AK69" s="79" t="e">
        <f>IF(($A69&lt;'Alternative 2'!$B$27),(($H69*'Alternative 2'!$B$39)+(3*($N$32/3)*COS($K$33))),IF(($A69&lt;'Alternative 2'!$B$28),(($H69*'Alternative 2'!$B$39)+(2*(($N$32/3)*COS($K$33)))),IF(($A69&lt;'Alternative 2'!$B$29),(($H$3*'Alternative 2'!$B$39+(($N$32/3)*COS($K$33)))),($H69*'Alternative 2'!$B$39))))</f>
        <v>#VALUE!</v>
      </c>
      <c r="AL69" s="78" t="e">
        <f>AJ69*'Alternative 2'!$K70/'Alternative 2'!$L70</f>
        <v>#VALUE!</v>
      </c>
      <c r="AM69" s="78" t="e">
        <f>AK69/'Alternative 2'!$M70</f>
        <v>#VALUE!</v>
      </c>
      <c r="AN69" s="78" t="e">
        <f t="shared" si="23"/>
        <v>#VALUE!</v>
      </c>
      <c r="AP69" s="78" t="e">
        <f>'Alternative 2'!$B$39*$B69*$C69*COS($K$43)-($N$42/3)*$E69*SIN($K$43)-($N$42/3)*$F69*SIN($K$43)-($N$42/3)*$G69*SIN($K$43)</f>
        <v>#VALUE!</v>
      </c>
      <c r="AQ69" s="79" t="e">
        <f>IF(($A69&lt;'Alternative 2'!$B$27),(($H69*'Alternative 2'!$B$39)+(3*($N$42/3)*COS($K$43))),IF(($A69&lt;'Alternative 2'!$B$28),(($H69*'Alternative 2'!$B$39)+(2*(($N$42/3)*COS($K$43)))),IF(($A69&lt;'Alternative 2'!$B$29),(($H$3*'Alternative 2'!$B$39+(($N$42/3)*COS($K$43)))),($H69*'Alternative 2'!$B$39))))</f>
        <v>#VALUE!</v>
      </c>
      <c r="AR69" s="78" t="e">
        <f>AP69*'Alternative 2'!$K70/'Alternative 2'!$L70</f>
        <v>#VALUE!</v>
      </c>
      <c r="AS69" s="78" t="e">
        <f>AQ69/'Alternative 2'!$M70</f>
        <v>#VALUE!</v>
      </c>
      <c r="AT69" s="78" t="e">
        <f t="shared" si="24"/>
        <v>#VALUE!</v>
      </c>
      <c r="AV69" s="78" t="e">
        <f>'Alternative 2'!$B$39*$B69*$C69*COS($K$53)-($N$52/3)*$E69*SIN($K$53)-($N$52/3)*$F69*SIN($K$53)-($N$52/3)*$G69*SIN($K$53)</f>
        <v>#VALUE!</v>
      </c>
      <c r="AW69" s="79" t="e">
        <f>IF(($A69&lt;'Alternative 2'!$B$27),(($H69*'Alternative 2'!$B$39)+(3*($N$52/3)*COS($K$53))),IF(($A69&lt;'Alternative 2'!$B$28),(($H69*'Alternative 2'!$B$39)+(2*(($N$52/3)*COS($K$53)))),IF(($A69&lt;'Alternative 2'!$B$29),(($H$3*'Alternative 2'!$B$39+(($N$52/3)*COS($K$53)))),($H69*'Alternative 2'!$B$39))))</f>
        <v>#VALUE!</v>
      </c>
      <c r="AX69" s="78" t="e">
        <f>AV69*'Alternative 2'!$K70/'Alternative 2'!$L70</f>
        <v>#VALUE!</v>
      </c>
      <c r="AY69" s="78" t="e">
        <f>AW69/'Alternative 2'!$M70</f>
        <v>#VALUE!</v>
      </c>
      <c r="AZ69" s="78" t="e">
        <f t="shared" si="25"/>
        <v>#VALUE!</v>
      </c>
      <c r="BB69" s="78" t="e">
        <f>'Alternative 2'!$B$39*$B69*$C69*COS($K$63)-($N$62/3)*$E69*SIN($K$63)-($N$62/3)*$F69*SIN($K$63)-($N$62/3)*$G69*SIN($K$63)</f>
        <v>#VALUE!</v>
      </c>
      <c r="BC69" s="79" t="e">
        <f>IF(($A69&lt;'Alternative 2'!$B$27),(($H69*'Alternative 2'!$B$39)+(3*($N$62/3)*COS($K$63))),IF(($A69&lt;'Alternative 2'!$B$28),(($H69*'Alternative 2'!$B$39)+(2*(($N$62/3)*COS($K$63)))),IF(($A69&lt;'Alternative 2'!$B$29),(($H$3*'Alternative 2'!$B$39+(($N$62/3)*COS($K$63)))),($H69*'Alternative 2'!$B$39))))</f>
        <v>#VALUE!</v>
      </c>
      <c r="BD69" s="78" t="e">
        <f>BB69*'Alternative 2'!$K70/'Alternative 2'!$L70</f>
        <v>#VALUE!</v>
      </c>
      <c r="BE69" s="78" t="e">
        <f>BC69/'Alternative 2'!$M70</f>
        <v>#VALUE!</v>
      </c>
      <c r="BF69" s="78" t="e">
        <f t="shared" si="26"/>
        <v>#VALUE!</v>
      </c>
      <c r="BH69" s="78" t="e">
        <f>'Alternative 2'!$B$39*$B69*$C69*COS($K$73)-($N$72/3)*$E69*SIN($K$73)-($N$72/3)*$F69*SIN($K$73)-($N$72/3)*$G69*SIN($K$73)</f>
        <v>#VALUE!</v>
      </c>
      <c r="BI69" s="79" t="e">
        <f>IF(($A69&lt;'Alternative 2'!$B$27),(($H69*'Alternative 2'!$B$39)+(3*($N$72/3)*COS($K$73))),IF(($A69&lt;'Alternative 2'!$B$28),(($H69*'Alternative 2'!$B$39)+(2*(($N$72/3)*COS($K$73)))),IF(($A69&lt;'Alternative 2'!$B$29),(($H$3*'Alternative 2'!$B$39+(($N$72/3)*COS($K$73)))),($H69*'Alternative 2'!$B$39))))</f>
        <v>#VALUE!</v>
      </c>
      <c r="BJ69" s="78" t="e">
        <f>BH69*'Alternative 2'!$K70/'Alternative 2'!$L70</f>
        <v>#VALUE!</v>
      </c>
      <c r="BK69" s="78" t="e">
        <f>BI69/'Alternative 2'!$M70</f>
        <v>#VALUE!</v>
      </c>
      <c r="BL69" s="78" t="e">
        <f t="shared" si="27"/>
        <v>#VALUE!</v>
      </c>
      <c r="BN69" s="78" t="e">
        <f>'Alternative 2'!$B$39*$B69*$C69*COS($K$83)-($N$82/3)*$E69*SIN($K$83)-($N$82/3)*$F69*SIN($K$83)-($N$82/3)*$G69*SIN($K$83)</f>
        <v>#VALUE!</v>
      </c>
      <c r="BO69" s="79" t="e">
        <f>IF(($A69&lt;'Alternative 2'!$B$27),(($H69*'Alternative 2'!$B$39)+(3*($N$82/3)*COS($K$83))),IF(($A69&lt;'Alternative 2'!$B$28),(($H69*'Alternative 2'!$B$39)+(2*(($N$82/3)*COS($K$83)))),IF(($A69&lt;'Alternative 2'!$B$29),(($H$3*'Alternative 2'!$B$39+(($N$82/3)*COS($K$83)))),($H69*'Alternative 2'!$B$39))))</f>
        <v>#VALUE!</v>
      </c>
      <c r="BP69" s="78" t="e">
        <f>BN69*'Alternative 2'!$K70/'Alternative 2'!$L70</f>
        <v>#VALUE!</v>
      </c>
      <c r="BQ69" s="78" t="e">
        <f>BO69/'Alternative 2'!$M70</f>
        <v>#VALUE!</v>
      </c>
      <c r="BR69" s="78" t="e">
        <f t="shared" si="28"/>
        <v>#VALUE!</v>
      </c>
      <c r="BT69" s="78" t="e">
        <f>'Alternative 2'!$B$39*$B69*$C69*COS($K$93)-($K$92/3)*$E69*SIN($K$93)-($K$92/3)*$F69*SIN($K$93)-($K$92/3)*$G69*SIN($K$93)</f>
        <v>#VALUE!</v>
      </c>
      <c r="BU69" s="79" t="e">
        <f>IF(($A69&lt;'Alternative 2'!$B$27),(($H69*'Alternative 2'!$B$39)+(3*($N$92/3)*COS($K$93))),IF(($A69&lt;'Alternative 2'!$B$28),(($H69*'Alternative 2'!$B$39)+(2*(($N$92/3)*COS($K$93)))),IF(($A69&lt;'Alternative 2'!$B$29),(($H$3*'Alternative 2'!$B$39+(($N$92/3)*COS($K$93)))),($H69*'Alternative 2'!$B$39))))</f>
        <v>#VALUE!</v>
      </c>
      <c r="BV69" s="78" t="e">
        <f>BT69*'Alternative 2'!$K70/'Alternative 2'!$L70</f>
        <v>#VALUE!</v>
      </c>
      <c r="BW69" s="78" t="e">
        <f>BU69/'Alternative 2'!$M70</f>
        <v>#VALUE!</v>
      </c>
      <c r="BX69" s="78" t="e">
        <f t="shared" si="29"/>
        <v>#VALUE!</v>
      </c>
      <c r="BZ69" s="77">
        <v>150</v>
      </c>
      <c r="CA69" s="77">
        <v>-150</v>
      </c>
    </row>
    <row r="70" spans="1:79" ht="15" customHeight="1" x14ac:dyDescent="0.25">
      <c r="A70" s="13" t="str">
        <f>IF('Alternative 2'!F71&gt;0,'Alternative 2'!F71,"x")</f>
        <v>x</v>
      </c>
      <c r="B70" s="13" t="e">
        <f t="shared" si="35"/>
        <v>#VALUE!</v>
      </c>
      <c r="C70" s="13">
        <f t="shared" si="30"/>
        <v>0</v>
      </c>
      <c r="D70" s="13" t="str">
        <f t="shared" si="31"/>
        <v>x</v>
      </c>
      <c r="E70" s="74">
        <f>IF($A70&lt;='Alternative 2'!$B$27, IF($A70='Alternative 2'!$B$27,0,E71+1),0)</f>
        <v>0</v>
      </c>
      <c r="F70" s="74">
        <f>IF($A70&lt;=('Alternative 2'!$B$28), IF($A70=ROUNDDOWN('Alternative 2'!$B$28,0),0,F71+1),0)</f>
        <v>0</v>
      </c>
      <c r="G70" s="74">
        <f>IF($A70&lt;=('Alternative 2'!$B$29), IF($A70=ROUNDDOWN('Alternative 2'!$B$29,0),0,G71+1),0)</f>
        <v>0</v>
      </c>
      <c r="H70" s="13" t="e">
        <f t="shared" si="32"/>
        <v>#VALUE!</v>
      </c>
      <c r="J70" s="77">
        <f t="shared" si="33"/>
        <v>67</v>
      </c>
      <c r="K70" s="77">
        <f t="shared" si="34"/>
        <v>1.1693705988362006</v>
      </c>
      <c r="L70" s="78">
        <f>'Alternative 2'!$B$27*SIN(K70)+'Alternative 2'!$B$28*SIN(K70)+'Alternative 2'!$B$29*SIN(K70)</f>
        <v>62.594330034765939</v>
      </c>
      <c r="M70" s="77">
        <f>(('Alternative 2'!$B$27)*(((('Alternative 2'!$B$28-'Alternative 2'!$B$27)/2)+'Alternative 2'!$B$27)*'Alternative 2'!$B$39)*COS('Alternative 2-Tilt Up'!K70))+(('Alternative 2'!$B$28)*((('Alternative 2'!$B$28-'Alternative 2'!$B$27)/2)+(('Alternative 2'!$B$29-'Alternative 2'!$B$28)/2))*('Alternative 2'!$B$39)*COS('Alternative 2-Tilt Up'!K70))+(('Alternative 2'!$B$29)*((('Alternative 2'!$B$12-'Alternative 2'!$B$29+(('Alternative 2'!$B$29-'Alternative 2'!$B$28)/2)*('Alternative 2'!$B$39)*COS('Alternative 2-Tilt Up'!K70)))))</f>
        <v>1854573.0550318055</v>
      </c>
      <c r="N70" s="77">
        <f t="shared" si="18"/>
        <v>88885.353705443194</v>
      </c>
      <c r="O70" s="77">
        <f>(((('Alternative 2'!$B$28-'Alternative 2'!$B$27)/2)+'Alternative 2'!$B$27)*('Alternative 2'!$B$39)*COS('Alternative 2-Tilt Up'!K70))+(((('Alternative 2'!$B$28-'Alternative 2'!$B$27)/2)+(('Alternative 2'!$B$29-'Alternative 2'!$B$28)/2))*('Alternative 2'!$B$39)*COS('Alternative 2-Tilt Up'!K70))+(((('Alternative 2'!$B$12-'Alternative 2'!$B$29)+(('Alternative 2'!$B$29-'Alternative 2'!$B$28)/2))*('Alternative 2'!$B$39)*COS('Alternative 2-Tilt Up'!K70)))</f>
        <v>119610.57656862192</v>
      </c>
      <c r="P70" s="77">
        <f t="shared" si="19"/>
        <v>34730.274559496087</v>
      </c>
      <c r="R70" s="78" t="e">
        <f>'Alternative 2'!$B$39*$B70*$C70*COS($K$5)-($N$5/3)*$E70*SIN($K$5)-($N$5/3)*$F70*SIN($K$5)-($N$5/3)*$G70*SIN($K$5)</f>
        <v>#VALUE!</v>
      </c>
      <c r="S70" s="79" t="e">
        <f>IF(($A70&lt;'Alternative 2'!$B$27),(($H70*'Alternative 2'!$B$39)+(3*($N$5/3)*COS($K$5))),IF(($A70&lt;'Alternative 2'!$B$28),(($H70*'Alternative 2'!$B$39)+(2*(($N$5/3)*COS($K$5)))),IF(($A70&lt;'Alternative 2'!$B$29),(($H$3*'Alternative 2'!$B$39+(($N$5/3)*COS($K$5)))),($H70*'Alternative 2'!$B$39))))</f>
        <v>#VALUE!</v>
      </c>
      <c r="T70" s="78" t="e">
        <f>R70*'Alternative 2'!$K71/'Alternative 2'!$L71</f>
        <v>#VALUE!</v>
      </c>
      <c r="U70" s="78" t="e">
        <f>S70/'Alternative 2'!$M71</f>
        <v>#VALUE!</v>
      </c>
      <c r="V70" s="78" t="e">
        <f t="shared" si="20"/>
        <v>#VALUE!</v>
      </c>
      <c r="X70" s="78" t="e">
        <f>'Alternative 2'!$B$39*$B70*$C70*COS($K$13)-($N$12/3)*$E70*SIN($K$13)-($N$12/3)*$F70*SIN($K$13)-($N$12/3)*$G70*SIN($K$13)</f>
        <v>#VALUE!</v>
      </c>
      <c r="Y70" s="79" t="e">
        <f>IF(($A70&lt;'Alternative 2'!$B$27),(($H70*'Alternative 2'!$B$39)+(3*($N$12/3)*COS($K$13))),IF(($A70&lt;'Alternative 2'!$B$28),(($H70*'Alternative 2'!$B$39)+(2*(($N$12/3)*COS($K$13)))),IF(($A70&lt;'Alternative 2'!$B$29),(($H$3*'Alternative 2'!$B$39+(($N$12/3)*COS($K$13)))),($H70*'Alternative 2'!$B$39))))</f>
        <v>#VALUE!</v>
      </c>
      <c r="Z70" s="78" t="e">
        <f>X70*'Alternative 2'!$K71/'Alternative 2'!$L71</f>
        <v>#VALUE!</v>
      </c>
      <c r="AA70" s="78" t="e">
        <f>Y70/'Alternative 2'!$M71</f>
        <v>#VALUE!</v>
      </c>
      <c r="AB70" s="78" t="e">
        <f t="shared" si="21"/>
        <v>#VALUE!</v>
      </c>
      <c r="AD70" s="78" t="e">
        <f>'Alternative 2'!$B$39*$B70*$C70*COS($K$23)-($N$22/3)*$E70*SIN($K$23)-($N$22/3)*$F70*SIN($K$23)-($N$22/3)*$G70*SIN($K$23)</f>
        <v>#VALUE!</v>
      </c>
      <c r="AE70" s="79" t="e">
        <f>IF(($A70&lt;'Alternative 2'!$B$27),(($H70*'Alternative 2'!$B$39)+(3*($N$22/3)*COS($K$23))),IF(($A70&lt;'Alternative 2'!$B$28),(($H70*'Alternative 2'!$B$39)+(2*(($N$22/3)*COS($K$23)))),IF(($A70&lt;'Alternative 2'!$B$29),(($H$3*'Alternative 2'!$B$39+(($N$22/3)*COS($K$23)))),($H70*'Alternative 2'!$B$39))))</f>
        <v>#VALUE!</v>
      </c>
      <c r="AF70" s="78" t="e">
        <f>AD70*'Alternative 2'!$K71/'Alternative 2'!$L71</f>
        <v>#VALUE!</v>
      </c>
      <c r="AG70" s="78" t="e">
        <f>AE70/'Alternative 2'!$M71</f>
        <v>#VALUE!</v>
      </c>
      <c r="AH70" s="78" t="e">
        <f t="shared" si="22"/>
        <v>#VALUE!</v>
      </c>
      <c r="AJ70" s="78" t="e">
        <f>'Alternative 2'!$B$39*$B70*$C70*COS($K$33)-($N$32/3)*$E70*SIN($K$33)-($N$32/3)*$F70*SIN($K$33)-($N$32/3)*$G70*SIN($K$33)</f>
        <v>#VALUE!</v>
      </c>
      <c r="AK70" s="79" t="e">
        <f>IF(($A70&lt;'Alternative 2'!$B$27),(($H70*'Alternative 2'!$B$39)+(3*($N$32/3)*COS($K$33))),IF(($A70&lt;'Alternative 2'!$B$28),(($H70*'Alternative 2'!$B$39)+(2*(($N$32/3)*COS($K$33)))),IF(($A70&lt;'Alternative 2'!$B$29),(($H$3*'Alternative 2'!$B$39+(($N$32/3)*COS($K$33)))),($H70*'Alternative 2'!$B$39))))</f>
        <v>#VALUE!</v>
      </c>
      <c r="AL70" s="78" t="e">
        <f>AJ70*'Alternative 2'!$K71/'Alternative 2'!$L71</f>
        <v>#VALUE!</v>
      </c>
      <c r="AM70" s="78" t="e">
        <f>AK70/'Alternative 2'!$M71</f>
        <v>#VALUE!</v>
      </c>
      <c r="AN70" s="78" t="e">
        <f t="shared" si="23"/>
        <v>#VALUE!</v>
      </c>
      <c r="AP70" s="78" t="e">
        <f>'Alternative 2'!$B$39*$B70*$C70*COS($K$43)-($N$42/3)*$E70*SIN($K$43)-($N$42/3)*$F70*SIN($K$43)-($N$42/3)*$G70*SIN($K$43)</f>
        <v>#VALUE!</v>
      </c>
      <c r="AQ70" s="79" t="e">
        <f>IF(($A70&lt;'Alternative 2'!$B$27),(($H70*'Alternative 2'!$B$39)+(3*($N$42/3)*COS($K$43))),IF(($A70&lt;'Alternative 2'!$B$28),(($H70*'Alternative 2'!$B$39)+(2*(($N$42/3)*COS($K$43)))),IF(($A70&lt;'Alternative 2'!$B$29),(($H$3*'Alternative 2'!$B$39+(($N$42/3)*COS($K$43)))),($H70*'Alternative 2'!$B$39))))</f>
        <v>#VALUE!</v>
      </c>
      <c r="AR70" s="78" t="e">
        <f>AP70*'Alternative 2'!$K71/'Alternative 2'!$L71</f>
        <v>#VALUE!</v>
      </c>
      <c r="AS70" s="78" t="e">
        <f>AQ70/'Alternative 2'!$M71</f>
        <v>#VALUE!</v>
      </c>
      <c r="AT70" s="78" t="e">
        <f t="shared" si="24"/>
        <v>#VALUE!</v>
      </c>
      <c r="AV70" s="78" t="e">
        <f>'Alternative 2'!$B$39*$B70*$C70*COS($K$53)-($N$52/3)*$E70*SIN($K$53)-($N$52/3)*$F70*SIN($K$53)-($N$52/3)*$G70*SIN($K$53)</f>
        <v>#VALUE!</v>
      </c>
      <c r="AW70" s="79" t="e">
        <f>IF(($A70&lt;'Alternative 2'!$B$27),(($H70*'Alternative 2'!$B$39)+(3*($N$52/3)*COS($K$53))),IF(($A70&lt;'Alternative 2'!$B$28),(($H70*'Alternative 2'!$B$39)+(2*(($N$52/3)*COS($K$53)))),IF(($A70&lt;'Alternative 2'!$B$29),(($H$3*'Alternative 2'!$B$39+(($N$52/3)*COS($K$53)))),($H70*'Alternative 2'!$B$39))))</f>
        <v>#VALUE!</v>
      </c>
      <c r="AX70" s="78" t="e">
        <f>AV70*'Alternative 2'!$K71/'Alternative 2'!$L71</f>
        <v>#VALUE!</v>
      </c>
      <c r="AY70" s="78" t="e">
        <f>AW70/'Alternative 2'!$M71</f>
        <v>#VALUE!</v>
      </c>
      <c r="AZ70" s="78" t="e">
        <f t="shared" si="25"/>
        <v>#VALUE!</v>
      </c>
      <c r="BB70" s="78" t="e">
        <f>'Alternative 2'!$B$39*$B70*$C70*COS($K$63)-($N$62/3)*$E70*SIN($K$63)-($N$62/3)*$F70*SIN($K$63)-($N$62/3)*$G70*SIN($K$63)</f>
        <v>#VALUE!</v>
      </c>
      <c r="BC70" s="79" t="e">
        <f>IF(($A70&lt;'Alternative 2'!$B$27),(($H70*'Alternative 2'!$B$39)+(3*($N$62/3)*COS($K$63))),IF(($A70&lt;'Alternative 2'!$B$28),(($H70*'Alternative 2'!$B$39)+(2*(($N$62/3)*COS($K$63)))),IF(($A70&lt;'Alternative 2'!$B$29),(($H$3*'Alternative 2'!$B$39+(($N$62/3)*COS($K$63)))),($H70*'Alternative 2'!$B$39))))</f>
        <v>#VALUE!</v>
      </c>
      <c r="BD70" s="78" t="e">
        <f>BB70*'Alternative 2'!$K71/'Alternative 2'!$L71</f>
        <v>#VALUE!</v>
      </c>
      <c r="BE70" s="78" t="e">
        <f>BC70/'Alternative 2'!$M71</f>
        <v>#VALUE!</v>
      </c>
      <c r="BF70" s="78" t="e">
        <f t="shared" si="26"/>
        <v>#VALUE!</v>
      </c>
      <c r="BH70" s="78" t="e">
        <f>'Alternative 2'!$B$39*$B70*$C70*COS($K$73)-($N$72/3)*$E70*SIN($K$73)-($N$72/3)*$F70*SIN($K$73)-($N$72/3)*$G70*SIN($K$73)</f>
        <v>#VALUE!</v>
      </c>
      <c r="BI70" s="79" t="e">
        <f>IF(($A70&lt;'Alternative 2'!$B$27),(($H70*'Alternative 2'!$B$39)+(3*($N$72/3)*COS($K$73))),IF(($A70&lt;'Alternative 2'!$B$28),(($H70*'Alternative 2'!$B$39)+(2*(($N$72/3)*COS($K$73)))),IF(($A70&lt;'Alternative 2'!$B$29),(($H$3*'Alternative 2'!$B$39+(($N$72/3)*COS($K$73)))),($H70*'Alternative 2'!$B$39))))</f>
        <v>#VALUE!</v>
      </c>
      <c r="BJ70" s="78" t="e">
        <f>BH70*'Alternative 2'!$K71/'Alternative 2'!$L71</f>
        <v>#VALUE!</v>
      </c>
      <c r="BK70" s="78" t="e">
        <f>BI70/'Alternative 2'!$M71</f>
        <v>#VALUE!</v>
      </c>
      <c r="BL70" s="78" t="e">
        <f t="shared" si="27"/>
        <v>#VALUE!</v>
      </c>
      <c r="BN70" s="78" t="e">
        <f>'Alternative 2'!$B$39*$B70*$C70*COS($K$83)-($N$82/3)*$E70*SIN($K$83)-($N$82/3)*$F70*SIN($K$83)-($N$82/3)*$G70*SIN($K$83)</f>
        <v>#VALUE!</v>
      </c>
      <c r="BO70" s="79" t="e">
        <f>IF(($A70&lt;'Alternative 2'!$B$27),(($H70*'Alternative 2'!$B$39)+(3*($N$82/3)*COS($K$83))),IF(($A70&lt;'Alternative 2'!$B$28),(($H70*'Alternative 2'!$B$39)+(2*(($N$82/3)*COS($K$83)))),IF(($A70&lt;'Alternative 2'!$B$29),(($H$3*'Alternative 2'!$B$39+(($N$82/3)*COS($K$83)))),($H70*'Alternative 2'!$B$39))))</f>
        <v>#VALUE!</v>
      </c>
      <c r="BP70" s="78" t="e">
        <f>BN70*'Alternative 2'!$K71/'Alternative 2'!$L71</f>
        <v>#VALUE!</v>
      </c>
      <c r="BQ70" s="78" t="e">
        <f>BO70/'Alternative 2'!$M71</f>
        <v>#VALUE!</v>
      </c>
      <c r="BR70" s="78" t="e">
        <f t="shared" si="28"/>
        <v>#VALUE!</v>
      </c>
      <c r="BT70" s="78" t="e">
        <f>'Alternative 2'!$B$39*$B70*$C70*COS($K$93)-($K$92/3)*$E70*SIN($K$93)-($K$92/3)*$F70*SIN($K$93)-($K$92/3)*$G70*SIN($K$93)</f>
        <v>#VALUE!</v>
      </c>
      <c r="BU70" s="79" t="e">
        <f>IF(($A70&lt;'Alternative 2'!$B$27),(($H70*'Alternative 2'!$B$39)+(3*($N$92/3)*COS($K$93))),IF(($A70&lt;'Alternative 2'!$B$28),(($H70*'Alternative 2'!$B$39)+(2*(($N$92/3)*COS($K$93)))),IF(($A70&lt;'Alternative 2'!$B$29),(($H$3*'Alternative 2'!$B$39+(($N$92/3)*COS($K$93)))),($H70*'Alternative 2'!$B$39))))</f>
        <v>#VALUE!</v>
      </c>
      <c r="BV70" s="78" t="e">
        <f>BT70*'Alternative 2'!$K71/'Alternative 2'!$L71</f>
        <v>#VALUE!</v>
      </c>
      <c r="BW70" s="78" t="e">
        <f>BU70/'Alternative 2'!$M71</f>
        <v>#VALUE!</v>
      </c>
      <c r="BX70" s="78" t="e">
        <f t="shared" si="29"/>
        <v>#VALUE!</v>
      </c>
    </row>
    <row r="71" spans="1:79" ht="15" customHeight="1" x14ac:dyDescent="0.25">
      <c r="A71" s="13" t="str">
        <f>IF('Alternative 2'!F72&gt;0,'Alternative 2'!F72,"x")</f>
        <v>x</v>
      </c>
      <c r="B71" s="13" t="e">
        <f t="shared" si="35"/>
        <v>#VALUE!</v>
      </c>
      <c r="C71" s="13">
        <f t="shared" si="30"/>
        <v>0</v>
      </c>
      <c r="D71" s="13" t="str">
        <f t="shared" si="31"/>
        <v>x</v>
      </c>
      <c r="E71" s="74">
        <f>IF($A71&lt;='Alternative 2'!$B$27, IF($A71='Alternative 2'!$B$27,0,E72+1),0)</f>
        <v>0</v>
      </c>
      <c r="F71" s="74">
        <f>IF($A71&lt;=('Alternative 2'!$B$28), IF($A71=ROUNDDOWN('Alternative 2'!$B$28,0),0,F72+1),0)</f>
        <v>0</v>
      </c>
      <c r="G71" s="74">
        <f>IF($A71&lt;=('Alternative 2'!$B$29), IF($A71=ROUNDDOWN('Alternative 2'!$B$29,0),0,G72+1),0)</f>
        <v>0</v>
      </c>
      <c r="H71" s="13" t="e">
        <f t="shared" si="32"/>
        <v>#VALUE!</v>
      </c>
      <c r="J71" s="77">
        <f t="shared" si="33"/>
        <v>68</v>
      </c>
      <c r="K71" s="77">
        <f t="shared" si="34"/>
        <v>1.1868238913561442</v>
      </c>
      <c r="L71" s="78">
        <f>'Alternative 2'!$B$27*SIN(K71)+'Alternative 2'!$B$28*SIN(K71)+'Alternative 2'!$B$29*SIN(K71)</f>
        <v>63.048502110541548</v>
      </c>
      <c r="M71" s="77">
        <f>(('Alternative 2'!$B$27)*(((('Alternative 2'!$B$28-'Alternative 2'!$B$27)/2)+'Alternative 2'!$B$27)*'Alternative 2'!$B$39)*COS('Alternative 2-Tilt Up'!K71))+(('Alternative 2'!$B$28)*((('Alternative 2'!$B$28-'Alternative 2'!$B$27)/2)+(('Alternative 2'!$B$29-'Alternative 2'!$B$28)/2))*('Alternative 2'!$B$39)*COS('Alternative 2-Tilt Up'!K71))+(('Alternative 2'!$B$29)*((('Alternative 2'!$B$12-'Alternative 2'!$B$29+(('Alternative 2'!$B$29-'Alternative 2'!$B$28)/2)*('Alternative 2'!$B$39)*COS('Alternative 2-Tilt Up'!K71)))))</f>
        <v>1778047.3532607479</v>
      </c>
      <c r="N71" s="77">
        <f t="shared" si="18"/>
        <v>84603.787262542886</v>
      </c>
      <c r="O71" s="77">
        <f>(((('Alternative 2'!$B$28-'Alternative 2'!$B$27)/2)+'Alternative 2'!$B$27)*('Alternative 2'!$B$39)*COS('Alternative 2-Tilt Up'!K71))+(((('Alternative 2'!$B$28-'Alternative 2'!$B$27)/2)+(('Alternative 2'!$B$29-'Alternative 2'!$B$28)/2))*('Alternative 2'!$B$39)*COS('Alternative 2-Tilt Up'!K71))+(((('Alternative 2'!$B$12-'Alternative 2'!$B$29)+(('Alternative 2'!$B$29-'Alternative 2'!$B$28)/2))*('Alternative 2'!$B$39)*COS('Alternative 2-Tilt Up'!K71)))</f>
        <v>114674.53539759264</v>
      </c>
      <c r="P71" s="77">
        <f t="shared" si="19"/>
        <v>31693.136536505714</v>
      </c>
      <c r="R71" s="78" t="e">
        <f>'Alternative 2'!$B$39*$B71*$C71*COS($K$5)-($N$5/3)*$E71*SIN($K$5)-($N$5/3)*$F71*SIN($K$5)-($N$5/3)*$G71*SIN($K$5)</f>
        <v>#VALUE!</v>
      </c>
      <c r="S71" s="79" t="e">
        <f>IF(($A71&lt;'Alternative 2'!$B$27),(($H71*'Alternative 2'!$B$39)+(3*($N$5/3)*COS($K$5))),IF(($A71&lt;'Alternative 2'!$B$28),(($H71*'Alternative 2'!$B$39)+(2*(($N$5/3)*COS($K$5)))),IF(($A71&lt;'Alternative 2'!$B$29),(($H$3*'Alternative 2'!$B$39+(($N$5/3)*COS($K$5)))),($H71*'Alternative 2'!$B$39))))</f>
        <v>#VALUE!</v>
      </c>
      <c r="T71" s="78" t="e">
        <f>R71*'Alternative 2'!$K72/'Alternative 2'!$L72</f>
        <v>#VALUE!</v>
      </c>
      <c r="U71" s="78" t="e">
        <f>S71/'Alternative 2'!$M72</f>
        <v>#VALUE!</v>
      </c>
      <c r="V71" s="78" t="e">
        <f t="shared" si="20"/>
        <v>#VALUE!</v>
      </c>
      <c r="X71" s="78" t="e">
        <f>'Alternative 2'!$B$39*$B71*$C71*COS($K$13)-($N$12/3)*$E71*SIN($K$13)-($N$12/3)*$F71*SIN($K$13)-($N$12/3)*$G71*SIN($K$13)</f>
        <v>#VALUE!</v>
      </c>
      <c r="Y71" s="79" t="e">
        <f>IF(($A71&lt;'Alternative 2'!$B$27),(($H71*'Alternative 2'!$B$39)+(3*($N$12/3)*COS($K$13))),IF(($A71&lt;'Alternative 2'!$B$28),(($H71*'Alternative 2'!$B$39)+(2*(($N$12/3)*COS($K$13)))),IF(($A71&lt;'Alternative 2'!$B$29),(($H$3*'Alternative 2'!$B$39+(($N$12/3)*COS($K$13)))),($H71*'Alternative 2'!$B$39))))</f>
        <v>#VALUE!</v>
      </c>
      <c r="Z71" s="78" t="e">
        <f>X71*'Alternative 2'!$K72/'Alternative 2'!$L72</f>
        <v>#VALUE!</v>
      </c>
      <c r="AA71" s="78" t="e">
        <f>Y71/'Alternative 2'!$M72</f>
        <v>#VALUE!</v>
      </c>
      <c r="AB71" s="78" t="e">
        <f t="shared" si="21"/>
        <v>#VALUE!</v>
      </c>
      <c r="AD71" s="78" t="e">
        <f>'Alternative 2'!$B$39*$B71*$C71*COS($K$23)-($N$22/3)*$E71*SIN($K$23)-($N$22/3)*$F71*SIN($K$23)-($N$22/3)*$G71*SIN($K$23)</f>
        <v>#VALUE!</v>
      </c>
      <c r="AE71" s="79" t="e">
        <f>IF(($A71&lt;'Alternative 2'!$B$27),(($H71*'Alternative 2'!$B$39)+(3*($N$22/3)*COS($K$23))),IF(($A71&lt;'Alternative 2'!$B$28),(($H71*'Alternative 2'!$B$39)+(2*(($N$22/3)*COS($K$23)))),IF(($A71&lt;'Alternative 2'!$B$29),(($H$3*'Alternative 2'!$B$39+(($N$22/3)*COS($K$23)))),($H71*'Alternative 2'!$B$39))))</f>
        <v>#VALUE!</v>
      </c>
      <c r="AF71" s="78" t="e">
        <f>AD71*'Alternative 2'!$K72/'Alternative 2'!$L72</f>
        <v>#VALUE!</v>
      </c>
      <c r="AG71" s="78" t="e">
        <f>AE71/'Alternative 2'!$M72</f>
        <v>#VALUE!</v>
      </c>
      <c r="AH71" s="78" t="e">
        <f t="shared" si="22"/>
        <v>#VALUE!</v>
      </c>
      <c r="AJ71" s="78" t="e">
        <f>'Alternative 2'!$B$39*$B71*$C71*COS($K$33)-($N$32/3)*$E71*SIN($K$33)-($N$32/3)*$F71*SIN($K$33)-($N$32/3)*$G71*SIN($K$33)</f>
        <v>#VALUE!</v>
      </c>
      <c r="AK71" s="79" t="e">
        <f>IF(($A71&lt;'Alternative 2'!$B$27),(($H71*'Alternative 2'!$B$39)+(3*($N$32/3)*COS($K$33))),IF(($A71&lt;'Alternative 2'!$B$28),(($H71*'Alternative 2'!$B$39)+(2*(($N$32/3)*COS($K$33)))),IF(($A71&lt;'Alternative 2'!$B$29),(($H$3*'Alternative 2'!$B$39+(($N$32/3)*COS($K$33)))),($H71*'Alternative 2'!$B$39))))</f>
        <v>#VALUE!</v>
      </c>
      <c r="AL71" s="78" t="e">
        <f>AJ71*'Alternative 2'!$K72/'Alternative 2'!$L72</f>
        <v>#VALUE!</v>
      </c>
      <c r="AM71" s="78" t="e">
        <f>AK71/'Alternative 2'!$M72</f>
        <v>#VALUE!</v>
      </c>
      <c r="AN71" s="78" t="e">
        <f t="shared" si="23"/>
        <v>#VALUE!</v>
      </c>
      <c r="AP71" s="78" t="e">
        <f>'Alternative 2'!$B$39*$B71*$C71*COS($K$43)-($N$42/3)*$E71*SIN($K$43)-($N$42/3)*$F71*SIN($K$43)-($N$42/3)*$G71*SIN($K$43)</f>
        <v>#VALUE!</v>
      </c>
      <c r="AQ71" s="79" t="e">
        <f>IF(($A71&lt;'Alternative 2'!$B$27),(($H71*'Alternative 2'!$B$39)+(3*($N$42/3)*COS($K$43))),IF(($A71&lt;'Alternative 2'!$B$28),(($H71*'Alternative 2'!$B$39)+(2*(($N$42/3)*COS($K$43)))),IF(($A71&lt;'Alternative 2'!$B$29),(($H$3*'Alternative 2'!$B$39+(($N$42/3)*COS($K$43)))),($H71*'Alternative 2'!$B$39))))</f>
        <v>#VALUE!</v>
      </c>
      <c r="AR71" s="78" t="e">
        <f>AP71*'Alternative 2'!$K72/'Alternative 2'!$L72</f>
        <v>#VALUE!</v>
      </c>
      <c r="AS71" s="78" t="e">
        <f>AQ71/'Alternative 2'!$M72</f>
        <v>#VALUE!</v>
      </c>
      <c r="AT71" s="78" t="e">
        <f t="shared" si="24"/>
        <v>#VALUE!</v>
      </c>
      <c r="AV71" s="78" t="e">
        <f>'Alternative 2'!$B$39*$B71*$C71*COS($K$53)-($N$52/3)*$E71*SIN($K$53)-($N$52/3)*$F71*SIN($K$53)-($N$52/3)*$G71*SIN($K$53)</f>
        <v>#VALUE!</v>
      </c>
      <c r="AW71" s="79" t="e">
        <f>IF(($A71&lt;'Alternative 2'!$B$27),(($H71*'Alternative 2'!$B$39)+(3*($N$52/3)*COS($K$53))),IF(($A71&lt;'Alternative 2'!$B$28),(($H71*'Alternative 2'!$B$39)+(2*(($N$52/3)*COS($K$53)))),IF(($A71&lt;'Alternative 2'!$B$29),(($H$3*'Alternative 2'!$B$39+(($N$52/3)*COS($K$53)))),($H71*'Alternative 2'!$B$39))))</f>
        <v>#VALUE!</v>
      </c>
      <c r="AX71" s="78" t="e">
        <f>AV71*'Alternative 2'!$K72/'Alternative 2'!$L72</f>
        <v>#VALUE!</v>
      </c>
      <c r="AY71" s="78" t="e">
        <f>AW71/'Alternative 2'!$M72</f>
        <v>#VALUE!</v>
      </c>
      <c r="AZ71" s="78" t="e">
        <f t="shared" si="25"/>
        <v>#VALUE!</v>
      </c>
      <c r="BB71" s="78" t="e">
        <f>'Alternative 2'!$B$39*$B71*$C71*COS($K$63)-($N$62/3)*$E71*SIN($K$63)-($N$62/3)*$F71*SIN($K$63)-($N$62/3)*$G71*SIN($K$63)</f>
        <v>#VALUE!</v>
      </c>
      <c r="BC71" s="79" t="e">
        <f>IF(($A71&lt;'Alternative 2'!$B$27),(($H71*'Alternative 2'!$B$39)+(3*($N$62/3)*COS($K$63))),IF(($A71&lt;'Alternative 2'!$B$28),(($H71*'Alternative 2'!$B$39)+(2*(($N$62/3)*COS($K$63)))),IF(($A71&lt;'Alternative 2'!$B$29),(($H$3*'Alternative 2'!$B$39+(($N$62/3)*COS($K$63)))),($H71*'Alternative 2'!$B$39))))</f>
        <v>#VALUE!</v>
      </c>
      <c r="BD71" s="78" t="e">
        <f>BB71*'Alternative 2'!$K72/'Alternative 2'!$L72</f>
        <v>#VALUE!</v>
      </c>
      <c r="BE71" s="78" t="e">
        <f>BC71/'Alternative 2'!$M72</f>
        <v>#VALUE!</v>
      </c>
      <c r="BF71" s="78" t="e">
        <f t="shared" si="26"/>
        <v>#VALUE!</v>
      </c>
      <c r="BH71" s="78" t="e">
        <f>'Alternative 2'!$B$39*$B71*$C71*COS($K$73)-($N$72/3)*$E71*SIN($K$73)-($N$72/3)*$F71*SIN($K$73)-($N$72/3)*$G71*SIN($K$73)</f>
        <v>#VALUE!</v>
      </c>
      <c r="BI71" s="79" t="e">
        <f>IF(($A71&lt;'Alternative 2'!$B$27),(($H71*'Alternative 2'!$B$39)+(3*($N$72/3)*COS($K$73))),IF(($A71&lt;'Alternative 2'!$B$28),(($H71*'Alternative 2'!$B$39)+(2*(($N$72/3)*COS($K$73)))),IF(($A71&lt;'Alternative 2'!$B$29),(($H$3*'Alternative 2'!$B$39+(($N$72/3)*COS($K$73)))),($H71*'Alternative 2'!$B$39))))</f>
        <v>#VALUE!</v>
      </c>
      <c r="BJ71" s="78" t="e">
        <f>BH71*'Alternative 2'!$K72/'Alternative 2'!$L72</f>
        <v>#VALUE!</v>
      </c>
      <c r="BK71" s="78" t="e">
        <f>BI71/'Alternative 2'!$M72</f>
        <v>#VALUE!</v>
      </c>
      <c r="BL71" s="78" t="e">
        <f t="shared" si="27"/>
        <v>#VALUE!</v>
      </c>
      <c r="BN71" s="78" t="e">
        <f>'Alternative 2'!$B$39*$B71*$C71*COS($K$83)-($N$82/3)*$E71*SIN($K$83)-($N$82/3)*$F71*SIN($K$83)-($N$82/3)*$G71*SIN($K$83)</f>
        <v>#VALUE!</v>
      </c>
      <c r="BO71" s="79" t="e">
        <f>IF(($A71&lt;'Alternative 2'!$B$27),(($H71*'Alternative 2'!$B$39)+(3*($N$82/3)*COS($K$83))),IF(($A71&lt;'Alternative 2'!$B$28),(($H71*'Alternative 2'!$B$39)+(2*(($N$82/3)*COS($K$83)))),IF(($A71&lt;'Alternative 2'!$B$29),(($H$3*'Alternative 2'!$B$39+(($N$82/3)*COS($K$83)))),($H71*'Alternative 2'!$B$39))))</f>
        <v>#VALUE!</v>
      </c>
      <c r="BP71" s="78" t="e">
        <f>BN71*'Alternative 2'!$K72/'Alternative 2'!$L72</f>
        <v>#VALUE!</v>
      </c>
      <c r="BQ71" s="78" t="e">
        <f>BO71/'Alternative 2'!$M72</f>
        <v>#VALUE!</v>
      </c>
      <c r="BR71" s="78" t="e">
        <f t="shared" si="28"/>
        <v>#VALUE!</v>
      </c>
      <c r="BT71" s="78" t="e">
        <f>'Alternative 2'!$B$39*$B71*$C71*COS($K$93)-($K$92/3)*$E71*SIN($K$93)-($K$92/3)*$F71*SIN($K$93)-($K$92/3)*$G71*SIN($K$93)</f>
        <v>#VALUE!</v>
      </c>
      <c r="BU71" s="79" t="e">
        <f>IF(($A71&lt;'Alternative 2'!$B$27),(($H71*'Alternative 2'!$B$39)+(3*($N$92/3)*COS($K$93))),IF(($A71&lt;'Alternative 2'!$B$28),(($H71*'Alternative 2'!$B$39)+(2*(($N$92/3)*COS($K$93)))),IF(($A71&lt;'Alternative 2'!$B$29),(($H$3*'Alternative 2'!$B$39+(($N$92/3)*COS($K$93)))),($H71*'Alternative 2'!$B$39))))</f>
        <v>#VALUE!</v>
      </c>
      <c r="BV71" s="78" t="e">
        <f>BT71*'Alternative 2'!$K72/'Alternative 2'!$L72</f>
        <v>#VALUE!</v>
      </c>
      <c r="BW71" s="78" t="e">
        <f>BU71/'Alternative 2'!$M72</f>
        <v>#VALUE!</v>
      </c>
      <c r="BX71" s="78" t="e">
        <f t="shared" si="29"/>
        <v>#VALUE!</v>
      </c>
    </row>
    <row r="72" spans="1:79" ht="15" customHeight="1" x14ac:dyDescent="0.25">
      <c r="A72" s="13" t="str">
        <f>IF('Alternative 2'!F73&gt;0,'Alternative 2'!F73,"x")</f>
        <v>x</v>
      </c>
      <c r="B72" s="13" t="e">
        <f t="shared" si="35"/>
        <v>#VALUE!</v>
      </c>
      <c r="C72" s="13">
        <f t="shared" si="30"/>
        <v>0</v>
      </c>
      <c r="D72" s="13" t="str">
        <f t="shared" si="31"/>
        <v>x</v>
      </c>
      <c r="E72" s="74">
        <f>IF($A72&lt;='Alternative 2'!$B$27, IF($A72='Alternative 2'!$B$27,0,E73+1),0)</f>
        <v>0</v>
      </c>
      <c r="F72" s="74">
        <f>IF($A72&lt;=('Alternative 2'!$B$28), IF($A72=ROUNDDOWN('Alternative 2'!$B$28,0),0,F73+1),0)</f>
        <v>0</v>
      </c>
      <c r="G72" s="74">
        <f>IF($A72&lt;=('Alternative 2'!$B$29), IF($A72=ROUNDDOWN('Alternative 2'!$B$29,0),0,G73+1),0)</f>
        <v>0</v>
      </c>
      <c r="H72" s="13" t="e">
        <f t="shared" si="32"/>
        <v>#VALUE!</v>
      </c>
      <c r="J72" s="77">
        <f t="shared" si="33"/>
        <v>69</v>
      </c>
      <c r="K72" s="77">
        <f t="shared" si="34"/>
        <v>1.2042771838760873</v>
      </c>
      <c r="L72" s="78">
        <f>'Alternative 2'!$B$27*SIN(K72)+'Alternative 2'!$B$28*SIN(K72)+'Alternative 2'!$B$29*SIN(K72)</f>
        <v>63.483469001809716</v>
      </c>
      <c r="M72" s="77">
        <f>(('Alternative 2'!$B$27)*(((('Alternative 2'!$B$28-'Alternative 2'!$B$27)/2)+'Alternative 2'!$B$27)*'Alternative 2'!$B$39)*COS('Alternative 2-Tilt Up'!K72))+(('Alternative 2'!$B$28)*((('Alternative 2'!$B$28-'Alternative 2'!$B$27)/2)+(('Alternative 2'!$B$29-'Alternative 2'!$B$28)/2))*('Alternative 2'!$B$39)*COS('Alternative 2-Tilt Up'!K72))+(('Alternative 2'!$B$29)*((('Alternative 2'!$B$12-'Alternative 2'!$B$29+(('Alternative 2'!$B$29-'Alternative 2'!$B$28)/2)*('Alternative 2'!$B$39)*COS('Alternative 2-Tilt Up'!K72)))))</f>
        <v>1700980.1006326857</v>
      </c>
      <c r="N72" s="82">
        <f t="shared" si="18"/>
        <v>80382.190547157836</v>
      </c>
      <c r="O72" s="77">
        <f>(((('Alternative 2'!$B$28-'Alternative 2'!$B$27)/2)+'Alternative 2'!$B$27)*('Alternative 2'!$B$39)*COS('Alternative 2-Tilt Up'!K72))+(((('Alternative 2'!$B$28-'Alternative 2'!$B$27)/2)+(('Alternative 2'!$B$29-'Alternative 2'!$B$28)/2))*('Alternative 2'!$B$39)*COS('Alternative 2-Tilt Up'!K72))+(((('Alternative 2'!$B$12-'Alternative 2'!$B$29)+(('Alternative 2'!$B$29-'Alternative 2'!$B$28)/2))*('Alternative 2'!$B$39)*COS('Alternative 2-Tilt Up'!K72)))</f>
        <v>109703.56325220421</v>
      </c>
      <c r="P72" s="77">
        <f t="shared" si="19"/>
        <v>28806.40080634458</v>
      </c>
      <c r="R72" s="78" t="e">
        <f>'Alternative 2'!$B$39*$B72*$C72*COS($K$5)-($N$5/3)*$E72*SIN($K$5)-($N$5/3)*$F72*SIN($K$5)-($N$5/3)*$G72*SIN($K$5)</f>
        <v>#VALUE!</v>
      </c>
      <c r="S72" s="79" t="e">
        <f>IF(($A72&lt;'Alternative 2'!$B$27),(($H72*'Alternative 2'!$B$39)+(3*($N$5/3)*COS($K$5))),IF(($A72&lt;'Alternative 2'!$B$28),(($H72*'Alternative 2'!$B$39)+(2*(($N$5/3)*COS($K$5)))),IF(($A72&lt;'Alternative 2'!$B$29),(($H$3*'Alternative 2'!$B$39+(($N$5/3)*COS($K$5)))),($H72*'Alternative 2'!$B$39))))</f>
        <v>#VALUE!</v>
      </c>
      <c r="T72" s="78" t="e">
        <f>R72*'Alternative 2'!$K73/'Alternative 2'!$L73</f>
        <v>#VALUE!</v>
      </c>
      <c r="U72" s="78" t="e">
        <f>S72/'Alternative 2'!$M73</f>
        <v>#VALUE!</v>
      </c>
      <c r="V72" s="78" t="e">
        <f t="shared" si="20"/>
        <v>#VALUE!</v>
      </c>
      <c r="X72" s="78" t="e">
        <f>'Alternative 2'!$B$39*$B72*$C72*COS($K$13)-($N$12/3)*$E72*SIN($K$13)-($N$12/3)*$F72*SIN($K$13)-($N$12/3)*$G72*SIN($K$13)</f>
        <v>#VALUE!</v>
      </c>
      <c r="Y72" s="79" t="e">
        <f>IF(($A72&lt;'Alternative 2'!$B$27),(($H72*'Alternative 2'!$B$39)+(3*($N$12/3)*COS($K$13))),IF(($A72&lt;'Alternative 2'!$B$28),(($H72*'Alternative 2'!$B$39)+(2*(($N$12/3)*COS($K$13)))),IF(($A72&lt;'Alternative 2'!$B$29),(($H$3*'Alternative 2'!$B$39+(($N$12/3)*COS($K$13)))),($H72*'Alternative 2'!$B$39))))</f>
        <v>#VALUE!</v>
      </c>
      <c r="Z72" s="78" t="e">
        <f>X72*'Alternative 2'!$K73/'Alternative 2'!$L73</f>
        <v>#VALUE!</v>
      </c>
      <c r="AA72" s="78" t="e">
        <f>Y72/'Alternative 2'!$M73</f>
        <v>#VALUE!</v>
      </c>
      <c r="AB72" s="78" t="e">
        <f t="shared" si="21"/>
        <v>#VALUE!</v>
      </c>
      <c r="AD72" s="78" t="e">
        <f>'Alternative 2'!$B$39*$B72*$C72*COS($K$23)-($N$22/3)*$E72*SIN($K$23)-($N$22/3)*$F72*SIN($K$23)-($N$22/3)*$G72*SIN($K$23)</f>
        <v>#VALUE!</v>
      </c>
      <c r="AE72" s="79" t="e">
        <f>IF(($A72&lt;'Alternative 2'!$B$27),(($H72*'Alternative 2'!$B$39)+(3*($N$22/3)*COS($K$23))),IF(($A72&lt;'Alternative 2'!$B$28),(($H72*'Alternative 2'!$B$39)+(2*(($N$22/3)*COS($K$23)))),IF(($A72&lt;'Alternative 2'!$B$29),(($H$3*'Alternative 2'!$B$39+(($N$22/3)*COS($K$23)))),($H72*'Alternative 2'!$B$39))))</f>
        <v>#VALUE!</v>
      </c>
      <c r="AF72" s="78" t="e">
        <f>AD72*'Alternative 2'!$K73/'Alternative 2'!$L73</f>
        <v>#VALUE!</v>
      </c>
      <c r="AG72" s="78" t="e">
        <f>AE72/'Alternative 2'!$M73</f>
        <v>#VALUE!</v>
      </c>
      <c r="AH72" s="78" t="e">
        <f t="shared" si="22"/>
        <v>#VALUE!</v>
      </c>
      <c r="AJ72" s="78" t="e">
        <f>'Alternative 2'!$B$39*$B72*$C72*COS($K$33)-($N$32/3)*$E72*SIN($K$33)-($N$32/3)*$F72*SIN($K$33)-($N$32/3)*$G72*SIN($K$33)</f>
        <v>#VALUE!</v>
      </c>
      <c r="AK72" s="79" t="e">
        <f>IF(($A72&lt;'Alternative 2'!$B$27),(($H72*'Alternative 2'!$B$39)+(3*($N$32/3)*COS($K$33))),IF(($A72&lt;'Alternative 2'!$B$28),(($H72*'Alternative 2'!$B$39)+(2*(($N$32/3)*COS($K$33)))),IF(($A72&lt;'Alternative 2'!$B$29),(($H$3*'Alternative 2'!$B$39+(($N$32/3)*COS($K$33)))),($H72*'Alternative 2'!$B$39))))</f>
        <v>#VALUE!</v>
      </c>
      <c r="AL72" s="78" t="e">
        <f>AJ72*'Alternative 2'!$K73/'Alternative 2'!$L73</f>
        <v>#VALUE!</v>
      </c>
      <c r="AM72" s="78" t="e">
        <f>AK72/'Alternative 2'!$M73</f>
        <v>#VALUE!</v>
      </c>
      <c r="AN72" s="78" t="e">
        <f t="shared" si="23"/>
        <v>#VALUE!</v>
      </c>
      <c r="AP72" s="78" t="e">
        <f>'Alternative 2'!$B$39*$B72*$C72*COS($K$43)-($N$42/3)*$E72*SIN($K$43)-($N$42/3)*$F72*SIN($K$43)-($N$42/3)*$G72*SIN($K$43)</f>
        <v>#VALUE!</v>
      </c>
      <c r="AQ72" s="79" t="e">
        <f>IF(($A72&lt;'Alternative 2'!$B$27),(($H72*'Alternative 2'!$B$39)+(3*($N$42/3)*COS($K$43))),IF(($A72&lt;'Alternative 2'!$B$28),(($H72*'Alternative 2'!$B$39)+(2*(($N$42/3)*COS($K$43)))),IF(($A72&lt;'Alternative 2'!$B$29),(($H$3*'Alternative 2'!$B$39+(($N$42/3)*COS($K$43)))),($H72*'Alternative 2'!$B$39))))</f>
        <v>#VALUE!</v>
      </c>
      <c r="AR72" s="78" t="e">
        <f>AP72*'Alternative 2'!$K73/'Alternative 2'!$L73</f>
        <v>#VALUE!</v>
      </c>
      <c r="AS72" s="78" t="e">
        <f>AQ72/'Alternative 2'!$M73</f>
        <v>#VALUE!</v>
      </c>
      <c r="AT72" s="78" t="e">
        <f t="shared" si="24"/>
        <v>#VALUE!</v>
      </c>
      <c r="AV72" s="78" t="e">
        <f>'Alternative 2'!$B$39*$B72*$C72*COS($K$53)-($N$52/3)*$E72*SIN($K$53)-($N$52/3)*$F72*SIN($K$53)-($N$52/3)*$G72*SIN($K$53)</f>
        <v>#VALUE!</v>
      </c>
      <c r="AW72" s="79" t="e">
        <f>IF(($A72&lt;'Alternative 2'!$B$27),(($H72*'Alternative 2'!$B$39)+(3*($N$52/3)*COS($K$53))),IF(($A72&lt;'Alternative 2'!$B$28),(($H72*'Alternative 2'!$B$39)+(2*(($N$52/3)*COS($K$53)))),IF(($A72&lt;'Alternative 2'!$B$29),(($H$3*'Alternative 2'!$B$39+(($N$52/3)*COS($K$53)))),($H72*'Alternative 2'!$B$39))))</f>
        <v>#VALUE!</v>
      </c>
      <c r="AX72" s="78" t="e">
        <f>AV72*'Alternative 2'!$K73/'Alternative 2'!$L73</f>
        <v>#VALUE!</v>
      </c>
      <c r="AY72" s="78" t="e">
        <f>AW72/'Alternative 2'!$M73</f>
        <v>#VALUE!</v>
      </c>
      <c r="AZ72" s="78" t="e">
        <f t="shared" si="25"/>
        <v>#VALUE!</v>
      </c>
      <c r="BB72" s="78" t="e">
        <f>'Alternative 2'!$B$39*$B72*$C72*COS($K$63)-($N$62/3)*$E72*SIN($K$63)-($N$62/3)*$F72*SIN($K$63)-($N$62/3)*$G72*SIN($K$63)</f>
        <v>#VALUE!</v>
      </c>
      <c r="BC72" s="79" t="e">
        <f>IF(($A72&lt;'Alternative 2'!$B$27),(($H72*'Alternative 2'!$B$39)+(3*($N$62/3)*COS($K$63))),IF(($A72&lt;'Alternative 2'!$B$28),(($H72*'Alternative 2'!$B$39)+(2*(($N$62/3)*COS($K$63)))),IF(($A72&lt;'Alternative 2'!$B$29),(($H$3*'Alternative 2'!$B$39+(($N$62/3)*COS($K$63)))),($H72*'Alternative 2'!$B$39))))</f>
        <v>#VALUE!</v>
      </c>
      <c r="BD72" s="78" t="e">
        <f>BB72*'Alternative 2'!$K73/'Alternative 2'!$L73</f>
        <v>#VALUE!</v>
      </c>
      <c r="BE72" s="78" t="e">
        <f>BC72/'Alternative 2'!$M73</f>
        <v>#VALUE!</v>
      </c>
      <c r="BF72" s="78" t="e">
        <f t="shared" si="26"/>
        <v>#VALUE!</v>
      </c>
      <c r="BH72" s="78" t="e">
        <f>'Alternative 2'!$B$39*$B72*$C72*COS($K$73)-($N$72/3)*$E72*SIN($K$73)-($N$72/3)*$F72*SIN($K$73)-($N$72/3)*$G72*SIN($K$73)</f>
        <v>#VALUE!</v>
      </c>
      <c r="BI72" s="79" t="e">
        <f>IF(($A72&lt;'Alternative 2'!$B$27),(($H72*'Alternative 2'!$B$39)+(3*($N$72/3)*COS($K$73))),IF(($A72&lt;'Alternative 2'!$B$28),(($H72*'Alternative 2'!$B$39)+(2*(($N$72/3)*COS($K$73)))),IF(($A72&lt;'Alternative 2'!$B$29),(($H$3*'Alternative 2'!$B$39+(($N$72/3)*COS($K$73)))),($H72*'Alternative 2'!$B$39))))</f>
        <v>#VALUE!</v>
      </c>
      <c r="BJ72" s="78" t="e">
        <f>BH72*'Alternative 2'!$K73/'Alternative 2'!$L73</f>
        <v>#VALUE!</v>
      </c>
      <c r="BK72" s="78" t="e">
        <f>BI72/'Alternative 2'!$M73</f>
        <v>#VALUE!</v>
      </c>
      <c r="BL72" s="78" t="e">
        <f t="shared" si="27"/>
        <v>#VALUE!</v>
      </c>
      <c r="BN72" s="78" t="e">
        <f>'Alternative 2'!$B$39*$B72*$C72*COS($K$83)-($N$82/3)*$E72*SIN($K$83)-($N$82/3)*$F72*SIN($K$83)-($N$82/3)*$G72*SIN($K$83)</f>
        <v>#VALUE!</v>
      </c>
      <c r="BO72" s="79" t="e">
        <f>IF(($A72&lt;'Alternative 2'!$B$27),(($H72*'Alternative 2'!$B$39)+(3*($N$82/3)*COS($K$83))),IF(($A72&lt;'Alternative 2'!$B$28),(($H72*'Alternative 2'!$B$39)+(2*(($N$82/3)*COS($K$83)))),IF(($A72&lt;'Alternative 2'!$B$29),(($H$3*'Alternative 2'!$B$39+(($N$82/3)*COS($K$83)))),($H72*'Alternative 2'!$B$39))))</f>
        <v>#VALUE!</v>
      </c>
      <c r="BP72" s="78" t="e">
        <f>BN72*'Alternative 2'!$K73/'Alternative 2'!$L73</f>
        <v>#VALUE!</v>
      </c>
      <c r="BQ72" s="78" t="e">
        <f>BO72/'Alternative 2'!$M73</f>
        <v>#VALUE!</v>
      </c>
      <c r="BR72" s="78" t="e">
        <f t="shared" si="28"/>
        <v>#VALUE!</v>
      </c>
      <c r="BT72" s="78" t="e">
        <f>'Alternative 2'!$B$39*$B72*$C72*COS($K$93)-($K$92/3)*$E72*SIN($K$93)-($K$92/3)*$F72*SIN($K$93)-($K$92/3)*$G72*SIN($K$93)</f>
        <v>#VALUE!</v>
      </c>
      <c r="BU72" s="79" t="e">
        <f>IF(($A72&lt;'Alternative 2'!$B$27),(($H72*'Alternative 2'!$B$39)+(3*($N$92/3)*COS($K$93))),IF(($A72&lt;'Alternative 2'!$B$28),(($H72*'Alternative 2'!$B$39)+(2*(($N$92/3)*COS($K$93)))),IF(($A72&lt;'Alternative 2'!$B$29),(($H$3*'Alternative 2'!$B$39+(($N$92/3)*COS($K$93)))),($H72*'Alternative 2'!$B$39))))</f>
        <v>#VALUE!</v>
      </c>
      <c r="BV72" s="78" t="e">
        <f>BT72*'Alternative 2'!$K73/'Alternative 2'!$L73</f>
        <v>#VALUE!</v>
      </c>
      <c r="BW72" s="78" t="e">
        <f>BU72/'Alternative 2'!$M73</f>
        <v>#VALUE!</v>
      </c>
      <c r="BX72" s="78" t="e">
        <f t="shared" si="29"/>
        <v>#VALUE!</v>
      </c>
    </row>
    <row r="73" spans="1:79" ht="15" customHeight="1" x14ac:dyDescent="0.25">
      <c r="A73" s="13" t="str">
        <f>IF('Alternative 2'!F74&gt;0,'Alternative 2'!F74,"x")</f>
        <v>x</v>
      </c>
      <c r="B73" s="13" t="e">
        <f t="shared" si="35"/>
        <v>#VALUE!</v>
      </c>
      <c r="C73" s="13">
        <f t="shared" si="30"/>
        <v>0</v>
      </c>
      <c r="D73" s="13" t="str">
        <f t="shared" si="31"/>
        <v>x</v>
      </c>
      <c r="E73" s="74">
        <f>IF($A73&lt;='Alternative 2'!$B$27, IF($A73='Alternative 2'!$B$27,0,E74+1),0)</f>
        <v>0</v>
      </c>
      <c r="F73" s="74">
        <f>IF($A73&lt;=('Alternative 2'!$B$28), IF($A73=ROUNDDOWN('Alternative 2'!$B$28,0),0,F74+1),0)</f>
        <v>0</v>
      </c>
      <c r="G73" s="74">
        <f>IF($A73&lt;=('Alternative 2'!$B$29), IF($A73=ROUNDDOWN('Alternative 2'!$B$29,0),0,G74+1),0)</f>
        <v>0</v>
      </c>
      <c r="H73" s="13" t="e">
        <f t="shared" si="32"/>
        <v>#VALUE!</v>
      </c>
      <c r="J73" s="77">
        <f t="shared" si="33"/>
        <v>70</v>
      </c>
      <c r="K73" s="82">
        <f t="shared" si="34"/>
        <v>1.2217304763960306</v>
      </c>
      <c r="L73" s="78">
        <f>'Alternative 2'!$B$27*SIN(K73)+'Alternative 2'!$B$28*SIN(K73)+'Alternative 2'!$B$29*SIN(K73)</f>
        <v>63.899098213441761</v>
      </c>
      <c r="M73" s="77">
        <f>(('Alternative 2'!$B$27)*(((('Alternative 2'!$B$28-'Alternative 2'!$B$27)/2)+'Alternative 2'!$B$27)*'Alternative 2'!$B$39)*COS('Alternative 2-Tilt Up'!K73))+(('Alternative 2'!$B$28)*((('Alternative 2'!$B$28-'Alternative 2'!$B$27)/2)+(('Alternative 2'!$B$29-'Alternative 2'!$B$28)/2))*('Alternative 2'!$B$39)*COS('Alternative 2-Tilt Up'!K73))+(('Alternative 2'!$B$29)*((('Alternative 2'!$B$12-'Alternative 2'!$B$29+(('Alternative 2'!$B$29-'Alternative 2'!$B$28)/2)*('Alternative 2'!$B$39)*COS('Alternative 2-Tilt Up'!K73)))))</f>
        <v>1623394.7725793337</v>
      </c>
      <c r="N73" s="77">
        <f t="shared" si="18"/>
        <v>76216.79262937569</v>
      </c>
      <c r="O73" s="77">
        <f>(((('Alternative 2'!$B$28-'Alternative 2'!$B$27)/2)+'Alternative 2'!$B$27)*('Alternative 2'!$B$39)*COS('Alternative 2-Tilt Up'!K73))+(((('Alternative 2'!$B$28-'Alternative 2'!$B$27)/2)+(('Alternative 2'!$B$29-'Alternative 2'!$B$28)/2))*('Alternative 2'!$B$39)*COS('Alternative 2-Tilt Up'!K73))+(((('Alternative 2'!$B$12-'Alternative 2'!$B$29)+(('Alternative 2'!$B$29-'Alternative 2'!$B$28)/2))*('Alternative 2'!$B$39)*COS('Alternative 2-Tilt Up'!K73)))</f>
        <v>104699.17433872681</v>
      </c>
      <c r="P73" s="82">
        <f t="shared" si="19"/>
        <v>26067.678338921854</v>
      </c>
      <c r="R73" s="78" t="e">
        <f>'Alternative 2'!$B$39*$B73*$C73*COS($K$5)-($N$5/3)*$E73*SIN($K$5)-($N$5/3)*$F73*SIN($K$5)-($N$5/3)*$G73*SIN($K$5)</f>
        <v>#VALUE!</v>
      </c>
      <c r="S73" s="79" t="e">
        <f>IF(($A73&lt;'Alternative 2'!$B$27),(($H73*'Alternative 2'!$B$39)+(3*($N$5/3)*COS($K$5))),IF(($A73&lt;'Alternative 2'!$B$28),(($H73*'Alternative 2'!$B$39)+(2*(($N$5/3)*COS($K$5)))),IF(($A73&lt;'Alternative 2'!$B$29),(($H$3*'Alternative 2'!$B$39+(($N$5/3)*COS($K$5)))),($H73*'Alternative 2'!$B$39))))</f>
        <v>#VALUE!</v>
      </c>
      <c r="T73" s="78" t="e">
        <f>R73*'Alternative 2'!$K74/'Alternative 2'!$L74</f>
        <v>#VALUE!</v>
      </c>
      <c r="U73" s="78" t="e">
        <f>S73/'Alternative 2'!$M74</f>
        <v>#VALUE!</v>
      </c>
      <c r="V73" s="78" t="e">
        <f t="shared" si="20"/>
        <v>#VALUE!</v>
      </c>
      <c r="X73" s="78" t="e">
        <f>'Alternative 2'!$B$39*$B73*$C73*COS($K$13)-($N$12/3)*$E73*SIN($K$13)-($N$12/3)*$F73*SIN($K$13)-($N$12/3)*$G73*SIN($K$13)</f>
        <v>#VALUE!</v>
      </c>
      <c r="Y73" s="79" t="e">
        <f>IF(($A73&lt;'Alternative 2'!$B$27),(($H73*'Alternative 2'!$B$39)+(3*($N$12/3)*COS($K$13))),IF(($A73&lt;'Alternative 2'!$B$28),(($H73*'Alternative 2'!$B$39)+(2*(($N$12/3)*COS($K$13)))),IF(($A73&lt;'Alternative 2'!$B$29),(($H$3*'Alternative 2'!$B$39+(($N$12/3)*COS($K$13)))),($H73*'Alternative 2'!$B$39))))</f>
        <v>#VALUE!</v>
      </c>
      <c r="Z73" s="78" t="e">
        <f>X73*'Alternative 2'!$K74/'Alternative 2'!$L74</f>
        <v>#VALUE!</v>
      </c>
      <c r="AA73" s="78" t="e">
        <f>Y73/'Alternative 2'!$M74</f>
        <v>#VALUE!</v>
      </c>
      <c r="AB73" s="78" t="e">
        <f t="shared" si="21"/>
        <v>#VALUE!</v>
      </c>
      <c r="AD73" s="78" t="e">
        <f>'Alternative 2'!$B$39*$B73*$C73*COS($K$23)-($N$22/3)*$E73*SIN($K$23)-($N$22/3)*$F73*SIN($K$23)-($N$22/3)*$G73*SIN($K$23)</f>
        <v>#VALUE!</v>
      </c>
      <c r="AE73" s="79" t="e">
        <f>IF(($A73&lt;'Alternative 2'!$B$27),(($H73*'Alternative 2'!$B$39)+(3*($N$22/3)*COS($K$23))),IF(($A73&lt;'Alternative 2'!$B$28),(($H73*'Alternative 2'!$B$39)+(2*(($N$22/3)*COS($K$23)))),IF(($A73&lt;'Alternative 2'!$B$29),(($H$3*'Alternative 2'!$B$39+(($N$22/3)*COS($K$23)))),($H73*'Alternative 2'!$B$39))))</f>
        <v>#VALUE!</v>
      </c>
      <c r="AF73" s="78" t="e">
        <f>AD73*'Alternative 2'!$K74/'Alternative 2'!$L74</f>
        <v>#VALUE!</v>
      </c>
      <c r="AG73" s="78" t="e">
        <f>AE73/'Alternative 2'!$M74</f>
        <v>#VALUE!</v>
      </c>
      <c r="AH73" s="78" t="e">
        <f t="shared" si="22"/>
        <v>#VALUE!</v>
      </c>
      <c r="AJ73" s="78" t="e">
        <f>'Alternative 2'!$B$39*$B73*$C73*COS($K$33)-($N$32/3)*$E73*SIN($K$33)-($N$32/3)*$F73*SIN($K$33)-($N$32/3)*$G73*SIN($K$33)</f>
        <v>#VALUE!</v>
      </c>
      <c r="AK73" s="79" t="e">
        <f>IF(($A73&lt;'Alternative 2'!$B$27),(($H73*'Alternative 2'!$B$39)+(3*($N$32/3)*COS($K$33))),IF(($A73&lt;'Alternative 2'!$B$28),(($H73*'Alternative 2'!$B$39)+(2*(($N$32/3)*COS($K$33)))),IF(($A73&lt;'Alternative 2'!$B$29),(($H$3*'Alternative 2'!$B$39+(($N$32/3)*COS($K$33)))),($H73*'Alternative 2'!$B$39))))</f>
        <v>#VALUE!</v>
      </c>
      <c r="AL73" s="78" t="e">
        <f>AJ73*'Alternative 2'!$K74/'Alternative 2'!$L74</f>
        <v>#VALUE!</v>
      </c>
      <c r="AM73" s="78" t="e">
        <f>AK73/'Alternative 2'!$M74</f>
        <v>#VALUE!</v>
      </c>
      <c r="AN73" s="78" t="e">
        <f t="shared" si="23"/>
        <v>#VALUE!</v>
      </c>
      <c r="AP73" s="78" t="e">
        <f>'Alternative 2'!$B$39*$B73*$C73*COS($K$43)-($N$42/3)*$E73*SIN($K$43)-($N$42/3)*$F73*SIN($K$43)-($N$42/3)*$G73*SIN($K$43)</f>
        <v>#VALUE!</v>
      </c>
      <c r="AQ73" s="79" t="e">
        <f>IF(($A73&lt;'Alternative 2'!$B$27),(($H73*'Alternative 2'!$B$39)+(3*($N$42/3)*COS($K$43))),IF(($A73&lt;'Alternative 2'!$B$28),(($H73*'Alternative 2'!$B$39)+(2*(($N$42/3)*COS($K$43)))),IF(($A73&lt;'Alternative 2'!$B$29),(($H$3*'Alternative 2'!$B$39+(($N$42/3)*COS($K$43)))),($H73*'Alternative 2'!$B$39))))</f>
        <v>#VALUE!</v>
      </c>
      <c r="AR73" s="78" t="e">
        <f>AP73*'Alternative 2'!$K74/'Alternative 2'!$L74</f>
        <v>#VALUE!</v>
      </c>
      <c r="AS73" s="78" t="e">
        <f>AQ73/'Alternative 2'!$M74</f>
        <v>#VALUE!</v>
      </c>
      <c r="AT73" s="78" t="e">
        <f t="shared" si="24"/>
        <v>#VALUE!</v>
      </c>
      <c r="AV73" s="78" t="e">
        <f>'Alternative 2'!$B$39*$B73*$C73*COS($K$53)-($N$52/3)*$E73*SIN($K$53)-($N$52/3)*$F73*SIN($K$53)-($N$52/3)*$G73*SIN($K$53)</f>
        <v>#VALUE!</v>
      </c>
      <c r="AW73" s="79" t="e">
        <f>IF(($A73&lt;'Alternative 2'!$B$27),(($H73*'Alternative 2'!$B$39)+(3*($N$52/3)*COS($K$53))),IF(($A73&lt;'Alternative 2'!$B$28),(($H73*'Alternative 2'!$B$39)+(2*(($N$52/3)*COS($K$53)))),IF(($A73&lt;'Alternative 2'!$B$29),(($H$3*'Alternative 2'!$B$39+(($N$52/3)*COS($K$53)))),($H73*'Alternative 2'!$B$39))))</f>
        <v>#VALUE!</v>
      </c>
      <c r="AX73" s="78" t="e">
        <f>AV73*'Alternative 2'!$K74/'Alternative 2'!$L74</f>
        <v>#VALUE!</v>
      </c>
      <c r="AY73" s="78" t="e">
        <f>AW73/'Alternative 2'!$M74</f>
        <v>#VALUE!</v>
      </c>
      <c r="AZ73" s="78" t="e">
        <f t="shared" si="25"/>
        <v>#VALUE!</v>
      </c>
      <c r="BB73" s="78" t="e">
        <f>'Alternative 2'!$B$39*$B73*$C73*COS($K$63)-($N$62/3)*$E73*SIN($K$63)-($N$62/3)*$F73*SIN($K$63)-($N$62/3)*$G73*SIN($K$63)</f>
        <v>#VALUE!</v>
      </c>
      <c r="BC73" s="79" t="e">
        <f>IF(($A73&lt;'Alternative 2'!$B$27),(($H73*'Alternative 2'!$B$39)+(3*($N$62/3)*COS($K$63))),IF(($A73&lt;'Alternative 2'!$B$28),(($H73*'Alternative 2'!$B$39)+(2*(($N$62/3)*COS($K$63)))),IF(($A73&lt;'Alternative 2'!$B$29),(($H$3*'Alternative 2'!$B$39+(($N$62/3)*COS($K$63)))),($H73*'Alternative 2'!$B$39))))</f>
        <v>#VALUE!</v>
      </c>
      <c r="BD73" s="78" t="e">
        <f>BB73*'Alternative 2'!$K74/'Alternative 2'!$L74</f>
        <v>#VALUE!</v>
      </c>
      <c r="BE73" s="78" t="e">
        <f>BC73/'Alternative 2'!$M74</f>
        <v>#VALUE!</v>
      </c>
      <c r="BF73" s="78" t="e">
        <f t="shared" si="26"/>
        <v>#VALUE!</v>
      </c>
      <c r="BH73" s="78" t="e">
        <f>'Alternative 2'!$B$39*$B73*$C73*COS($K$73)-($N$72/3)*$E73*SIN($K$73)-($N$72/3)*$F73*SIN($K$73)-($N$72/3)*$G73*SIN($K$73)</f>
        <v>#VALUE!</v>
      </c>
      <c r="BI73" s="79" t="e">
        <f>IF(($A73&lt;'Alternative 2'!$B$27),(($H73*'Alternative 2'!$B$39)+(3*($N$72/3)*COS($K$73))),IF(($A73&lt;'Alternative 2'!$B$28),(($H73*'Alternative 2'!$B$39)+(2*(($N$72/3)*COS($K$73)))),IF(($A73&lt;'Alternative 2'!$B$29),(($H$3*'Alternative 2'!$B$39+(($N$72/3)*COS($K$73)))),($H73*'Alternative 2'!$B$39))))</f>
        <v>#VALUE!</v>
      </c>
      <c r="BJ73" s="78" t="e">
        <f>BH73*'Alternative 2'!$K74/'Alternative 2'!$L74</f>
        <v>#VALUE!</v>
      </c>
      <c r="BK73" s="78" t="e">
        <f>BI73/'Alternative 2'!$M74</f>
        <v>#VALUE!</v>
      </c>
      <c r="BL73" s="78" t="e">
        <f t="shared" si="27"/>
        <v>#VALUE!</v>
      </c>
      <c r="BN73" s="78" t="e">
        <f>'Alternative 2'!$B$39*$B73*$C73*COS($K$83)-($N$82/3)*$E73*SIN($K$83)-($N$82/3)*$F73*SIN($K$83)-($N$82/3)*$G73*SIN($K$83)</f>
        <v>#VALUE!</v>
      </c>
      <c r="BO73" s="79" t="e">
        <f>IF(($A73&lt;'Alternative 2'!$B$27),(($H73*'Alternative 2'!$B$39)+(3*($N$82/3)*COS($K$83))),IF(($A73&lt;'Alternative 2'!$B$28),(($H73*'Alternative 2'!$B$39)+(2*(($N$82/3)*COS($K$83)))),IF(($A73&lt;'Alternative 2'!$B$29),(($H$3*'Alternative 2'!$B$39+(($N$82/3)*COS($K$83)))),($H73*'Alternative 2'!$B$39))))</f>
        <v>#VALUE!</v>
      </c>
      <c r="BP73" s="78" t="e">
        <f>BN73*'Alternative 2'!$K74/'Alternative 2'!$L74</f>
        <v>#VALUE!</v>
      </c>
      <c r="BQ73" s="78" t="e">
        <f>BO73/'Alternative 2'!$M74</f>
        <v>#VALUE!</v>
      </c>
      <c r="BR73" s="78" t="e">
        <f t="shared" si="28"/>
        <v>#VALUE!</v>
      </c>
      <c r="BT73" s="78" t="e">
        <f>'Alternative 2'!$B$39*$B73*$C73*COS($K$93)-($K$92/3)*$E73*SIN($K$93)-($K$92/3)*$F73*SIN($K$93)-($K$92/3)*$G73*SIN($K$93)</f>
        <v>#VALUE!</v>
      </c>
      <c r="BU73" s="79" t="e">
        <f>IF(($A73&lt;'Alternative 2'!$B$27),(($H73*'Alternative 2'!$B$39)+(3*($N$92/3)*COS($K$93))),IF(($A73&lt;'Alternative 2'!$B$28),(($H73*'Alternative 2'!$B$39)+(2*(($N$92/3)*COS($K$93)))),IF(($A73&lt;'Alternative 2'!$B$29),(($H$3*'Alternative 2'!$B$39+(($N$92/3)*COS($K$93)))),($H73*'Alternative 2'!$B$39))))</f>
        <v>#VALUE!</v>
      </c>
      <c r="BV73" s="78" t="e">
        <f>BT73*'Alternative 2'!$K74/'Alternative 2'!$L74</f>
        <v>#VALUE!</v>
      </c>
      <c r="BW73" s="78" t="e">
        <f>BU73/'Alternative 2'!$M74</f>
        <v>#VALUE!</v>
      </c>
      <c r="BX73" s="78" t="e">
        <f t="shared" si="29"/>
        <v>#VALUE!</v>
      </c>
    </row>
    <row r="74" spans="1:79" ht="15" customHeight="1" x14ac:dyDescent="0.25">
      <c r="A74" s="13" t="str">
        <f>IF('Alternative 2'!F75&gt;0,'Alternative 2'!F75,"x")</f>
        <v>x</v>
      </c>
      <c r="B74" s="13" t="e">
        <f t="shared" si="35"/>
        <v>#VALUE!</v>
      </c>
      <c r="C74" s="13">
        <f t="shared" si="30"/>
        <v>0</v>
      </c>
      <c r="D74" s="13" t="str">
        <f t="shared" si="31"/>
        <v>x</v>
      </c>
      <c r="E74" s="74">
        <f>IF($A74&lt;='Alternative 2'!$B$27, IF($A74='Alternative 2'!$B$27,0,E75+1),0)</f>
        <v>0</v>
      </c>
      <c r="F74" s="74">
        <f>IF($A74&lt;=('Alternative 2'!$B$28), IF($A74=ROUNDDOWN('Alternative 2'!$B$28,0),0,F75+1),0)</f>
        <v>0</v>
      </c>
      <c r="G74" s="74">
        <f>IF($A74&lt;=('Alternative 2'!$B$29), IF($A74=ROUNDDOWN('Alternative 2'!$B$29,0),0,G75+1),0)</f>
        <v>0</v>
      </c>
      <c r="H74" s="13" t="e">
        <f t="shared" si="32"/>
        <v>#VALUE!</v>
      </c>
      <c r="J74" s="77">
        <f t="shared" si="33"/>
        <v>71</v>
      </c>
      <c r="K74" s="77">
        <f t="shared" si="34"/>
        <v>1.2391837689159739</v>
      </c>
      <c r="L74" s="78">
        <f>'Alternative 2'!$B$27*SIN(K74)+'Alternative 2'!$B$28*SIN(K74)+'Alternative 2'!$B$29*SIN(K74)</f>
        <v>64.295263140753534</v>
      </c>
      <c r="M74" s="77">
        <f>(('Alternative 2'!$B$27)*(((('Alternative 2'!$B$28-'Alternative 2'!$B$27)/2)+'Alternative 2'!$B$27)*'Alternative 2'!$B$39)*COS('Alternative 2-Tilt Up'!K74))+(('Alternative 2'!$B$28)*((('Alternative 2'!$B$28-'Alternative 2'!$B$27)/2)+(('Alternative 2'!$B$29-'Alternative 2'!$B$28)/2))*('Alternative 2'!$B$39)*COS('Alternative 2-Tilt Up'!K74))+(('Alternative 2'!$B$29)*((('Alternative 2'!$B$12-'Alternative 2'!$B$29+(('Alternative 2'!$B$29-'Alternative 2'!$B$28)/2)*('Alternative 2'!$B$39)*COS('Alternative 2-Tilt Up'!K74)))))</f>
        <v>1545315.0023432039</v>
      </c>
      <c r="N74" s="77">
        <f t="shared" si="18"/>
        <v>72103.98994527357</v>
      </c>
      <c r="O74" s="77">
        <f>(((('Alternative 2'!$B$28-'Alternative 2'!$B$27)/2)+'Alternative 2'!$B$27)*('Alternative 2'!$B$39)*COS('Alternative 2-Tilt Up'!K74))+(((('Alternative 2'!$B$28-'Alternative 2'!$B$27)/2)+(('Alternative 2'!$B$29-'Alternative 2'!$B$28)/2))*('Alternative 2'!$B$39)*COS('Alternative 2-Tilt Up'!K74))+(((('Alternative 2'!$B$12-'Alternative 2'!$B$29)+(('Alternative 2'!$B$29-'Alternative 2'!$B$28)/2))*('Alternative 2'!$B$39)*COS('Alternative 2-Tilt Up'!K74)))</f>
        <v>99662.893042502154</v>
      </c>
      <c r="P74" s="77">
        <f t="shared" si="19"/>
        <v>23474.762935480103</v>
      </c>
      <c r="R74" s="78" t="e">
        <f>'Alternative 2'!$B$39*$B74*$C74*COS($K$5)-($N$5/3)*$E74*SIN($K$5)-($N$5/3)*$F74*SIN($K$5)-($N$5/3)*$G74*SIN($K$5)</f>
        <v>#VALUE!</v>
      </c>
      <c r="S74" s="79" t="e">
        <f>IF(($A74&lt;'Alternative 2'!$B$27),(($H74*'Alternative 2'!$B$39)+(3*($N$5/3)*COS($K$5))),IF(($A74&lt;'Alternative 2'!$B$28),(($H74*'Alternative 2'!$B$39)+(2*(($N$5/3)*COS($K$5)))),IF(($A74&lt;'Alternative 2'!$B$29),(($H$3*'Alternative 2'!$B$39+(($N$5/3)*COS($K$5)))),($H74*'Alternative 2'!$B$39))))</f>
        <v>#VALUE!</v>
      </c>
      <c r="T74" s="78" t="e">
        <f>R74*'Alternative 2'!$K75/'Alternative 2'!$L75</f>
        <v>#VALUE!</v>
      </c>
      <c r="U74" s="78" t="e">
        <f>S74/'Alternative 2'!$M75</f>
        <v>#VALUE!</v>
      </c>
      <c r="V74" s="78" t="e">
        <f t="shared" si="20"/>
        <v>#VALUE!</v>
      </c>
      <c r="X74" s="78" t="e">
        <f>'Alternative 2'!$B$39*$B74*$C74*COS($K$13)-($N$12/3)*$E74*SIN($K$13)-($N$12/3)*$F74*SIN($K$13)-($N$12/3)*$G74*SIN($K$13)</f>
        <v>#VALUE!</v>
      </c>
      <c r="Y74" s="79" t="e">
        <f>IF(($A74&lt;'Alternative 2'!$B$27),(($H74*'Alternative 2'!$B$39)+(3*($N$12/3)*COS($K$13))),IF(($A74&lt;'Alternative 2'!$B$28),(($H74*'Alternative 2'!$B$39)+(2*(($N$12/3)*COS($K$13)))),IF(($A74&lt;'Alternative 2'!$B$29),(($H$3*'Alternative 2'!$B$39+(($N$12/3)*COS($K$13)))),($H74*'Alternative 2'!$B$39))))</f>
        <v>#VALUE!</v>
      </c>
      <c r="Z74" s="78" t="e">
        <f>X74*'Alternative 2'!$K75/'Alternative 2'!$L75</f>
        <v>#VALUE!</v>
      </c>
      <c r="AA74" s="78" t="e">
        <f>Y74/'Alternative 2'!$M75</f>
        <v>#VALUE!</v>
      </c>
      <c r="AB74" s="78" t="e">
        <f t="shared" si="21"/>
        <v>#VALUE!</v>
      </c>
      <c r="AD74" s="78" t="e">
        <f>'Alternative 2'!$B$39*$B74*$C74*COS($K$23)-($N$22/3)*$E74*SIN($K$23)-($N$22/3)*$F74*SIN($K$23)-($N$22/3)*$G74*SIN($K$23)</f>
        <v>#VALUE!</v>
      </c>
      <c r="AE74" s="79" t="e">
        <f>IF(($A74&lt;'Alternative 2'!$B$27),(($H74*'Alternative 2'!$B$39)+(3*($N$22/3)*COS($K$23))),IF(($A74&lt;'Alternative 2'!$B$28),(($H74*'Alternative 2'!$B$39)+(2*(($N$22/3)*COS($K$23)))),IF(($A74&lt;'Alternative 2'!$B$29),(($H$3*'Alternative 2'!$B$39+(($N$22/3)*COS($K$23)))),($H74*'Alternative 2'!$B$39))))</f>
        <v>#VALUE!</v>
      </c>
      <c r="AF74" s="78" t="e">
        <f>AD74*'Alternative 2'!$K75/'Alternative 2'!$L75</f>
        <v>#VALUE!</v>
      </c>
      <c r="AG74" s="78" t="e">
        <f>AE74/'Alternative 2'!$M75</f>
        <v>#VALUE!</v>
      </c>
      <c r="AH74" s="78" t="e">
        <f t="shared" si="22"/>
        <v>#VALUE!</v>
      </c>
      <c r="AJ74" s="78" t="e">
        <f>'Alternative 2'!$B$39*$B74*$C74*COS($K$33)-($N$32/3)*$E74*SIN($K$33)-($N$32/3)*$F74*SIN($K$33)-($N$32/3)*$G74*SIN($K$33)</f>
        <v>#VALUE!</v>
      </c>
      <c r="AK74" s="79" t="e">
        <f>IF(($A74&lt;'Alternative 2'!$B$27),(($H74*'Alternative 2'!$B$39)+(3*($N$32/3)*COS($K$33))),IF(($A74&lt;'Alternative 2'!$B$28),(($H74*'Alternative 2'!$B$39)+(2*(($N$32/3)*COS($K$33)))),IF(($A74&lt;'Alternative 2'!$B$29),(($H$3*'Alternative 2'!$B$39+(($N$32/3)*COS($K$33)))),($H74*'Alternative 2'!$B$39))))</f>
        <v>#VALUE!</v>
      </c>
      <c r="AL74" s="78" t="e">
        <f>AJ74*'Alternative 2'!$K75/'Alternative 2'!$L75</f>
        <v>#VALUE!</v>
      </c>
      <c r="AM74" s="78" t="e">
        <f>AK74/'Alternative 2'!$M75</f>
        <v>#VALUE!</v>
      </c>
      <c r="AN74" s="78" t="e">
        <f t="shared" si="23"/>
        <v>#VALUE!</v>
      </c>
      <c r="AP74" s="78" t="e">
        <f>'Alternative 2'!$B$39*$B74*$C74*COS($K$43)-($N$42/3)*$E74*SIN($K$43)-($N$42/3)*$F74*SIN($K$43)-($N$42/3)*$G74*SIN($K$43)</f>
        <v>#VALUE!</v>
      </c>
      <c r="AQ74" s="79" t="e">
        <f>IF(($A74&lt;'Alternative 2'!$B$27),(($H74*'Alternative 2'!$B$39)+(3*($N$42/3)*COS($K$43))),IF(($A74&lt;'Alternative 2'!$B$28),(($H74*'Alternative 2'!$B$39)+(2*(($N$42/3)*COS($K$43)))),IF(($A74&lt;'Alternative 2'!$B$29),(($H$3*'Alternative 2'!$B$39+(($N$42/3)*COS($K$43)))),($H74*'Alternative 2'!$B$39))))</f>
        <v>#VALUE!</v>
      </c>
      <c r="AR74" s="78" t="e">
        <f>AP74*'Alternative 2'!$K75/'Alternative 2'!$L75</f>
        <v>#VALUE!</v>
      </c>
      <c r="AS74" s="78" t="e">
        <f>AQ74/'Alternative 2'!$M75</f>
        <v>#VALUE!</v>
      </c>
      <c r="AT74" s="78" t="e">
        <f t="shared" si="24"/>
        <v>#VALUE!</v>
      </c>
      <c r="AV74" s="78" t="e">
        <f>'Alternative 2'!$B$39*$B74*$C74*COS($K$53)-($N$52/3)*$E74*SIN($K$53)-($N$52/3)*$F74*SIN($K$53)-($N$52/3)*$G74*SIN($K$53)</f>
        <v>#VALUE!</v>
      </c>
      <c r="AW74" s="79" t="e">
        <f>IF(($A74&lt;'Alternative 2'!$B$27),(($H74*'Alternative 2'!$B$39)+(3*($N$52/3)*COS($K$53))),IF(($A74&lt;'Alternative 2'!$B$28),(($H74*'Alternative 2'!$B$39)+(2*(($N$52/3)*COS($K$53)))),IF(($A74&lt;'Alternative 2'!$B$29),(($H$3*'Alternative 2'!$B$39+(($N$52/3)*COS($K$53)))),($H74*'Alternative 2'!$B$39))))</f>
        <v>#VALUE!</v>
      </c>
      <c r="AX74" s="78" t="e">
        <f>AV74*'Alternative 2'!$K75/'Alternative 2'!$L75</f>
        <v>#VALUE!</v>
      </c>
      <c r="AY74" s="78" t="e">
        <f>AW74/'Alternative 2'!$M75</f>
        <v>#VALUE!</v>
      </c>
      <c r="AZ74" s="78" t="e">
        <f t="shared" si="25"/>
        <v>#VALUE!</v>
      </c>
      <c r="BB74" s="78" t="e">
        <f>'Alternative 2'!$B$39*$B74*$C74*COS($K$63)-($N$62/3)*$E74*SIN($K$63)-($N$62/3)*$F74*SIN($K$63)-($N$62/3)*$G74*SIN($K$63)</f>
        <v>#VALUE!</v>
      </c>
      <c r="BC74" s="79" t="e">
        <f>IF(($A74&lt;'Alternative 2'!$B$27),(($H74*'Alternative 2'!$B$39)+(3*($N$62/3)*COS($K$63))),IF(($A74&lt;'Alternative 2'!$B$28),(($H74*'Alternative 2'!$B$39)+(2*(($N$62/3)*COS($K$63)))),IF(($A74&lt;'Alternative 2'!$B$29),(($H$3*'Alternative 2'!$B$39+(($N$62/3)*COS($K$63)))),($H74*'Alternative 2'!$B$39))))</f>
        <v>#VALUE!</v>
      </c>
      <c r="BD74" s="78" t="e">
        <f>BB74*'Alternative 2'!$K75/'Alternative 2'!$L75</f>
        <v>#VALUE!</v>
      </c>
      <c r="BE74" s="78" t="e">
        <f>BC74/'Alternative 2'!$M75</f>
        <v>#VALUE!</v>
      </c>
      <c r="BF74" s="78" t="e">
        <f t="shared" si="26"/>
        <v>#VALUE!</v>
      </c>
      <c r="BH74" s="78" t="e">
        <f>'Alternative 2'!$B$39*$B74*$C74*COS($K$73)-($N$72/3)*$E74*SIN($K$73)-($N$72/3)*$F74*SIN($K$73)-($N$72/3)*$G74*SIN($K$73)</f>
        <v>#VALUE!</v>
      </c>
      <c r="BI74" s="79" t="e">
        <f>IF(($A74&lt;'Alternative 2'!$B$27),(($H74*'Alternative 2'!$B$39)+(3*($N$72/3)*COS($K$73))),IF(($A74&lt;'Alternative 2'!$B$28),(($H74*'Alternative 2'!$B$39)+(2*(($N$72/3)*COS($K$73)))),IF(($A74&lt;'Alternative 2'!$B$29),(($H$3*'Alternative 2'!$B$39+(($N$72/3)*COS($K$73)))),($H74*'Alternative 2'!$B$39))))</f>
        <v>#VALUE!</v>
      </c>
      <c r="BJ74" s="78" t="e">
        <f>BH74*'Alternative 2'!$K75/'Alternative 2'!$L75</f>
        <v>#VALUE!</v>
      </c>
      <c r="BK74" s="78" t="e">
        <f>BI74/'Alternative 2'!$M75</f>
        <v>#VALUE!</v>
      </c>
      <c r="BL74" s="78" t="e">
        <f t="shared" si="27"/>
        <v>#VALUE!</v>
      </c>
      <c r="BN74" s="78" t="e">
        <f>'Alternative 2'!$B$39*$B74*$C74*COS($K$83)-($N$82/3)*$E74*SIN($K$83)-($N$82/3)*$F74*SIN($K$83)-($N$82/3)*$G74*SIN($K$83)</f>
        <v>#VALUE!</v>
      </c>
      <c r="BO74" s="79" t="e">
        <f>IF(($A74&lt;'Alternative 2'!$B$27),(($H74*'Alternative 2'!$B$39)+(3*($N$82/3)*COS($K$83))),IF(($A74&lt;'Alternative 2'!$B$28),(($H74*'Alternative 2'!$B$39)+(2*(($N$82/3)*COS($K$83)))),IF(($A74&lt;'Alternative 2'!$B$29),(($H$3*'Alternative 2'!$B$39+(($N$82/3)*COS($K$83)))),($H74*'Alternative 2'!$B$39))))</f>
        <v>#VALUE!</v>
      </c>
      <c r="BP74" s="78" t="e">
        <f>BN74*'Alternative 2'!$K75/'Alternative 2'!$L75</f>
        <v>#VALUE!</v>
      </c>
      <c r="BQ74" s="78" t="e">
        <f>BO74/'Alternative 2'!$M75</f>
        <v>#VALUE!</v>
      </c>
      <c r="BR74" s="78" t="e">
        <f t="shared" si="28"/>
        <v>#VALUE!</v>
      </c>
      <c r="BT74" s="78" t="e">
        <f>'Alternative 2'!$B$39*$B74*$C74*COS($K$93)-($K$92/3)*$E74*SIN($K$93)-($K$92/3)*$F74*SIN($K$93)-($K$92/3)*$G74*SIN($K$93)</f>
        <v>#VALUE!</v>
      </c>
      <c r="BU74" s="79" t="e">
        <f>IF(($A74&lt;'Alternative 2'!$B$27),(($H74*'Alternative 2'!$B$39)+(3*($N$92/3)*COS($K$93))),IF(($A74&lt;'Alternative 2'!$B$28),(($H74*'Alternative 2'!$B$39)+(2*(($N$92/3)*COS($K$93)))),IF(($A74&lt;'Alternative 2'!$B$29),(($H$3*'Alternative 2'!$B$39+(($N$92/3)*COS($K$93)))),($H74*'Alternative 2'!$B$39))))</f>
        <v>#VALUE!</v>
      </c>
      <c r="BV74" s="78" t="e">
        <f>BT74*'Alternative 2'!$K75/'Alternative 2'!$L75</f>
        <v>#VALUE!</v>
      </c>
      <c r="BW74" s="78" t="e">
        <f>BU74/'Alternative 2'!$M75</f>
        <v>#VALUE!</v>
      </c>
      <c r="BX74" s="78" t="e">
        <f t="shared" si="29"/>
        <v>#VALUE!</v>
      </c>
    </row>
    <row r="75" spans="1:79" ht="15" customHeight="1" x14ac:dyDescent="0.25">
      <c r="A75" s="13" t="str">
        <f>IF('Alternative 2'!F76&gt;0,'Alternative 2'!F76,"x")</f>
        <v>x</v>
      </c>
      <c r="B75" s="13" t="e">
        <f t="shared" si="35"/>
        <v>#VALUE!</v>
      </c>
      <c r="C75" s="13">
        <f t="shared" si="30"/>
        <v>0</v>
      </c>
      <c r="D75" s="13" t="str">
        <f t="shared" si="31"/>
        <v>x</v>
      </c>
      <c r="E75" s="74">
        <f>IF($A75&lt;='Alternative 2'!$B$27, IF($A75='Alternative 2'!$B$27,0,E76+1),0)</f>
        <v>0</v>
      </c>
      <c r="F75" s="74">
        <f>IF($A75&lt;=('Alternative 2'!$B$28), IF($A75=ROUNDDOWN('Alternative 2'!$B$28,0),0,F76+1),0)</f>
        <v>0</v>
      </c>
      <c r="G75" s="74">
        <f>IF($A75&lt;=('Alternative 2'!$B$29), IF($A75=ROUNDDOWN('Alternative 2'!$B$29,0),0,G76+1),0)</f>
        <v>0</v>
      </c>
      <c r="H75" s="13" t="e">
        <f t="shared" si="32"/>
        <v>#VALUE!</v>
      </c>
      <c r="J75" s="77">
        <f t="shared" si="33"/>
        <v>72</v>
      </c>
      <c r="K75" s="77">
        <f t="shared" si="34"/>
        <v>1.2566370614359172</v>
      </c>
      <c r="L75" s="78">
        <f>'Alternative 2'!$B$27*SIN(K75)+'Alternative 2'!$B$28*SIN(K75)+'Alternative 2'!$B$29*SIN(K75)</f>
        <v>64.671843108070448</v>
      </c>
      <c r="M75" s="77">
        <f>(('Alternative 2'!$B$27)*(((('Alternative 2'!$B$28-'Alternative 2'!$B$27)/2)+'Alternative 2'!$B$27)*'Alternative 2'!$B$39)*COS('Alternative 2-Tilt Up'!K75))+(('Alternative 2'!$B$28)*((('Alternative 2'!$B$28-'Alternative 2'!$B$27)/2)+(('Alternative 2'!$B$29-'Alternative 2'!$B$28)/2))*('Alternative 2'!$B$39)*COS('Alternative 2-Tilt Up'!K75))+(('Alternative 2'!$B$29)*((('Alternative 2'!$B$12-'Alternative 2'!$B$29+(('Alternative 2'!$B$29-'Alternative 2'!$B$28)/2)*('Alternative 2'!$B$39)*COS('Alternative 2-Tilt Up'!K75)))))</f>
        <v>1466764.5737786861</v>
      </c>
      <c r="N75" s="77">
        <f t="shared" si="18"/>
        <v>68040.332699083723</v>
      </c>
      <c r="O75" s="77">
        <f>(((('Alternative 2'!$B$28-'Alternative 2'!$B$27)/2)+'Alternative 2'!$B$27)*('Alternative 2'!$B$39)*COS('Alternative 2-Tilt Up'!K75))+(((('Alternative 2'!$B$28-'Alternative 2'!$B$27)/2)+(('Alternative 2'!$B$29-'Alternative 2'!$B$28)/2))*('Alternative 2'!$B$39)*COS('Alternative 2-Tilt Up'!K75))+(((('Alternative 2'!$B$12-'Alternative 2'!$B$29)+(('Alternative 2'!$B$29-'Alternative 2'!$B$28)/2))*('Alternative 2'!$B$39)*COS('Alternative 2-Tilt Up'!K75)))</f>
        <v>94596.253463600631</v>
      </c>
      <c r="P75" s="77">
        <f t="shared" si="19"/>
        <v>21025.619106942308</v>
      </c>
      <c r="R75" s="78" t="e">
        <f>'Alternative 2'!$B$39*$B75*$C75*COS($K$5)-($N$5/3)*$E75*SIN($K$5)-($N$5/3)*$F75*SIN($K$5)-($N$5/3)*$G75*SIN($K$5)</f>
        <v>#VALUE!</v>
      </c>
      <c r="S75" s="79" t="e">
        <f>IF(($A75&lt;'Alternative 2'!$B$27),(($H75*'Alternative 2'!$B$39)+(3*($N$5/3)*COS($K$5))),IF(($A75&lt;'Alternative 2'!$B$28),(($H75*'Alternative 2'!$B$39)+(2*(($N$5/3)*COS($K$5)))),IF(($A75&lt;'Alternative 2'!$B$29),(($H$3*'Alternative 2'!$B$39+(($N$5/3)*COS($K$5)))),($H75*'Alternative 2'!$B$39))))</f>
        <v>#VALUE!</v>
      </c>
      <c r="T75" s="78" t="e">
        <f>R75*'Alternative 2'!$K76/'Alternative 2'!$L76</f>
        <v>#VALUE!</v>
      </c>
      <c r="U75" s="78" t="e">
        <f>S75/'Alternative 2'!$M76</f>
        <v>#VALUE!</v>
      </c>
      <c r="V75" s="78" t="e">
        <f t="shared" si="20"/>
        <v>#VALUE!</v>
      </c>
      <c r="X75" s="78" t="e">
        <f>'Alternative 2'!$B$39*$B75*$C75*COS($K$13)-($N$12/3)*$E75*SIN($K$13)-($N$12/3)*$F75*SIN($K$13)-($N$12/3)*$G75*SIN($K$13)</f>
        <v>#VALUE!</v>
      </c>
      <c r="Y75" s="79" t="e">
        <f>IF(($A75&lt;'Alternative 2'!$B$27),(($H75*'Alternative 2'!$B$39)+(3*($N$12/3)*COS($K$13))),IF(($A75&lt;'Alternative 2'!$B$28),(($H75*'Alternative 2'!$B$39)+(2*(($N$12/3)*COS($K$13)))),IF(($A75&lt;'Alternative 2'!$B$29),(($H$3*'Alternative 2'!$B$39+(($N$12/3)*COS($K$13)))),($H75*'Alternative 2'!$B$39))))</f>
        <v>#VALUE!</v>
      </c>
      <c r="Z75" s="78" t="e">
        <f>X75*'Alternative 2'!$K76/'Alternative 2'!$L76</f>
        <v>#VALUE!</v>
      </c>
      <c r="AA75" s="78" t="e">
        <f>Y75/'Alternative 2'!$M76</f>
        <v>#VALUE!</v>
      </c>
      <c r="AB75" s="78" t="e">
        <f t="shared" si="21"/>
        <v>#VALUE!</v>
      </c>
      <c r="AD75" s="78" t="e">
        <f>'Alternative 2'!$B$39*$B75*$C75*COS($K$23)-($N$22/3)*$E75*SIN($K$23)-($N$22/3)*$F75*SIN($K$23)-($N$22/3)*$G75*SIN($K$23)</f>
        <v>#VALUE!</v>
      </c>
      <c r="AE75" s="79" t="e">
        <f>IF(($A75&lt;'Alternative 2'!$B$27),(($H75*'Alternative 2'!$B$39)+(3*($N$22/3)*COS($K$23))),IF(($A75&lt;'Alternative 2'!$B$28),(($H75*'Alternative 2'!$B$39)+(2*(($N$22/3)*COS($K$23)))),IF(($A75&lt;'Alternative 2'!$B$29),(($H$3*'Alternative 2'!$B$39+(($N$22/3)*COS($K$23)))),($H75*'Alternative 2'!$B$39))))</f>
        <v>#VALUE!</v>
      </c>
      <c r="AF75" s="78" t="e">
        <f>AD75*'Alternative 2'!$K76/'Alternative 2'!$L76</f>
        <v>#VALUE!</v>
      </c>
      <c r="AG75" s="78" t="e">
        <f>AE75/'Alternative 2'!$M76</f>
        <v>#VALUE!</v>
      </c>
      <c r="AH75" s="78" t="e">
        <f t="shared" si="22"/>
        <v>#VALUE!</v>
      </c>
      <c r="AJ75" s="78" t="e">
        <f>'Alternative 2'!$B$39*$B75*$C75*COS($K$33)-($N$32/3)*$E75*SIN($K$33)-($N$32/3)*$F75*SIN($K$33)-($N$32/3)*$G75*SIN($K$33)</f>
        <v>#VALUE!</v>
      </c>
      <c r="AK75" s="79" t="e">
        <f>IF(($A75&lt;'Alternative 2'!$B$27),(($H75*'Alternative 2'!$B$39)+(3*($N$32/3)*COS($K$33))),IF(($A75&lt;'Alternative 2'!$B$28),(($H75*'Alternative 2'!$B$39)+(2*(($N$32/3)*COS($K$33)))),IF(($A75&lt;'Alternative 2'!$B$29),(($H$3*'Alternative 2'!$B$39+(($N$32/3)*COS($K$33)))),($H75*'Alternative 2'!$B$39))))</f>
        <v>#VALUE!</v>
      </c>
      <c r="AL75" s="78" t="e">
        <f>AJ75*'Alternative 2'!$K76/'Alternative 2'!$L76</f>
        <v>#VALUE!</v>
      </c>
      <c r="AM75" s="78" t="e">
        <f>AK75/'Alternative 2'!$M76</f>
        <v>#VALUE!</v>
      </c>
      <c r="AN75" s="78" t="e">
        <f t="shared" si="23"/>
        <v>#VALUE!</v>
      </c>
      <c r="AP75" s="78" t="e">
        <f>'Alternative 2'!$B$39*$B75*$C75*COS($K$43)-($N$42/3)*$E75*SIN($K$43)-($N$42/3)*$F75*SIN($K$43)-($N$42/3)*$G75*SIN($K$43)</f>
        <v>#VALUE!</v>
      </c>
      <c r="AQ75" s="79" t="e">
        <f>IF(($A75&lt;'Alternative 2'!$B$27),(($H75*'Alternative 2'!$B$39)+(3*($N$42/3)*COS($K$43))),IF(($A75&lt;'Alternative 2'!$B$28),(($H75*'Alternative 2'!$B$39)+(2*(($N$42/3)*COS($K$43)))),IF(($A75&lt;'Alternative 2'!$B$29),(($H$3*'Alternative 2'!$B$39+(($N$42/3)*COS($K$43)))),($H75*'Alternative 2'!$B$39))))</f>
        <v>#VALUE!</v>
      </c>
      <c r="AR75" s="78" t="e">
        <f>AP75*'Alternative 2'!$K76/'Alternative 2'!$L76</f>
        <v>#VALUE!</v>
      </c>
      <c r="AS75" s="78" t="e">
        <f>AQ75/'Alternative 2'!$M76</f>
        <v>#VALUE!</v>
      </c>
      <c r="AT75" s="78" t="e">
        <f t="shared" si="24"/>
        <v>#VALUE!</v>
      </c>
      <c r="AV75" s="78" t="e">
        <f>'Alternative 2'!$B$39*$B75*$C75*COS($K$53)-($N$52/3)*$E75*SIN($K$53)-($N$52/3)*$F75*SIN($K$53)-($N$52/3)*$G75*SIN($K$53)</f>
        <v>#VALUE!</v>
      </c>
      <c r="AW75" s="79" t="e">
        <f>IF(($A75&lt;'Alternative 2'!$B$27),(($H75*'Alternative 2'!$B$39)+(3*($N$52/3)*COS($K$53))),IF(($A75&lt;'Alternative 2'!$B$28),(($H75*'Alternative 2'!$B$39)+(2*(($N$52/3)*COS($K$53)))),IF(($A75&lt;'Alternative 2'!$B$29),(($H$3*'Alternative 2'!$B$39+(($N$52/3)*COS($K$53)))),($H75*'Alternative 2'!$B$39))))</f>
        <v>#VALUE!</v>
      </c>
      <c r="AX75" s="78" t="e">
        <f>AV75*'Alternative 2'!$K76/'Alternative 2'!$L76</f>
        <v>#VALUE!</v>
      </c>
      <c r="AY75" s="78" t="e">
        <f>AW75/'Alternative 2'!$M76</f>
        <v>#VALUE!</v>
      </c>
      <c r="AZ75" s="78" t="e">
        <f t="shared" si="25"/>
        <v>#VALUE!</v>
      </c>
      <c r="BB75" s="78" t="e">
        <f>'Alternative 2'!$B$39*$B75*$C75*COS($K$63)-($N$62/3)*$E75*SIN($K$63)-($N$62/3)*$F75*SIN($K$63)-($N$62/3)*$G75*SIN($K$63)</f>
        <v>#VALUE!</v>
      </c>
      <c r="BC75" s="79" t="e">
        <f>IF(($A75&lt;'Alternative 2'!$B$27),(($H75*'Alternative 2'!$B$39)+(3*($N$62/3)*COS($K$63))),IF(($A75&lt;'Alternative 2'!$B$28),(($H75*'Alternative 2'!$B$39)+(2*(($N$62/3)*COS($K$63)))),IF(($A75&lt;'Alternative 2'!$B$29),(($H$3*'Alternative 2'!$B$39+(($N$62/3)*COS($K$63)))),($H75*'Alternative 2'!$B$39))))</f>
        <v>#VALUE!</v>
      </c>
      <c r="BD75" s="78" t="e">
        <f>BB75*'Alternative 2'!$K76/'Alternative 2'!$L76</f>
        <v>#VALUE!</v>
      </c>
      <c r="BE75" s="78" t="e">
        <f>BC75/'Alternative 2'!$M76</f>
        <v>#VALUE!</v>
      </c>
      <c r="BF75" s="78" t="e">
        <f t="shared" si="26"/>
        <v>#VALUE!</v>
      </c>
      <c r="BH75" s="78" t="e">
        <f>'Alternative 2'!$B$39*$B75*$C75*COS($K$73)-($N$72/3)*$E75*SIN($K$73)-($N$72/3)*$F75*SIN($K$73)-($N$72/3)*$G75*SIN($K$73)</f>
        <v>#VALUE!</v>
      </c>
      <c r="BI75" s="79" t="e">
        <f>IF(($A75&lt;'Alternative 2'!$B$27),(($H75*'Alternative 2'!$B$39)+(3*($N$72/3)*COS($K$73))),IF(($A75&lt;'Alternative 2'!$B$28),(($H75*'Alternative 2'!$B$39)+(2*(($N$72/3)*COS($K$73)))),IF(($A75&lt;'Alternative 2'!$B$29),(($H$3*'Alternative 2'!$B$39+(($N$72/3)*COS($K$73)))),($H75*'Alternative 2'!$B$39))))</f>
        <v>#VALUE!</v>
      </c>
      <c r="BJ75" s="78" t="e">
        <f>BH75*'Alternative 2'!$K76/'Alternative 2'!$L76</f>
        <v>#VALUE!</v>
      </c>
      <c r="BK75" s="78" t="e">
        <f>BI75/'Alternative 2'!$M76</f>
        <v>#VALUE!</v>
      </c>
      <c r="BL75" s="78" t="e">
        <f t="shared" si="27"/>
        <v>#VALUE!</v>
      </c>
      <c r="BN75" s="78" t="e">
        <f>'Alternative 2'!$B$39*$B75*$C75*COS($K$83)-($N$82/3)*$E75*SIN($K$83)-($N$82/3)*$F75*SIN($K$83)-($N$82/3)*$G75*SIN($K$83)</f>
        <v>#VALUE!</v>
      </c>
      <c r="BO75" s="79" t="e">
        <f>IF(($A75&lt;'Alternative 2'!$B$27),(($H75*'Alternative 2'!$B$39)+(3*($N$82/3)*COS($K$83))),IF(($A75&lt;'Alternative 2'!$B$28),(($H75*'Alternative 2'!$B$39)+(2*(($N$82/3)*COS($K$83)))),IF(($A75&lt;'Alternative 2'!$B$29),(($H$3*'Alternative 2'!$B$39+(($N$82/3)*COS($K$83)))),($H75*'Alternative 2'!$B$39))))</f>
        <v>#VALUE!</v>
      </c>
      <c r="BP75" s="78" t="e">
        <f>BN75*'Alternative 2'!$K76/'Alternative 2'!$L76</f>
        <v>#VALUE!</v>
      </c>
      <c r="BQ75" s="78" t="e">
        <f>BO75/'Alternative 2'!$M76</f>
        <v>#VALUE!</v>
      </c>
      <c r="BR75" s="78" t="e">
        <f t="shared" si="28"/>
        <v>#VALUE!</v>
      </c>
      <c r="BT75" s="78" t="e">
        <f>'Alternative 2'!$B$39*$B75*$C75*COS($K$93)-($K$92/3)*$E75*SIN($K$93)-($K$92/3)*$F75*SIN($K$93)-($K$92/3)*$G75*SIN($K$93)</f>
        <v>#VALUE!</v>
      </c>
      <c r="BU75" s="79" t="e">
        <f>IF(($A75&lt;'Alternative 2'!$B$27),(($H75*'Alternative 2'!$B$39)+(3*($N$92/3)*COS($K$93))),IF(($A75&lt;'Alternative 2'!$B$28),(($H75*'Alternative 2'!$B$39)+(2*(($N$92/3)*COS($K$93)))),IF(($A75&lt;'Alternative 2'!$B$29),(($H$3*'Alternative 2'!$B$39+(($N$92/3)*COS($K$93)))),($H75*'Alternative 2'!$B$39))))</f>
        <v>#VALUE!</v>
      </c>
      <c r="BV75" s="78" t="e">
        <f>BT75*'Alternative 2'!$K76/'Alternative 2'!$L76</f>
        <v>#VALUE!</v>
      </c>
      <c r="BW75" s="78" t="e">
        <f>BU75/'Alternative 2'!$M76</f>
        <v>#VALUE!</v>
      </c>
      <c r="BX75" s="78" t="e">
        <f t="shared" si="29"/>
        <v>#VALUE!</v>
      </c>
    </row>
    <row r="76" spans="1:79" ht="15" customHeight="1" x14ac:dyDescent="0.25">
      <c r="A76" s="13" t="str">
        <f>IF('Alternative 2'!F77&gt;0,'Alternative 2'!F77,"x")</f>
        <v>x</v>
      </c>
      <c r="B76" s="13" t="e">
        <f t="shared" si="35"/>
        <v>#VALUE!</v>
      </c>
      <c r="C76" s="13">
        <f t="shared" si="30"/>
        <v>0</v>
      </c>
      <c r="D76" s="13" t="str">
        <f t="shared" si="31"/>
        <v>x</v>
      </c>
      <c r="E76" s="74">
        <f>IF($A76&lt;='Alternative 2'!$B$27, IF($A76='Alternative 2'!$B$27,0,E77+1),0)</f>
        <v>0</v>
      </c>
      <c r="F76" s="74">
        <f>IF($A76&lt;=('Alternative 2'!$B$28), IF($A76=ROUNDDOWN('Alternative 2'!$B$28,0),0,F77+1),0)</f>
        <v>0</v>
      </c>
      <c r="G76" s="74">
        <f>IF($A76&lt;=('Alternative 2'!$B$29), IF($A76=ROUNDDOWN('Alternative 2'!$B$29,0),0,G77+1),0)</f>
        <v>0</v>
      </c>
      <c r="H76" s="13" t="e">
        <f t="shared" si="32"/>
        <v>#VALUE!</v>
      </c>
      <c r="J76" s="77">
        <f t="shared" si="33"/>
        <v>73</v>
      </c>
      <c r="K76" s="77">
        <f t="shared" si="34"/>
        <v>1.2740903539558606</v>
      </c>
      <c r="L76" s="78">
        <f>'Alternative 2'!$B$27*SIN(K76)+'Alternative 2'!$B$28*SIN(K76)+'Alternative 2'!$B$29*SIN(K76)</f>
        <v>65.028723405486417</v>
      </c>
      <c r="M76" s="77">
        <f>(('Alternative 2'!$B$27)*(((('Alternative 2'!$B$28-'Alternative 2'!$B$27)/2)+'Alternative 2'!$B$27)*'Alternative 2'!$B$39)*COS('Alternative 2-Tilt Up'!K76))+(('Alternative 2'!$B$28)*((('Alternative 2'!$B$28-'Alternative 2'!$B$27)/2)+(('Alternative 2'!$B$29-'Alternative 2'!$B$28)/2))*('Alternative 2'!$B$39)*COS('Alternative 2-Tilt Up'!K76))+(('Alternative 2'!$B$29)*((('Alternative 2'!$B$12-'Alternative 2'!$B$29+(('Alternative 2'!$B$29-'Alternative 2'!$B$28)/2)*('Alternative 2'!$B$39)*COS('Alternative 2-Tilt Up'!K76)))))</f>
        <v>1387767.4141072561</v>
      </c>
      <c r="N76" s="77">
        <f t="shared" si="18"/>
        <v>64022.512272946049</v>
      </c>
      <c r="O76" s="77">
        <f>(((('Alternative 2'!$B$28-'Alternative 2'!$B$27)/2)+'Alternative 2'!$B$27)*('Alternative 2'!$B$39)*COS('Alternative 2-Tilt Up'!K76))+(((('Alternative 2'!$B$28-'Alternative 2'!$B$27)/2)+(('Alternative 2'!$B$29-'Alternative 2'!$B$28)/2))*('Alternative 2'!$B$39)*COS('Alternative 2-Tilt Up'!K76))+(((('Alternative 2'!$B$12-'Alternative 2'!$B$29)+(('Alternative 2'!$B$29-'Alternative 2'!$B$28)/2))*('Alternative 2'!$B$39)*COS('Alternative 2-Tilt Up'!K76)))</f>
        <v>89500.798949519623</v>
      </c>
      <c r="P76" s="77">
        <f t="shared" si="19"/>
        <v>18718.371053873572</v>
      </c>
      <c r="R76" s="78" t="e">
        <f>'Alternative 2'!$B$39*$B76*$C76*COS($K$5)-($N$5/3)*$E76*SIN($K$5)-($N$5/3)*$F76*SIN($K$5)-($N$5/3)*$G76*SIN($K$5)</f>
        <v>#VALUE!</v>
      </c>
      <c r="S76" s="79" t="e">
        <f>IF(($A76&lt;'Alternative 2'!$B$27),(($H76*'Alternative 2'!$B$39)+(3*($N$5/3)*COS($K$5))),IF(($A76&lt;'Alternative 2'!$B$28),(($H76*'Alternative 2'!$B$39)+(2*(($N$5/3)*COS($K$5)))),IF(($A76&lt;'Alternative 2'!$B$29),(($H$3*'Alternative 2'!$B$39+(($N$5/3)*COS($K$5)))),($H76*'Alternative 2'!$B$39))))</f>
        <v>#VALUE!</v>
      </c>
      <c r="T76" s="78" t="e">
        <f>R76*'Alternative 2'!$K77/'Alternative 2'!$L77</f>
        <v>#VALUE!</v>
      </c>
      <c r="U76" s="78" t="e">
        <f>S76/'Alternative 2'!$M77</f>
        <v>#VALUE!</v>
      </c>
      <c r="V76" s="78" t="e">
        <f t="shared" si="20"/>
        <v>#VALUE!</v>
      </c>
      <c r="X76" s="78" t="e">
        <f>'Alternative 2'!$B$39*$B76*$C76*COS($K$13)-($N$12/3)*$E76*SIN($K$13)-($N$12/3)*$F76*SIN($K$13)-($N$12/3)*$G76*SIN($K$13)</f>
        <v>#VALUE!</v>
      </c>
      <c r="Y76" s="79" t="e">
        <f>IF(($A76&lt;'Alternative 2'!$B$27),(($H76*'Alternative 2'!$B$39)+(3*($N$12/3)*COS($K$13))),IF(($A76&lt;'Alternative 2'!$B$28),(($H76*'Alternative 2'!$B$39)+(2*(($N$12/3)*COS($K$13)))),IF(($A76&lt;'Alternative 2'!$B$29),(($H$3*'Alternative 2'!$B$39+(($N$12/3)*COS($K$13)))),($H76*'Alternative 2'!$B$39))))</f>
        <v>#VALUE!</v>
      </c>
      <c r="Z76" s="78" t="e">
        <f>X76*'Alternative 2'!$K77/'Alternative 2'!$L77</f>
        <v>#VALUE!</v>
      </c>
      <c r="AA76" s="78" t="e">
        <f>Y76/'Alternative 2'!$M77</f>
        <v>#VALUE!</v>
      </c>
      <c r="AB76" s="78" t="e">
        <f t="shared" si="21"/>
        <v>#VALUE!</v>
      </c>
      <c r="AD76" s="78" t="e">
        <f>'Alternative 2'!$B$39*$B76*$C76*COS($K$23)-($N$22/3)*$E76*SIN($K$23)-($N$22/3)*$F76*SIN($K$23)-($N$22/3)*$G76*SIN($K$23)</f>
        <v>#VALUE!</v>
      </c>
      <c r="AE76" s="79" t="e">
        <f>IF(($A76&lt;'Alternative 2'!$B$27),(($H76*'Alternative 2'!$B$39)+(3*($N$22/3)*COS($K$23))),IF(($A76&lt;'Alternative 2'!$B$28),(($H76*'Alternative 2'!$B$39)+(2*(($N$22/3)*COS($K$23)))),IF(($A76&lt;'Alternative 2'!$B$29),(($H$3*'Alternative 2'!$B$39+(($N$22/3)*COS($K$23)))),($H76*'Alternative 2'!$B$39))))</f>
        <v>#VALUE!</v>
      </c>
      <c r="AF76" s="78" t="e">
        <f>AD76*'Alternative 2'!$K77/'Alternative 2'!$L77</f>
        <v>#VALUE!</v>
      </c>
      <c r="AG76" s="78" t="e">
        <f>AE76/'Alternative 2'!$M77</f>
        <v>#VALUE!</v>
      </c>
      <c r="AH76" s="78" t="e">
        <f t="shared" si="22"/>
        <v>#VALUE!</v>
      </c>
      <c r="AJ76" s="78" t="e">
        <f>'Alternative 2'!$B$39*$B76*$C76*COS($K$33)-($N$32/3)*$E76*SIN($K$33)-($N$32/3)*$F76*SIN($K$33)-($N$32/3)*$G76*SIN($K$33)</f>
        <v>#VALUE!</v>
      </c>
      <c r="AK76" s="79" t="e">
        <f>IF(($A76&lt;'Alternative 2'!$B$27),(($H76*'Alternative 2'!$B$39)+(3*($N$32/3)*COS($K$33))),IF(($A76&lt;'Alternative 2'!$B$28),(($H76*'Alternative 2'!$B$39)+(2*(($N$32/3)*COS($K$33)))),IF(($A76&lt;'Alternative 2'!$B$29),(($H$3*'Alternative 2'!$B$39+(($N$32/3)*COS($K$33)))),($H76*'Alternative 2'!$B$39))))</f>
        <v>#VALUE!</v>
      </c>
      <c r="AL76" s="78" t="e">
        <f>AJ76*'Alternative 2'!$K77/'Alternative 2'!$L77</f>
        <v>#VALUE!</v>
      </c>
      <c r="AM76" s="78" t="e">
        <f>AK76/'Alternative 2'!$M77</f>
        <v>#VALUE!</v>
      </c>
      <c r="AN76" s="78" t="e">
        <f t="shared" si="23"/>
        <v>#VALUE!</v>
      </c>
      <c r="AP76" s="78" t="e">
        <f>'Alternative 2'!$B$39*$B76*$C76*COS($K$43)-($N$42/3)*$E76*SIN($K$43)-($N$42/3)*$F76*SIN($K$43)-($N$42/3)*$G76*SIN($K$43)</f>
        <v>#VALUE!</v>
      </c>
      <c r="AQ76" s="79" t="e">
        <f>IF(($A76&lt;'Alternative 2'!$B$27),(($H76*'Alternative 2'!$B$39)+(3*($N$42/3)*COS($K$43))),IF(($A76&lt;'Alternative 2'!$B$28),(($H76*'Alternative 2'!$B$39)+(2*(($N$42/3)*COS($K$43)))),IF(($A76&lt;'Alternative 2'!$B$29),(($H$3*'Alternative 2'!$B$39+(($N$42/3)*COS($K$43)))),($H76*'Alternative 2'!$B$39))))</f>
        <v>#VALUE!</v>
      </c>
      <c r="AR76" s="78" t="e">
        <f>AP76*'Alternative 2'!$K77/'Alternative 2'!$L77</f>
        <v>#VALUE!</v>
      </c>
      <c r="AS76" s="78" t="e">
        <f>AQ76/'Alternative 2'!$M77</f>
        <v>#VALUE!</v>
      </c>
      <c r="AT76" s="78" t="e">
        <f t="shared" si="24"/>
        <v>#VALUE!</v>
      </c>
      <c r="AV76" s="78" t="e">
        <f>'Alternative 2'!$B$39*$B76*$C76*COS($K$53)-($N$52/3)*$E76*SIN($K$53)-($N$52/3)*$F76*SIN($K$53)-($N$52/3)*$G76*SIN($K$53)</f>
        <v>#VALUE!</v>
      </c>
      <c r="AW76" s="79" t="e">
        <f>IF(($A76&lt;'Alternative 2'!$B$27),(($H76*'Alternative 2'!$B$39)+(3*($N$52/3)*COS($K$53))),IF(($A76&lt;'Alternative 2'!$B$28),(($H76*'Alternative 2'!$B$39)+(2*(($N$52/3)*COS($K$53)))),IF(($A76&lt;'Alternative 2'!$B$29),(($H$3*'Alternative 2'!$B$39+(($N$52/3)*COS($K$53)))),($H76*'Alternative 2'!$B$39))))</f>
        <v>#VALUE!</v>
      </c>
      <c r="AX76" s="78" t="e">
        <f>AV76*'Alternative 2'!$K77/'Alternative 2'!$L77</f>
        <v>#VALUE!</v>
      </c>
      <c r="AY76" s="78" t="e">
        <f>AW76/'Alternative 2'!$M77</f>
        <v>#VALUE!</v>
      </c>
      <c r="AZ76" s="78" t="e">
        <f t="shared" si="25"/>
        <v>#VALUE!</v>
      </c>
      <c r="BB76" s="78" t="e">
        <f>'Alternative 2'!$B$39*$B76*$C76*COS($K$63)-($N$62/3)*$E76*SIN($K$63)-($N$62/3)*$F76*SIN($K$63)-($N$62/3)*$G76*SIN($K$63)</f>
        <v>#VALUE!</v>
      </c>
      <c r="BC76" s="79" t="e">
        <f>IF(($A76&lt;'Alternative 2'!$B$27),(($H76*'Alternative 2'!$B$39)+(3*($N$62/3)*COS($K$63))),IF(($A76&lt;'Alternative 2'!$B$28),(($H76*'Alternative 2'!$B$39)+(2*(($N$62/3)*COS($K$63)))),IF(($A76&lt;'Alternative 2'!$B$29),(($H$3*'Alternative 2'!$B$39+(($N$62/3)*COS($K$63)))),($H76*'Alternative 2'!$B$39))))</f>
        <v>#VALUE!</v>
      </c>
      <c r="BD76" s="78" t="e">
        <f>BB76*'Alternative 2'!$K77/'Alternative 2'!$L77</f>
        <v>#VALUE!</v>
      </c>
      <c r="BE76" s="78" t="e">
        <f>BC76/'Alternative 2'!$M77</f>
        <v>#VALUE!</v>
      </c>
      <c r="BF76" s="78" t="e">
        <f t="shared" si="26"/>
        <v>#VALUE!</v>
      </c>
      <c r="BH76" s="78" t="e">
        <f>'Alternative 2'!$B$39*$B76*$C76*COS($K$73)-($N$72/3)*$E76*SIN($K$73)-($N$72/3)*$F76*SIN($K$73)-($N$72/3)*$G76*SIN($K$73)</f>
        <v>#VALUE!</v>
      </c>
      <c r="BI76" s="79" t="e">
        <f>IF(($A76&lt;'Alternative 2'!$B$27),(($H76*'Alternative 2'!$B$39)+(3*($N$72/3)*COS($K$73))),IF(($A76&lt;'Alternative 2'!$B$28),(($H76*'Alternative 2'!$B$39)+(2*(($N$72/3)*COS($K$73)))),IF(($A76&lt;'Alternative 2'!$B$29),(($H$3*'Alternative 2'!$B$39+(($N$72/3)*COS($K$73)))),($H76*'Alternative 2'!$B$39))))</f>
        <v>#VALUE!</v>
      </c>
      <c r="BJ76" s="78" t="e">
        <f>BH76*'Alternative 2'!$K77/'Alternative 2'!$L77</f>
        <v>#VALUE!</v>
      </c>
      <c r="BK76" s="78" t="e">
        <f>BI76/'Alternative 2'!$M77</f>
        <v>#VALUE!</v>
      </c>
      <c r="BL76" s="78" t="e">
        <f t="shared" si="27"/>
        <v>#VALUE!</v>
      </c>
      <c r="BN76" s="78" t="e">
        <f>'Alternative 2'!$B$39*$B76*$C76*COS($K$83)-($N$82/3)*$E76*SIN($K$83)-($N$82/3)*$F76*SIN($K$83)-($N$82/3)*$G76*SIN($K$83)</f>
        <v>#VALUE!</v>
      </c>
      <c r="BO76" s="79" t="e">
        <f>IF(($A76&lt;'Alternative 2'!$B$27),(($H76*'Alternative 2'!$B$39)+(3*($N$82/3)*COS($K$83))),IF(($A76&lt;'Alternative 2'!$B$28),(($H76*'Alternative 2'!$B$39)+(2*(($N$82/3)*COS($K$83)))),IF(($A76&lt;'Alternative 2'!$B$29),(($H$3*'Alternative 2'!$B$39+(($N$82/3)*COS($K$83)))),($H76*'Alternative 2'!$B$39))))</f>
        <v>#VALUE!</v>
      </c>
      <c r="BP76" s="78" t="e">
        <f>BN76*'Alternative 2'!$K77/'Alternative 2'!$L77</f>
        <v>#VALUE!</v>
      </c>
      <c r="BQ76" s="78" t="e">
        <f>BO76/'Alternative 2'!$M77</f>
        <v>#VALUE!</v>
      </c>
      <c r="BR76" s="78" t="e">
        <f t="shared" si="28"/>
        <v>#VALUE!</v>
      </c>
      <c r="BT76" s="78" t="e">
        <f>'Alternative 2'!$B$39*$B76*$C76*COS($K$93)-($K$92/3)*$E76*SIN($K$93)-($K$92/3)*$F76*SIN($K$93)-($K$92/3)*$G76*SIN($K$93)</f>
        <v>#VALUE!</v>
      </c>
      <c r="BU76" s="79" t="e">
        <f>IF(($A76&lt;'Alternative 2'!$B$27),(($H76*'Alternative 2'!$B$39)+(3*($N$92/3)*COS($K$93))),IF(($A76&lt;'Alternative 2'!$B$28),(($H76*'Alternative 2'!$B$39)+(2*(($N$92/3)*COS($K$93)))),IF(($A76&lt;'Alternative 2'!$B$29),(($H$3*'Alternative 2'!$B$39+(($N$92/3)*COS($K$93)))),($H76*'Alternative 2'!$B$39))))</f>
        <v>#VALUE!</v>
      </c>
      <c r="BV76" s="78" t="e">
        <f>BT76*'Alternative 2'!$K77/'Alternative 2'!$L77</f>
        <v>#VALUE!</v>
      </c>
      <c r="BW76" s="78" t="e">
        <f>BU76/'Alternative 2'!$M77</f>
        <v>#VALUE!</v>
      </c>
      <c r="BX76" s="78" t="e">
        <f t="shared" si="29"/>
        <v>#VALUE!</v>
      </c>
    </row>
    <row r="77" spans="1:79" ht="15" customHeight="1" x14ac:dyDescent="0.25">
      <c r="A77" s="13" t="str">
        <f>IF('Alternative 2'!F78&gt;0,'Alternative 2'!F78,"x")</f>
        <v>x</v>
      </c>
      <c r="B77" s="13" t="e">
        <f t="shared" si="35"/>
        <v>#VALUE!</v>
      </c>
      <c r="C77" s="13">
        <f t="shared" si="30"/>
        <v>0</v>
      </c>
      <c r="D77" s="13" t="str">
        <f t="shared" si="31"/>
        <v>x</v>
      </c>
      <c r="E77" s="74">
        <f>IF($A77&lt;='Alternative 2'!$B$27, IF($A77='Alternative 2'!$B$27,0,E78+1),0)</f>
        <v>0</v>
      </c>
      <c r="F77" s="74">
        <f>IF($A77&lt;=('Alternative 2'!$B$28), IF($A77=ROUNDDOWN('Alternative 2'!$B$28,0),0,F78+1),0)</f>
        <v>0</v>
      </c>
      <c r="G77" s="74">
        <f>IF($A77&lt;=('Alternative 2'!$B$29), IF($A77=ROUNDDOWN('Alternative 2'!$B$29,0),0,G78+1),0)</f>
        <v>0</v>
      </c>
      <c r="H77" s="13" t="e">
        <f t="shared" si="32"/>
        <v>#VALUE!</v>
      </c>
      <c r="J77" s="77">
        <f t="shared" si="33"/>
        <v>74</v>
      </c>
      <c r="K77" s="77">
        <f t="shared" si="34"/>
        <v>1.2915436464758039</v>
      </c>
      <c r="L77" s="78">
        <f>'Alternative 2'!$B$27*SIN(K77)+'Alternative 2'!$B$28*SIN(K77)+'Alternative 2'!$B$29*SIN(K77)</f>
        <v>65.365795323805685</v>
      </c>
      <c r="M77" s="77">
        <f>(('Alternative 2'!$B$27)*(((('Alternative 2'!$B$28-'Alternative 2'!$B$27)/2)+'Alternative 2'!$B$27)*'Alternative 2'!$B$39)*COS('Alternative 2-Tilt Up'!K77))+(('Alternative 2'!$B$28)*((('Alternative 2'!$B$28-'Alternative 2'!$B$27)/2)+(('Alternative 2'!$B$29-'Alternative 2'!$B$28)/2))*('Alternative 2'!$B$39)*COS('Alternative 2-Tilt Up'!K77))+(('Alternative 2'!$B$29)*((('Alternative 2'!$B$12-'Alternative 2'!$B$29+(('Alternative 2'!$B$29-'Alternative 2'!$B$28)/2)*('Alternative 2'!$B$39)*COS('Alternative 2-Tilt Up'!K77)))))</f>
        <v>1308347.5866290119</v>
      </c>
      <c r="N77" s="77">
        <f t="shared" si="18"/>
        <v>60047.349541811018</v>
      </c>
      <c r="O77" s="77">
        <f>(((('Alternative 2'!$B$28-'Alternative 2'!$B$27)/2)+'Alternative 2'!$B$27)*('Alternative 2'!$B$39)*COS('Alternative 2-Tilt Up'!K77))+(((('Alternative 2'!$B$28-'Alternative 2'!$B$27)/2)+(('Alternative 2'!$B$29-'Alternative 2'!$B$28)/2))*('Alternative 2'!$B$39)*COS('Alternative 2-Tilt Up'!K77))+(((('Alternative 2'!$B$12-'Alternative 2'!$B$29)+(('Alternative 2'!$B$29-'Alternative 2'!$B$28)/2))*('Alternative 2'!$B$39)*COS('Alternative 2-Tilt Up'!K77)))</f>
        <v>84378.081625064864</v>
      </c>
      <c r="P77" s="77">
        <f t="shared" si="19"/>
        <v>16551.292651523887</v>
      </c>
      <c r="R77" s="78" t="e">
        <f>'Alternative 2'!$B$39*$B77*$C77*COS($K$5)-($N$5/3)*$E77*SIN($K$5)-($N$5/3)*$F77*SIN($K$5)-($N$5/3)*$G77*SIN($K$5)</f>
        <v>#VALUE!</v>
      </c>
      <c r="S77" s="79" t="e">
        <f>IF(($A77&lt;'Alternative 2'!$B$27),(($H77*'Alternative 2'!$B$39)+(3*($N$5/3)*COS($K$5))),IF(($A77&lt;'Alternative 2'!$B$28),(($H77*'Alternative 2'!$B$39)+(2*(($N$5/3)*COS($K$5)))),IF(($A77&lt;'Alternative 2'!$B$29),(($H$3*'Alternative 2'!$B$39+(($N$5/3)*COS($K$5)))),($H77*'Alternative 2'!$B$39))))</f>
        <v>#VALUE!</v>
      </c>
      <c r="T77" s="78" t="e">
        <f>R77*'Alternative 2'!$K78/'Alternative 2'!$L78</f>
        <v>#VALUE!</v>
      </c>
      <c r="U77" s="78" t="e">
        <f>S77/'Alternative 2'!$M78</f>
        <v>#VALUE!</v>
      </c>
      <c r="V77" s="78" t="e">
        <f t="shared" si="20"/>
        <v>#VALUE!</v>
      </c>
      <c r="X77" s="78" t="e">
        <f>'Alternative 2'!$B$39*$B77*$C77*COS($K$13)-($N$12/3)*$E77*SIN($K$13)-($N$12/3)*$F77*SIN($K$13)-($N$12/3)*$G77*SIN($K$13)</f>
        <v>#VALUE!</v>
      </c>
      <c r="Y77" s="79" t="e">
        <f>IF(($A77&lt;'Alternative 2'!$B$27),(($H77*'Alternative 2'!$B$39)+(3*($N$12/3)*COS($K$13))),IF(($A77&lt;'Alternative 2'!$B$28),(($H77*'Alternative 2'!$B$39)+(2*(($N$12/3)*COS($K$13)))),IF(($A77&lt;'Alternative 2'!$B$29),(($H$3*'Alternative 2'!$B$39+(($N$12/3)*COS($K$13)))),($H77*'Alternative 2'!$B$39))))</f>
        <v>#VALUE!</v>
      </c>
      <c r="Z77" s="78" t="e">
        <f>X77*'Alternative 2'!$K78/'Alternative 2'!$L78</f>
        <v>#VALUE!</v>
      </c>
      <c r="AA77" s="78" t="e">
        <f>Y77/'Alternative 2'!$M78</f>
        <v>#VALUE!</v>
      </c>
      <c r="AB77" s="78" t="e">
        <f t="shared" si="21"/>
        <v>#VALUE!</v>
      </c>
      <c r="AD77" s="78" t="e">
        <f>'Alternative 2'!$B$39*$B77*$C77*COS($K$23)-($N$22/3)*$E77*SIN($K$23)-($N$22/3)*$F77*SIN($K$23)-($N$22/3)*$G77*SIN($K$23)</f>
        <v>#VALUE!</v>
      </c>
      <c r="AE77" s="79" t="e">
        <f>IF(($A77&lt;'Alternative 2'!$B$27),(($H77*'Alternative 2'!$B$39)+(3*($N$22/3)*COS($K$23))),IF(($A77&lt;'Alternative 2'!$B$28),(($H77*'Alternative 2'!$B$39)+(2*(($N$22/3)*COS($K$23)))),IF(($A77&lt;'Alternative 2'!$B$29),(($H$3*'Alternative 2'!$B$39+(($N$22/3)*COS($K$23)))),($H77*'Alternative 2'!$B$39))))</f>
        <v>#VALUE!</v>
      </c>
      <c r="AF77" s="78" t="e">
        <f>AD77*'Alternative 2'!$K78/'Alternative 2'!$L78</f>
        <v>#VALUE!</v>
      </c>
      <c r="AG77" s="78" t="e">
        <f>AE77/'Alternative 2'!$M78</f>
        <v>#VALUE!</v>
      </c>
      <c r="AH77" s="78" t="e">
        <f t="shared" si="22"/>
        <v>#VALUE!</v>
      </c>
      <c r="AJ77" s="78" t="e">
        <f>'Alternative 2'!$B$39*$B77*$C77*COS($K$33)-($N$32/3)*$E77*SIN($K$33)-($N$32/3)*$F77*SIN($K$33)-($N$32/3)*$G77*SIN($K$33)</f>
        <v>#VALUE!</v>
      </c>
      <c r="AK77" s="79" t="e">
        <f>IF(($A77&lt;'Alternative 2'!$B$27),(($H77*'Alternative 2'!$B$39)+(3*($N$32/3)*COS($K$33))),IF(($A77&lt;'Alternative 2'!$B$28),(($H77*'Alternative 2'!$B$39)+(2*(($N$32/3)*COS($K$33)))),IF(($A77&lt;'Alternative 2'!$B$29),(($H$3*'Alternative 2'!$B$39+(($N$32/3)*COS($K$33)))),($H77*'Alternative 2'!$B$39))))</f>
        <v>#VALUE!</v>
      </c>
      <c r="AL77" s="78" t="e">
        <f>AJ77*'Alternative 2'!$K78/'Alternative 2'!$L78</f>
        <v>#VALUE!</v>
      </c>
      <c r="AM77" s="78" t="e">
        <f>AK77/'Alternative 2'!$M78</f>
        <v>#VALUE!</v>
      </c>
      <c r="AN77" s="78" t="e">
        <f t="shared" si="23"/>
        <v>#VALUE!</v>
      </c>
      <c r="AP77" s="78" t="e">
        <f>'Alternative 2'!$B$39*$B77*$C77*COS($K$43)-($N$42/3)*$E77*SIN($K$43)-($N$42/3)*$F77*SIN($K$43)-($N$42/3)*$G77*SIN($K$43)</f>
        <v>#VALUE!</v>
      </c>
      <c r="AQ77" s="79" t="e">
        <f>IF(($A77&lt;'Alternative 2'!$B$27),(($H77*'Alternative 2'!$B$39)+(3*($N$42/3)*COS($K$43))),IF(($A77&lt;'Alternative 2'!$B$28),(($H77*'Alternative 2'!$B$39)+(2*(($N$42/3)*COS($K$43)))),IF(($A77&lt;'Alternative 2'!$B$29),(($H$3*'Alternative 2'!$B$39+(($N$42/3)*COS($K$43)))),($H77*'Alternative 2'!$B$39))))</f>
        <v>#VALUE!</v>
      </c>
      <c r="AR77" s="78" t="e">
        <f>AP77*'Alternative 2'!$K78/'Alternative 2'!$L78</f>
        <v>#VALUE!</v>
      </c>
      <c r="AS77" s="78" t="e">
        <f>AQ77/'Alternative 2'!$M78</f>
        <v>#VALUE!</v>
      </c>
      <c r="AT77" s="78" t="e">
        <f t="shared" si="24"/>
        <v>#VALUE!</v>
      </c>
      <c r="AV77" s="78" t="e">
        <f>'Alternative 2'!$B$39*$B77*$C77*COS($K$53)-($N$52/3)*$E77*SIN($K$53)-($N$52/3)*$F77*SIN($K$53)-($N$52/3)*$G77*SIN($K$53)</f>
        <v>#VALUE!</v>
      </c>
      <c r="AW77" s="79" t="e">
        <f>IF(($A77&lt;'Alternative 2'!$B$27),(($H77*'Alternative 2'!$B$39)+(3*($N$52/3)*COS($K$53))),IF(($A77&lt;'Alternative 2'!$B$28),(($H77*'Alternative 2'!$B$39)+(2*(($N$52/3)*COS($K$53)))),IF(($A77&lt;'Alternative 2'!$B$29),(($H$3*'Alternative 2'!$B$39+(($N$52/3)*COS($K$53)))),($H77*'Alternative 2'!$B$39))))</f>
        <v>#VALUE!</v>
      </c>
      <c r="AX77" s="78" t="e">
        <f>AV77*'Alternative 2'!$K78/'Alternative 2'!$L78</f>
        <v>#VALUE!</v>
      </c>
      <c r="AY77" s="78" t="e">
        <f>AW77/'Alternative 2'!$M78</f>
        <v>#VALUE!</v>
      </c>
      <c r="AZ77" s="78" t="e">
        <f t="shared" si="25"/>
        <v>#VALUE!</v>
      </c>
      <c r="BB77" s="78" t="e">
        <f>'Alternative 2'!$B$39*$B77*$C77*COS($K$63)-($N$62/3)*$E77*SIN($K$63)-($N$62/3)*$F77*SIN($K$63)-($N$62/3)*$G77*SIN($K$63)</f>
        <v>#VALUE!</v>
      </c>
      <c r="BC77" s="79" t="e">
        <f>IF(($A77&lt;'Alternative 2'!$B$27),(($H77*'Alternative 2'!$B$39)+(3*($N$62/3)*COS($K$63))),IF(($A77&lt;'Alternative 2'!$B$28),(($H77*'Alternative 2'!$B$39)+(2*(($N$62/3)*COS($K$63)))),IF(($A77&lt;'Alternative 2'!$B$29),(($H$3*'Alternative 2'!$B$39+(($N$62/3)*COS($K$63)))),($H77*'Alternative 2'!$B$39))))</f>
        <v>#VALUE!</v>
      </c>
      <c r="BD77" s="78" t="e">
        <f>BB77*'Alternative 2'!$K78/'Alternative 2'!$L78</f>
        <v>#VALUE!</v>
      </c>
      <c r="BE77" s="78" t="e">
        <f>BC77/'Alternative 2'!$M78</f>
        <v>#VALUE!</v>
      </c>
      <c r="BF77" s="78" t="e">
        <f t="shared" si="26"/>
        <v>#VALUE!</v>
      </c>
      <c r="BH77" s="78" t="e">
        <f>'Alternative 2'!$B$39*$B77*$C77*COS($K$73)-($N$72/3)*$E77*SIN($K$73)-($N$72/3)*$F77*SIN($K$73)-($N$72/3)*$G77*SIN($K$73)</f>
        <v>#VALUE!</v>
      </c>
      <c r="BI77" s="79" t="e">
        <f>IF(($A77&lt;'Alternative 2'!$B$27),(($H77*'Alternative 2'!$B$39)+(3*($N$72/3)*COS($K$73))),IF(($A77&lt;'Alternative 2'!$B$28),(($H77*'Alternative 2'!$B$39)+(2*(($N$72/3)*COS($K$73)))),IF(($A77&lt;'Alternative 2'!$B$29),(($H$3*'Alternative 2'!$B$39+(($N$72/3)*COS($K$73)))),($H77*'Alternative 2'!$B$39))))</f>
        <v>#VALUE!</v>
      </c>
      <c r="BJ77" s="78" t="e">
        <f>BH77*'Alternative 2'!$K78/'Alternative 2'!$L78</f>
        <v>#VALUE!</v>
      </c>
      <c r="BK77" s="78" t="e">
        <f>BI77/'Alternative 2'!$M78</f>
        <v>#VALUE!</v>
      </c>
      <c r="BL77" s="78" t="e">
        <f t="shared" si="27"/>
        <v>#VALUE!</v>
      </c>
      <c r="BN77" s="78" t="e">
        <f>'Alternative 2'!$B$39*$B77*$C77*COS($K$83)-($N$82/3)*$E77*SIN($K$83)-($N$82/3)*$F77*SIN($K$83)-($N$82/3)*$G77*SIN($K$83)</f>
        <v>#VALUE!</v>
      </c>
      <c r="BO77" s="79" t="e">
        <f>IF(($A77&lt;'Alternative 2'!$B$27),(($H77*'Alternative 2'!$B$39)+(3*($N$82/3)*COS($K$83))),IF(($A77&lt;'Alternative 2'!$B$28),(($H77*'Alternative 2'!$B$39)+(2*(($N$82/3)*COS($K$83)))),IF(($A77&lt;'Alternative 2'!$B$29),(($H$3*'Alternative 2'!$B$39+(($N$82/3)*COS($K$83)))),($H77*'Alternative 2'!$B$39))))</f>
        <v>#VALUE!</v>
      </c>
      <c r="BP77" s="78" t="e">
        <f>BN77*'Alternative 2'!$K78/'Alternative 2'!$L78</f>
        <v>#VALUE!</v>
      </c>
      <c r="BQ77" s="78" t="e">
        <f>BO77/'Alternative 2'!$M78</f>
        <v>#VALUE!</v>
      </c>
      <c r="BR77" s="78" t="e">
        <f t="shared" si="28"/>
        <v>#VALUE!</v>
      </c>
      <c r="BT77" s="78" t="e">
        <f>'Alternative 2'!$B$39*$B77*$C77*COS($K$93)-($K$92/3)*$E77*SIN($K$93)-($K$92/3)*$F77*SIN($K$93)-($K$92/3)*$G77*SIN($K$93)</f>
        <v>#VALUE!</v>
      </c>
      <c r="BU77" s="79" t="e">
        <f>IF(($A77&lt;'Alternative 2'!$B$27),(($H77*'Alternative 2'!$B$39)+(3*($N$92/3)*COS($K$93))),IF(($A77&lt;'Alternative 2'!$B$28),(($H77*'Alternative 2'!$B$39)+(2*(($N$92/3)*COS($K$93)))),IF(($A77&lt;'Alternative 2'!$B$29),(($H$3*'Alternative 2'!$B$39+(($N$92/3)*COS($K$93)))),($H77*'Alternative 2'!$B$39))))</f>
        <v>#VALUE!</v>
      </c>
      <c r="BV77" s="78" t="e">
        <f>BT77*'Alternative 2'!$K78/'Alternative 2'!$L78</f>
        <v>#VALUE!</v>
      </c>
      <c r="BW77" s="78" t="e">
        <f>BU77/'Alternative 2'!$M78</f>
        <v>#VALUE!</v>
      </c>
      <c r="BX77" s="78" t="e">
        <f t="shared" si="29"/>
        <v>#VALUE!</v>
      </c>
    </row>
    <row r="78" spans="1:79" ht="15" customHeight="1" x14ac:dyDescent="0.25">
      <c r="A78" s="13" t="str">
        <f>IF('Alternative 2'!F79&gt;0,'Alternative 2'!F79,"x")</f>
        <v>x</v>
      </c>
      <c r="B78" s="13" t="e">
        <f t="shared" si="35"/>
        <v>#VALUE!</v>
      </c>
      <c r="C78" s="13">
        <f t="shared" si="30"/>
        <v>0</v>
      </c>
      <c r="D78" s="13" t="str">
        <f t="shared" si="31"/>
        <v>x</v>
      </c>
      <c r="E78" s="74">
        <f>IF($A78&lt;='Alternative 2'!$B$27, IF($A78='Alternative 2'!$B$27,0,E79+1),0)</f>
        <v>0</v>
      </c>
      <c r="F78" s="74">
        <f>IF($A78&lt;=('Alternative 2'!$B$28), IF($A78=ROUNDDOWN('Alternative 2'!$B$28,0),0,F79+1),0)</f>
        <v>0</v>
      </c>
      <c r="G78" s="74">
        <f>IF($A78&lt;=('Alternative 2'!$B$29), IF($A78=ROUNDDOWN('Alternative 2'!$B$29,0),0,G79+1),0)</f>
        <v>0</v>
      </c>
      <c r="H78" s="13" t="e">
        <f t="shared" si="32"/>
        <v>#VALUE!</v>
      </c>
      <c r="J78" s="77">
        <f t="shared" si="33"/>
        <v>75</v>
      </c>
      <c r="K78" s="77">
        <f t="shared" si="34"/>
        <v>1.3089969389957472</v>
      </c>
      <c r="L78" s="78">
        <f>'Alternative 2'!$B$27*SIN(K78)+'Alternative 2'!$B$28*SIN(K78)+'Alternative 2'!$B$29*SIN(K78)</f>
        <v>65.682956187656643</v>
      </c>
      <c r="M78" s="77">
        <f>(('Alternative 2'!$B$27)*(((('Alternative 2'!$B$28-'Alternative 2'!$B$27)/2)+'Alternative 2'!$B$27)*'Alternative 2'!$B$39)*COS('Alternative 2-Tilt Up'!K78))+(('Alternative 2'!$B$28)*((('Alternative 2'!$B$28-'Alternative 2'!$B$27)/2)+(('Alternative 2'!$B$29-'Alternative 2'!$B$28)/2))*('Alternative 2'!$B$39)*COS('Alternative 2-Tilt Up'!K78))+(('Alternative 2'!$B$29)*((('Alternative 2'!$B$12-'Alternative 2'!$B$29+(('Alternative 2'!$B$29-'Alternative 2'!$B$28)/2)*('Alternative 2'!$B$39)*COS('Alternative 2-Tilt Up'!K78)))))</f>
        <v>1228529.2833927616</v>
      </c>
      <c r="N78" s="77">
        <f t="shared" si="18"/>
        <v>56111.784001446824</v>
      </c>
      <c r="O78" s="77">
        <f>(((('Alternative 2'!$B$28-'Alternative 2'!$B$27)/2)+'Alternative 2'!$B$27)*('Alternative 2'!$B$39)*COS('Alternative 2-Tilt Up'!K78))+(((('Alternative 2'!$B$28-'Alternative 2'!$B$27)/2)+(('Alternative 2'!$B$29-'Alternative 2'!$B$28)/2))*('Alternative 2'!$B$39)*COS('Alternative 2-Tilt Up'!K78))+(((('Alternative 2'!$B$12-'Alternative 2'!$B$29)+(('Alternative 2'!$B$29-'Alternative 2'!$B$28)/2))*('Alternative 2'!$B$39)*COS('Alternative 2-Tilt Up'!K78)))</f>
        <v>79229.661919558304</v>
      </c>
      <c r="P78" s="77">
        <f t="shared" si="19"/>
        <v>14522.798354253368</v>
      </c>
      <c r="R78" s="78" t="e">
        <f>'Alternative 2'!$B$39*$B78*$C78*COS($K$5)-($N$5/3)*$E78*SIN($K$5)-($N$5/3)*$F78*SIN($K$5)-($N$5/3)*$G78*SIN($K$5)</f>
        <v>#VALUE!</v>
      </c>
      <c r="S78" s="79" t="e">
        <f>IF(($A78&lt;'Alternative 2'!$B$27),(($H78*'Alternative 2'!$B$39)+(3*($N$5/3)*COS($K$5))),IF(($A78&lt;'Alternative 2'!$B$28),(($H78*'Alternative 2'!$B$39)+(2*(($N$5/3)*COS($K$5)))),IF(($A78&lt;'Alternative 2'!$B$29),(($H$3*'Alternative 2'!$B$39+(($N$5/3)*COS($K$5)))),($H78*'Alternative 2'!$B$39))))</f>
        <v>#VALUE!</v>
      </c>
      <c r="T78" s="78" t="e">
        <f>R78*'Alternative 2'!$K79/'Alternative 2'!$L79</f>
        <v>#VALUE!</v>
      </c>
      <c r="U78" s="78" t="e">
        <f>S78/'Alternative 2'!$M79</f>
        <v>#VALUE!</v>
      </c>
      <c r="V78" s="78" t="e">
        <f t="shared" si="20"/>
        <v>#VALUE!</v>
      </c>
      <c r="X78" s="78" t="e">
        <f>'Alternative 2'!$B$39*$B78*$C78*COS($K$13)-($N$12/3)*$E78*SIN($K$13)-($N$12/3)*$F78*SIN($K$13)-($N$12/3)*$G78*SIN($K$13)</f>
        <v>#VALUE!</v>
      </c>
      <c r="Y78" s="79" t="e">
        <f>IF(($A78&lt;'Alternative 2'!$B$27),(($H78*'Alternative 2'!$B$39)+(3*($N$12/3)*COS($K$13))),IF(($A78&lt;'Alternative 2'!$B$28),(($H78*'Alternative 2'!$B$39)+(2*(($N$12/3)*COS($K$13)))),IF(($A78&lt;'Alternative 2'!$B$29),(($H$3*'Alternative 2'!$B$39+(($N$12/3)*COS($K$13)))),($H78*'Alternative 2'!$B$39))))</f>
        <v>#VALUE!</v>
      </c>
      <c r="Z78" s="78" t="e">
        <f>X78*'Alternative 2'!$K79/'Alternative 2'!$L79</f>
        <v>#VALUE!</v>
      </c>
      <c r="AA78" s="78" t="e">
        <f>Y78/'Alternative 2'!$M79</f>
        <v>#VALUE!</v>
      </c>
      <c r="AB78" s="78" t="e">
        <f t="shared" si="21"/>
        <v>#VALUE!</v>
      </c>
      <c r="AD78" s="78" t="e">
        <f>'Alternative 2'!$B$39*$B78*$C78*COS($K$23)-($N$22/3)*$E78*SIN($K$23)-($N$22/3)*$F78*SIN($K$23)-($N$22/3)*$G78*SIN($K$23)</f>
        <v>#VALUE!</v>
      </c>
      <c r="AE78" s="79" t="e">
        <f>IF(($A78&lt;'Alternative 2'!$B$27),(($H78*'Alternative 2'!$B$39)+(3*($N$22/3)*COS($K$23))),IF(($A78&lt;'Alternative 2'!$B$28),(($H78*'Alternative 2'!$B$39)+(2*(($N$22/3)*COS($K$23)))),IF(($A78&lt;'Alternative 2'!$B$29),(($H$3*'Alternative 2'!$B$39+(($N$22/3)*COS($K$23)))),($H78*'Alternative 2'!$B$39))))</f>
        <v>#VALUE!</v>
      </c>
      <c r="AF78" s="78" t="e">
        <f>AD78*'Alternative 2'!$K79/'Alternative 2'!$L79</f>
        <v>#VALUE!</v>
      </c>
      <c r="AG78" s="78" t="e">
        <f>AE78/'Alternative 2'!$M79</f>
        <v>#VALUE!</v>
      </c>
      <c r="AH78" s="78" t="e">
        <f t="shared" si="22"/>
        <v>#VALUE!</v>
      </c>
      <c r="AJ78" s="78" t="e">
        <f>'Alternative 2'!$B$39*$B78*$C78*COS($K$33)-($N$32/3)*$E78*SIN($K$33)-($N$32/3)*$F78*SIN($K$33)-($N$32/3)*$G78*SIN($K$33)</f>
        <v>#VALUE!</v>
      </c>
      <c r="AK78" s="79" t="e">
        <f>IF(($A78&lt;'Alternative 2'!$B$27),(($H78*'Alternative 2'!$B$39)+(3*($N$32/3)*COS($K$33))),IF(($A78&lt;'Alternative 2'!$B$28),(($H78*'Alternative 2'!$B$39)+(2*(($N$32/3)*COS($K$33)))),IF(($A78&lt;'Alternative 2'!$B$29),(($H$3*'Alternative 2'!$B$39+(($N$32/3)*COS($K$33)))),($H78*'Alternative 2'!$B$39))))</f>
        <v>#VALUE!</v>
      </c>
      <c r="AL78" s="78" t="e">
        <f>AJ78*'Alternative 2'!$K79/'Alternative 2'!$L79</f>
        <v>#VALUE!</v>
      </c>
      <c r="AM78" s="78" t="e">
        <f>AK78/'Alternative 2'!$M79</f>
        <v>#VALUE!</v>
      </c>
      <c r="AN78" s="78" t="e">
        <f t="shared" si="23"/>
        <v>#VALUE!</v>
      </c>
      <c r="AP78" s="78" t="e">
        <f>'Alternative 2'!$B$39*$B78*$C78*COS($K$43)-($N$42/3)*$E78*SIN($K$43)-($N$42/3)*$F78*SIN($K$43)-($N$42/3)*$G78*SIN($K$43)</f>
        <v>#VALUE!</v>
      </c>
      <c r="AQ78" s="79" t="e">
        <f>IF(($A78&lt;'Alternative 2'!$B$27),(($H78*'Alternative 2'!$B$39)+(3*($N$42/3)*COS($K$43))),IF(($A78&lt;'Alternative 2'!$B$28),(($H78*'Alternative 2'!$B$39)+(2*(($N$42/3)*COS($K$43)))),IF(($A78&lt;'Alternative 2'!$B$29),(($H$3*'Alternative 2'!$B$39+(($N$42/3)*COS($K$43)))),($H78*'Alternative 2'!$B$39))))</f>
        <v>#VALUE!</v>
      </c>
      <c r="AR78" s="78" t="e">
        <f>AP78*'Alternative 2'!$K79/'Alternative 2'!$L79</f>
        <v>#VALUE!</v>
      </c>
      <c r="AS78" s="78" t="e">
        <f>AQ78/'Alternative 2'!$M79</f>
        <v>#VALUE!</v>
      </c>
      <c r="AT78" s="78" t="e">
        <f t="shared" si="24"/>
        <v>#VALUE!</v>
      </c>
      <c r="AV78" s="78" t="e">
        <f>'Alternative 2'!$B$39*$B78*$C78*COS($K$53)-($N$52/3)*$E78*SIN($K$53)-($N$52/3)*$F78*SIN($K$53)-($N$52/3)*$G78*SIN($K$53)</f>
        <v>#VALUE!</v>
      </c>
      <c r="AW78" s="79" t="e">
        <f>IF(($A78&lt;'Alternative 2'!$B$27),(($H78*'Alternative 2'!$B$39)+(3*($N$52/3)*COS($K$53))),IF(($A78&lt;'Alternative 2'!$B$28),(($H78*'Alternative 2'!$B$39)+(2*(($N$52/3)*COS($K$53)))),IF(($A78&lt;'Alternative 2'!$B$29),(($H$3*'Alternative 2'!$B$39+(($N$52/3)*COS($K$53)))),($H78*'Alternative 2'!$B$39))))</f>
        <v>#VALUE!</v>
      </c>
      <c r="AX78" s="78" t="e">
        <f>AV78*'Alternative 2'!$K79/'Alternative 2'!$L79</f>
        <v>#VALUE!</v>
      </c>
      <c r="AY78" s="78" t="e">
        <f>AW78/'Alternative 2'!$M79</f>
        <v>#VALUE!</v>
      </c>
      <c r="AZ78" s="78" t="e">
        <f t="shared" si="25"/>
        <v>#VALUE!</v>
      </c>
      <c r="BB78" s="78" t="e">
        <f>'Alternative 2'!$B$39*$B78*$C78*COS($K$63)-($N$62/3)*$E78*SIN($K$63)-($N$62/3)*$F78*SIN($K$63)-($N$62/3)*$G78*SIN($K$63)</f>
        <v>#VALUE!</v>
      </c>
      <c r="BC78" s="79" t="e">
        <f>IF(($A78&lt;'Alternative 2'!$B$27),(($H78*'Alternative 2'!$B$39)+(3*($N$62/3)*COS($K$63))),IF(($A78&lt;'Alternative 2'!$B$28),(($H78*'Alternative 2'!$B$39)+(2*(($N$62/3)*COS($K$63)))),IF(($A78&lt;'Alternative 2'!$B$29),(($H$3*'Alternative 2'!$B$39+(($N$62/3)*COS($K$63)))),($H78*'Alternative 2'!$B$39))))</f>
        <v>#VALUE!</v>
      </c>
      <c r="BD78" s="78" t="e">
        <f>BB78*'Alternative 2'!$K79/'Alternative 2'!$L79</f>
        <v>#VALUE!</v>
      </c>
      <c r="BE78" s="78" t="e">
        <f>BC78/'Alternative 2'!$M79</f>
        <v>#VALUE!</v>
      </c>
      <c r="BF78" s="78" t="e">
        <f t="shared" si="26"/>
        <v>#VALUE!</v>
      </c>
      <c r="BH78" s="78" t="e">
        <f>'Alternative 2'!$B$39*$B78*$C78*COS($K$73)-($N$72/3)*$E78*SIN($K$73)-($N$72/3)*$F78*SIN($K$73)-($N$72/3)*$G78*SIN($K$73)</f>
        <v>#VALUE!</v>
      </c>
      <c r="BI78" s="79" t="e">
        <f>IF(($A78&lt;'Alternative 2'!$B$27),(($H78*'Alternative 2'!$B$39)+(3*($N$72/3)*COS($K$73))),IF(($A78&lt;'Alternative 2'!$B$28),(($H78*'Alternative 2'!$B$39)+(2*(($N$72/3)*COS($K$73)))),IF(($A78&lt;'Alternative 2'!$B$29),(($H$3*'Alternative 2'!$B$39+(($N$72/3)*COS($K$73)))),($H78*'Alternative 2'!$B$39))))</f>
        <v>#VALUE!</v>
      </c>
      <c r="BJ78" s="78" t="e">
        <f>BH78*'Alternative 2'!$K79/'Alternative 2'!$L79</f>
        <v>#VALUE!</v>
      </c>
      <c r="BK78" s="78" t="e">
        <f>BI78/'Alternative 2'!$M79</f>
        <v>#VALUE!</v>
      </c>
      <c r="BL78" s="78" t="e">
        <f t="shared" si="27"/>
        <v>#VALUE!</v>
      </c>
      <c r="BN78" s="78" t="e">
        <f>'Alternative 2'!$B$39*$B78*$C78*COS($K$83)-($N$82/3)*$E78*SIN($K$83)-($N$82/3)*$F78*SIN($K$83)-($N$82/3)*$G78*SIN($K$83)</f>
        <v>#VALUE!</v>
      </c>
      <c r="BO78" s="79" t="e">
        <f>IF(($A78&lt;'Alternative 2'!$B$27),(($H78*'Alternative 2'!$B$39)+(3*($N$82/3)*COS($K$83))),IF(($A78&lt;'Alternative 2'!$B$28),(($H78*'Alternative 2'!$B$39)+(2*(($N$82/3)*COS($K$83)))),IF(($A78&lt;'Alternative 2'!$B$29),(($H$3*'Alternative 2'!$B$39+(($N$82/3)*COS($K$83)))),($H78*'Alternative 2'!$B$39))))</f>
        <v>#VALUE!</v>
      </c>
      <c r="BP78" s="78" t="e">
        <f>BN78*'Alternative 2'!$K79/'Alternative 2'!$L79</f>
        <v>#VALUE!</v>
      </c>
      <c r="BQ78" s="78" t="e">
        <f>BO78/'Alternative 2'!$M79</f>
        <v>#VALUE!</v>
      </c>
      <c r="BR78" s="78" t="e">
        <f t="shared" si="28"/>
        <v>#VALUE!</v>
      </c>
      <c r="BT78" s="78" t="e">
        <f>'Alternative 2'!$B$39*$B78*$C78*COS($K$93)-($K$92/3)*$E78*SIN($K$93)-($K$92/3)*$F78*SIN($K$93)-($K$92/3)*$G78*SIN($K$93)</f>
        <v>#VALUE!</v>
      </c>
      <c r="BU78" s="79" t="e">
        <f>IF(($A78&lt;'Alternative 2'!$B$27),(($H78*'Alternative 2'!$B$39)+(3*($N$92/3)*COS($K$93))),IF(($A78&lt;'Alternative 2'!$B$28),(($H78*'Alternative 2'!$B$39)+(2*(($N$92/3)*COS($K$93)))),IF(($A78&lt;'Alternative 2'!$B$29),(($H$3*'Alternative 2'!$B$39+(($N$92/3)*COS($K$93)))),($H78*'Alternative 2'!$B$39))))</f>
        <v>#VALUE!</v>
      </c>
      <c r="BV78" s="78" t="e">
        <f>BT78*'Alternative 2'!$K79/'Alternative 2'!$L79</f>
        <v>#VALUE!</v>
      </c>
      <c r="BW78" s="78" t="e">
        <f>BU78/'Alternative 2'!$M79</f>
        <v>#VALUE!</v>
      </c>
      <c r="BX78" s="78" t="e">
        <f t="shared" si="29"/>
        <v>#VALUE!</v>
      </c>
    </row>
    <row r="79" spans="1:79" ht="15" customHeight="1" x14ac:dyDescent="0.25">
      <c r="A79" s="13" t="str">
        <f>IF('Alternative 2'!F80&gt;0,'Alternative 2'!F80,"x")</f>
        <v>x</v>
      </c>
      <c r="B79" s="13" t="e">
        <f t="shared" si="35"/>
        <v>#VALUE!</v>
      </c>
      <c r="C79" s="13">
        <f t="shared" si="30"/>
        <v>0</v>
      </c>
      <c r="D79" s="13" t="str">
        <f t="shared" si="31"/>
        <v>x</v>
      </c>
      <c r="E79" s="74">
        <f>IF($A79&lt;='Alternative 2'!$B$27, IF($A79='Alternative 2'!$B$27,0,E80+1),0)</f>
        <v>0</v>
      </c>
      <c r="F79" s="74">
        <f>IF($A79&lt;=('Alternative 2'!$B$28), IF($A79=ROUNDDOWN('Alternative 2'!$B$28,0),0,F80+1),0)</f>
        <v>0</v>
      </c>
      <c r="G79" s="74">
        <f>IF($A79&lt;=('Alternative 2'!$B$29), IF($A79=ROUNDDOWN('Alternative 2'!$B$29,0),0,G80+1),0)</f>
        <v>0</v>
      </c>
      <c r="H79" s="13" t="e">
        <f t="shared" si="32"/>
        <v>#VALUE!</v>
      </c>
      <c r="J79" s="77">
        <f t="shared" si="33"/>
        <v>76</v>
      </c>
      <c r="K79" s="77">
        <f t="shared" si="34"/>
        <v>1.3264502315156903</v>
      </c>
      <c r="L79" s="78">
        <f>'Alternative 2'!$B$27*SIN(K79)+'Alternative 2'!$B$28*SIN(K79)+'Alternative 2'!$B$29*SIN(K79)</f>
        <v>65.980109386767765</v>
      </c>
      <c r="M79" s="77">
        <f>(('Alternative 2'!$B$27)*(((('Alternative 2'!$B$28-'Alternative 2'!$B$27)/2)+'Alternative 2'!$B$27)*'Alternative 2'!$B$39)*COS('Alternative 2-Tilt Up'!K79))+(('Alternative 2'!$B$28)*((('Alternative 2'!$B$28-'Alternative 2'!$B$27)/2)+(('Alternative 2'!$B$29-'Alternative 2'!$B$28)/2))*('Alternative 2'!$B$39)*COS('Alternative 2-Tilt Up'!K79))+(('Alternative 2'!$B$29)*((('Alternative 2'!$B$12-'Alternative 2'!$B$29+(('Alternative 2'!$B$29-'Alternative 2'!$B$28)/2)*('Alternative 2'!$B$39)*COS('Alternative 2-Tilt Up'!K79)))))</f>
        <v>1148336.8178268885</v>
      </c>
      <c r="N79" s="77">
        <f t="shared" si="18"/>
        <v>52212.863626618331</v>
      </c>
      <c r="O79" s="77">
        <f>(((('Alternative 2'!$B$28-'Alternative 2'!$B$27)/2)+'Alternative 2'!$B$27)*('Alternative 2'!$B$39)*COS('Alternative 2-Tilt Up'!K79))+(((('Alternative 2'!$B$28-'Alternative 2'!$B$27)/2)+(('Alternative 2'!$B$29-'Alternative 2'!$B$28)/2))*('Alternative 2'!$B$39)*COS('Alternative 2-Tilt Up'!K79))+(((('Alternative 2'!$B$12-'Alternative 2'!$B$29)+(('Alternative 2'!$B$29-'Alternative 2'!$B$28)/2))*('Alternative 2'!$B$39)*COS('Alternative 2-Tilt Up'!K79)))</f>
        <v>74057.108091516129</v>
      </c>
      <c r="P79" s="77">
        <f t="shared" si="19"/>
        <v>12631.434943238457</v>
      </c>
      <c r="R79" s="78" t="e">
        <f>'Alternative 2'!$B$39*$B79*$C79*COS($K$5)-($N$5/3)*$E79*SIN($K$5)-($N$5/3)*$F79*SIN($K$5)-($N$5/3)*$G79*SIN($K$5)</f>
        <v>#VALUE!</v>
      </c>
      <c r="S79" s="79" t="e">
        <f>IF(($A79&lt;'Alternative 2'!$B$27),(($H79*'Alternative 2'!$B$39)+(3*($N$5/3)*COS($K$5))),IF(($A79&lt;'Alternative 2'!$B$28),(($H79*'Alternative 2'!$B$39)+(2*(($N$5/3)*COS($K$5)))),IF(($A79&lt;'Alternative 2'!$B$29),(($H$3*'Alternative 2'!$B$39+(($N$5/3)*COS($K$5)))),($H79*'Alternative 2'!$B$39))))</f>
        <v>#VALUE!</v>
      </c>
      <c r="T79" s="78" t="e">
        <f>R79*'Alternative 2'!$K80/'Alternative 2'!$L80</f>
        <v>#VALUE!</v>
      </c>
      <c r="U79" s="78" t="e">
        <f>S79/'Alternative 2'!$M80</f>
        <v>#VALUE!</v>
      </c>
      <c r="V79" s="78" t="e">
        <f t="shared" si="20"/>
        <v>#VALUE!</v>
      </c>
      <c r="X79" s="78" t="e">
        <f>'Alternative 2'!$B$39*$B79*$C79*COS($K$13)-($N$12/3)*$E79*SIN($K$13)-($N$12/3)*$F79*SIN($K$13)-($N$12/3)*$G79*SIN($K$13)</f>
        <v>#VALUE!</v>
      </c>
      <c r="Y79" s="79" t="e">
        <f>IF(($A79&lt;'Alternative 2'!$B$27),(($H79*'Alternative 2'!$B$39)+(3*($N$12/3)*COS($K$13))),IF(($A79&lt;'Alternative 2'!$B$28),(($H79*'Alternative 2'!$B$39)+(2*(($N$12/3)*COS($K$13)))),IF(($A79&lt;'Alternative 2'!$B$29),(($H$3*'Alternative 2'!$B$39+(($N$12/3)*COS($K$13)))),($H79*'Alternative 2'!$B$39))))</f>
        <v>#VALUE!</v>
      </c>
      <c r="Z79" s="78" t="e">
        <f>X79*'Alternative 2'!$K80/'Alternative 2'!$L80</f>
        <v>#VALUE!</v>
      </c>
      <c r="AA79" s="78" t="e">
        <f>Y79/'Alternative 2'!$M80</f>
        <v>#VALUE!</v>
      </c>
      <c r="AB79" s="78" t="e">
        <f t="shared" si="21"/>
        <v>#VALUE!</v>
      </c>
      <c r="AD79" s="78" t="e">
        <f>'Alternative 2'!$B$39*$B79*$C79*COS($K$23)-($N$22/3)*$E79*SIN($K$23)-($N$22/3)*$F79*SIN($K$23)-($N$22/3)*$G79*SIN($K$23)</f>
        <v>#VALUE!</v>
      </c>
      <c r="AE79" s="79" t="e">
        <f>IF(($A79&lt;'Alternative 2'!$B$27),(($H79*'Alternative 2'!$B$39)+(3*($N$22/3)*COS($K$23))),IF(($A79&lt;'Alternative 2'!$B$28),(($H79*'Alternative 2'!$B$39)+(2*(($N$22/3)*COS($K$23)))),IF(($A79&lt;'Alternative 2'!$B$29),(($H$3*'Alternative 2'!$B$39+(($N$22/3)*COS($K$23)))),($H79*'Alternative 2'!$B$39))))</f>
        <v>#VALUE!</v>
      </c>
      <c r="AF79" s="78" t="e">
        <f>AD79*'Alternative 2'!$K80/'Alternative 2'!$L80</f>
        <v>#VALUE!</v>
      </c>
      <c r="AG79" s="78" t="e">
        <f>AE79/'Alternative 2'!$M80</f>
        <v>#VALUE!</v>
      </c>
      <c r="AH79" s="78" t="e">
        <f t="shared" si="22"/>
        <v>#VALUE!</v>
      </c>
      <c r="AJ79" s="78" t="e">
        <f>'Alternative 2'!$B$39*$B79*$C79*COS($K$33)-($N$32/3)*$E79*SIN($K$33)-($N$32/3)*$F79*SIN($K$33)-($N$32/3)*$G79*SIN($K$33)</f>
        <v>#VALUE!</v>
      </c>
      <c r="AK79" s="79" t="e">
        <f>IF(($A79&lt;'Alternative 2'!$B$27),(($H79*'Alternative 2'!$B$39)+(3*($N$32/3)*COS($K$33))),IF(($A79&lt;'Alternative 2'!$B$28),(($H79*'Alternative 2'!$B$39)+(2*(($N$32/3)*COS($K$33)))),IF(($A79&lt;'Alternative 2'!$B$29),(($H$3*'Alternative 2'!$B$39+(($N$32/3)*COS($K$33)))),($H79*'Alternative 2'!$B$39))))</f>
        <v>#VALUE!</v>
      </c>
      <c r="AL79" s="78" t="e">
        <f>AJ79*'Alternative 2'!$K80/'Alternative 2'!$L80</f>
        <v>#VALUE!</v>
      </c>
      <c r="AM79" s="78" t="e">
        <f>AK79/'Alternative 2'!$M80</f>
        <v>#VALUE!</v>
      </c>
      <c r="AN79" s="78" t="e">
        <f t="shared" si="23"/>
        <v>#VALUE!</v>
      </c>
      <c r="AP79" s="78" t="e">
        <f>'Alternative 2'!$B$39*$B79*$C79*COS($K$43)-($N$42/3)*$E79*SIN($K$43)-($N$42/3)*$F79*SIN($K$43)-($N$42/3)*$G79*SIN($K$43)</f>
        <v>#VALUE!</v>
      </c>
      <c r="AQ79" s="79" t="e">
        <f>IF(($A79&lt;'Alternative 2'!$B$27),(($H79*'Alternative 2'!$B$39)+(3*($N$42/3)*COS($K$43))),IF(($A79&lt;'Alternative 2'!$B$28),(($H79*'Alternative 2'!$B$39)+(2*(($N$42/3)*COS($K$43)))),IF(($A79&lt;'Alternative 2'!$B$29),(($H$3*'Alternative 2'!$B$39+(($N$42/3)*COS($K$43)))),($H79*'Alternative 2'!$B$39))))</f>
        <v>#VALUE!</v>
      </c>
      <c r="AR79" s="78" t="e">
        <f>AP79*'Alternative 2'!$K80/'Alternative 2'!$L80</f>
        <v>#VALUE!</v>
      </c>
      <c r="AS79" s="78" t="e">
        <f>AQ79/'Alternative 2'!$M80</f>
        <v>#VALUE!</v>
      </c>
      <c r="AT79" s="78" t="e">
        <f t="shared" si="24"/>
        <v>#VALUE!</v>
      </c>
      <c r="AV79" s="78" t="e">
        <f>'Alternative 2'!$B$39*$B79*$C79*COS($K$53)-($N$52/3)*$E79*SIN($K$53)-($N$52/3)*$F79*SIN($K$53)-($N$52/3)*$G79*SIN($K$53)</f>
        <v>#VALUE!</v>
      </c>
      <c r="AW79" s="79" t="e">
        <f>IF(($A79&lt;'Alternative 2'!$B$27),(($H79*'Alternative 2'!$B$39)+(3*($N$52/3)*COS($K$53))),IF(($A79&lt;'Alternative 2'!$B$28),(($H79*'Alternative 2'!$B$39)+(2*(($N$52/3)*COS($K$53)))),IF(($A79&lt;'Alternative 2'!$B$29),(($H$3*'Alternative 2'!$B$39+(($N$52/3)*COS($K$53)))),($H79*'Alternative 2'!$B$39))))</f>
        <v>#VALUE!</v>
      </c>
      <c r="AX79" s="78" t="e">
        <f>AV79*'Alternative 2'!$K80/'Alternative 2'!$L80</f>
        <v>#VALUE!</v>
      </c>
      <c r="AY79" s="78" t="e">
        <f>AW79/'Alternative 2'!$M80</f>
        <v>#VALUE!</v>
      </c>
      <c r="AZ79" s="78" t="e">
        <f t="shared" si="25"/>
        <v>#VALUE!</v>
      </c>
      <c r="BB79" s="78" t="e">
        <f>'Alternative 2'!$B$39*$B79*$C79*COS($K$63)-($N$62/3)*$E79*SIN($K$63)-($N$62/3)*$F79*SIN($K$63)-($N$62/3)*$G79*SIN($K$63)</f>
        <v>#VALUE!</v>
      </c>
      <c r="BC79" s="79" t="e">
        <f>IF(($A79&lt;'Alternative 2'!$B$27),(($H79*'Alternative 2'!$B$39)+(3*($N$62/3)*COS($K$63))),IF(($A79&lt;'Alternative 2'!$B$28),(($H79*'Alternative 2'!$B$39)+(2*(($N$62/3)*COS($K$63)))),IF(($A79&lt;'Alternative 2'!$B$29),(($H$3*'Alternative 2'!$B$39+(($N$62/3)*COS($K$63)))),($H79*'Alternative 2'!$B$39))))</f>
        <v>#VALUE!</v>
      </c>
      <c r="BD79" s="78" t="e">
        <f>BB79*'Alternative 2'!$K80/'Alternative 2'!$L80</f>
        <v>#VALUE!</v>
      </c>
      <c r="BE79" s="78" t="e">
        <f>BC79/'Alternative 2'!$M80</f>
        <v>#VALUE!</v>
      </c>
      <c r="BF79" s="78" t="e">
        <f t="shared" si="26"/>
        <v>#VALUE!</v>
      </c>
      <c r="BH79" s="78" t="e">
        <f>'Alternative 2'!$B$39*$B79*$C79*COS($K$73)-($N$72/3)*$E79*SIN($K$73)-($N$72/3)*$F79*SIN($K$73)-($N$72/3)*$G79*SIN($K$73)</f>
        <v>#VALUE!</v>
      </c>
      <c r="BI79" s="79" t="e">
        <f>IF(($A79&lt;'Alternative 2'!$B$27),(($H79*'Alternative 2'!$B$39)+(3*($N$72/3)*COS($K$73))),IF(($A79&lt;'Alternative 2'!$B$28),(($H79*'Alternative 2'!$B$39)+(2*(($N$72/3)*COS($K$73)))),IF(($A79&lt;'Alternative 2'!$B$29),(($H$3*'Alternative 2'!$B$39+(($N$72/3)*COS($K$73)))),($H79*'Alternative 2'!$B$39))))</f>
        <v>#VALUE!</v>
      </c>
      <c r="BJ79" s="78" t="e">
        <f>BH79*'Alternative 2'!$K80/'Alternative 2'!$L80</f>
        <v>#VALUE!</v>
      </c>
      <c r="BK79" s="78" t="e">
        <f>BI79/'Alternative 2'!$M80</f>
        <v>#VALUE!</v>
      </c>
      <c r="BL79" s="78" t="e">
        <f t="shared" si="27"/>
        <v>#VALUE!</v>
      </c>
      <c r="BN79" s="78" t="e">
        <f>'Alternative 2'!$B$39*$B79*$C79*COS($K$83)-($N$82/3)*$E79*SIN($K$83)-($N$82/3)*$F79*SIN($K$83)-($N$82/3)*$G79*SIN($K$83)</f>
        <v>#VALUE!</v>
      </c>
      <c r="BO79" s="79" t="e">
        <f>IF(($A79&lt;'Alternative 2'!$B$27),(($H79*'Alternative 2'!$B$39)+(3*($N$82/3)*COS($K$83))),IF(($A79&lt;'Alternative 2'!$B$28),(($H79*'Alternative 2'!$B$39)+(2*(($N$82/3)*COS($K$83)))),IF(($A79&lt;'Alternative 2'!$B$29),(($H$3*'Alternative 2'!$B$39+(($N$82/3)*COS($K$83)))),($H79*'Alternative 2'!$B$39))))</f>
        <v>#VALUE!</v>
      </c>
      <c r="BP79" s="78" t="e">
        <f>BN79*'Alternative 2'!$K80/'Alternative 2'!$L80</f>
        <v>#VALUE!</v>
      </c>
      <c r="BQ79" s="78" t="e">
        <f>BO79/'Alternative 2'!$M80</f>
        <v>#VALUE!</v>
      </c>
      <c r="BR79" s="78" t="e">
        <f t="shared" si="28"/>
        <v>#VALUE!</v>
      </c>
      <c r="BT79" s="78" t="e">
        <f>'Alternative 2'!$B$39*$B79*$C79*COS($K$93)-($K$92/3)*$E79*SIN($K$93)-($K$92/3)*$F79*SIN($K$93)-($K$92/3)*$G79*SIN($K$93)</f>
        <v>#VALUE!</v>
      </c>
      <c r="BU79" s="79" t="e">
        <f>IF(($A79&lt;'Alternative 2'!$B$27),(($H79*'Alternative 2'!$B$39)+(3*($N$92/3)*COS($K$93))),IF(($A79&lt;'Alternative 2'!$B$28),(($H79*'Alternative 2'!$B$39)+(2*(($N$92/3)*COS($K$93)))),IF(($A79&lt;'Alternative 2'!$B$29),(($H$3*'Alternative 2'!$B$39+(($N$92/3)*COS($K$93)))),($H79*'Alternative 2'!$B$39))))</f>
        <v>#VALUE!</v>
      </c>
      <c r="BV79" s="78" t="e">
        <f>BT79*'Alternative 2'!$K80/'Alternative 2'!$L80</f>
        <v>#VALUE!</v>
      </c>
      <c r="BW79" s="78" t="e">
        <f>BU79/'Alternative 2'!$M80</f>
        <v>#VALUE!</v>
      </c>
      <c r="BX79" s="78" t="e">
        <f t="shared" si="29"/>
        <v>#VALUE!</v>
      </c>
    </row>
    <row r="80" spans="1:79" ht="15" customHeight="1" x14ac:dyDescent="0.25">
      <c r="A80" s="13" t="str">
        <f>IF('Alternative 2'!F81&gt;0,'Alternative 2'!F81,"x")</f>
        <v>x</v>
      </c>
      <c r="B80" s="13" t="e">
        <f t="shared" si="35"/>
        <v>#VALUE!</v>
      </c>
      <c r="C80" s="13">
        <f t="shared" si="30"/>
        <v>0</v>
      </c>
      <c r="D80" s="13" t="str">
        <f t="shared" si="31"/>
        <v>x</v>
      </c>
      <c r="E80" s="74">
        <f>IF($A80&lt;='Alternative 2'!$B$27, IF($A80='Alternative 2'!$B$27,0,E81+1),0)</f>
        <v>0</v>
      </c>
      <c r="F80" s="74">
        <f>IF($A80&lt;=('Alternative 2'!$B$28), IF($A80=ROUNDDOWN('Alternative 2'!$B$28,0),0,F81+1),0)</f>
        <v>0</v>
      </c>
      <c r="G80" s="74">
        <f>IF($A80&lt;=('Alternative 2'!$B$29), IF($A80=ROUNDDOWN('Alternative 2'!$B$29,0),0,G81+1),0)</f>
        <v>0</v>
      </c>
      <c r="H80" s="13" t="e">
        <f t="shared" si="32"/>
        <v>#VALUE!</v>
      </c>
      <c r="J80" s="77">
        <f t="shared" si="33"/>
        <v>77</v>
      </c>
      <c r="K80" s="77">
        <f t="shared" si="34"/>
        <v>1.3439035240356338</v>
      </c>
      <c r="L80" s="78">
        <f>'Alternative 2'!$B$27*SIN(K80)+'Alternative 2'!$B$28*SIN(K80)+'Alternative 2'!$B$29*SIN(K80)</f>
        <v>66.257164405395997</v>
      </c>
      <c r="M80" s="77">
        <f>(('Alternative 2'!$B$27)*(((('Alternative 2'!$B$28-'Alternative 2'!$B$27)/2)+'Alternative 2'!$B$27)*'Alternative 2'!$B$39)*COS('Alternative 2-Tilt Up'!K80))+(('Alternative 2'!$B$28)*((('Alternative 2'!$B$28-'Alternative 2'!$B$27)/2)+(('Alternative 2'!$B$29-'Alternative 2'!$B$28)/2))*('Alternative 2'!$B$39)*COS('Alternative 2-Tilt Up'!K80))+(('Alternative 2'!$B$29)*((('Alternative 2'!$B$12-'Alternative 2'!$B$29+(('Alternative 2'!$B$29-'Alternative 2'!$B$28)/2)*('Alternative 2'!$B$39)*COS('Alternative 2-Tilt Up'!K80)))))</f>
        <v>1067794.6173332427</v>
      </c>
      <c r="N80" s="77">
        <f t="shared" si="18"/>
        <v>48347.73538450498</v>
      </c>
      <c r="O80" s="77">
        <f>(((('Alternative 2'!$B$28-'Alternative 2'!$B$27)/2)+'Alternative 2'!$B$27)*('Alternative 2'!$B$39)*COS('Alternative 2-Tilt Up'!K80))+(((('Alternative 2'!$B$28-'Alternative 2'!$B$27)/2)+(('Alternative 2'!$B$29-'Alternative 2'!$B$28)/2))*('Alternative 2'!$B$39)*COS('Alternative 2-Tilt Up'!K80))+(((('Alternative 2'!$B$12-'Alternative 2'!$B$29)+(('Alternative 2'!$B$29-'Alternative 2'!$B$28)/2))*('Alternative 2'!$B$39)*COS('Alternative 2-Tilt Up'!K80)))</f>
        <v>68861.995750941831</v>
      </c>
      <c r="P80" s="77">
        <f t="shared" si="19"/>
        <v>10875.874049882581</v>
      </c>
      <c r="R80" s="78" t="e">
        <f>'Alternative 2'!$B$39*$B80*$C80*COS($K$5)-($N$5/3)*$E80*SIN($K$5)-($N$5/3)*$F80*SIN($K$5)-($N$5/3)*$G80*SIN($K$5)</f>
        <v>#VALUE!</v>
      </c>
      <c r="S80" s="79" t="e">
        <f>IF(($A80&lt;'Alternative 2'!$B$27),(($H80*'Alternative 2'!$B$39)+(3*($N$5/3)*COS($K$5))),IF(($A80&lt;'Alternative 2'!$B$28),(($H80*'Alternative 2'!$B$39)+(2*(($N$5/3)*COS($K$5)))),IF(($A80&lt;'Alternative 2'!$B$29),(($H$3*'Alternative 2'!$B$39+(($N$5/3)*COS($K$5)))),($H80*'Alternative 2'!$B$39))))</f>
        <v>#VALUE!</v>
      </c>
      <c r="T80" s="78" t="e">
        <f>R80*'Alternative 2'!$K81/'Alternative 2'!$L81</f>
        <v>#VALUE!</v>
      </c>
      <c r="U80" s="78" t="e">
        <f>S80/'Alternative 2'!$M81</f>
        <v>#VALUE!</v>
      </c>
      <c r="V80" s="78" t="e">
        <f t="shared" si="20"/>
        <v>#VALUE!</v>
      </c>
      <c r="X80" s="78" t="e">
        <f>'Alternative 2'!$B$39*$B80*$C80*COS($K$13)-($N$12/3)*$E80*SIN($K$13)-($N$12/3)*$F80*SIN($K$13)-($N$12/3)*$G80*SIN($K$13)</f>
        <v>#VALUE!</v>
      </c>
      <c r="Y80" s="79" t="e">
        <f>IF(($A80&lt;'Alternative 2'!$B$27),(($H80*'Alternative 2'!$B$39)+(3*($N$12/3)*COS($K$13))),IF(($A80&lt;'Alternative 2'!$B$28),(($H80*'Alternative 2'!$B$39)+(2*(($N$12/3)*COS($K$13)))),IF(($A80&lt;'Alternative 2'!$B$29),(($H$3*'Alternative 2'!$B$39+(($N$12/3)*COS($K$13)))),($H80*'Alternative 2'!$B$39))))</f>
        <v>#VALUE!</v>
      </c>
      <c r="Z80" s="78" t="e">
        <f>X80*'Alternative 2'!$K81/'Alternative 2'!$L81</f>
        <v>#VALUE!</v>
      </c>
      <c r="AA80" s="78" t="e">
        <f>Y80/'Alternative 2'!$M81</f>
        <v>#VALUE!</v>
      </c>
      <c r="AB80" s="78" t="e">
        <f t="shared" si="21"/>
        <v>#VALUE!</v>
      </c>
      <c r="AD80" s="78" t="e">
        <f>'Alternative 2'!$B$39*$B80*$C80*COS($K$23)-($N$22/3)*$E80*SIN($K$23)-($N$22/3)*$F80*SIN($K$23)-($N$22/3)*$G80*SIN($K$23)</f>
        <v>#VALUE!</v>
      </c>
      <c r="AE80" s="79" t="e">
        <f>IF(($A80&lt;'Alternative 2'!$B$27),(($H80*'Alternative 2'!$B$39)+(3*($N$22/3)*COS($K$23))),IF(($A80&lt;'Alternative 2'!$B$28),(($H80*'Alternative 2'!$B$39)+(2*(($N$22/3)*COS($K$23)))),IF(($A80&lt;'Alternative 2'!$B$29),(($H$3*'Alternative 2'!$B$39+(($N$22/3)*COS($K$23)))),($H80*'Alternative 2'!$B$39))))</f>
        <v>#VALUE!</v>
      </c>
      <c r="AF80" s="78" t="e">
        <f>AD80*'Alternative 2'!$K81/'Alternative 2'!$L81</f>
        <v>#VALUE!</v>
      </c>
      <c r="AG80" s="78" t="e">
        <f>AE80/'Alternative 2'!$M81</f>
        <v>#VALUE!</v>
      </c>
      <c r="AH80" s="78" t="e">
        <f t="shared" si="22"/>
        <v>#VALUE!</v>
      </c>
      <c r="AJ80" s="78" t="e">
        <f>'Alternative 2'!$B$39*$B80*$C80*COS($K$33)-($N$32/3)*$E80*SIN($K$33)-($N$32/3)*$F80*SIN($K$33)-($N$32/3)*$G80*SIN($K$33)</f>
        <v>#VALUE!</v>
      </c>
      <c r="AK80" s="79" t="e">
        <f>IF(($A80&lt;'Alternative 2'!$B$27),(($H80*'Alternative 2'!$B$39)+(3*($N$32/3)*COS($K$33))),IF(($A80&lt;'Alternative 2'!$B$28),(($H80*'Alternative 2'!$B$39)+(2*(($N$32/3)*COS($K$33)))),IF(($A80&lt;'Alternative 2'!$B$29),(($H$3*'Alternative 2'!$B$39+(($N$32/3)*COS($K$33)))),($H80*'Alternative 2'!$B$39))))</f>
        <v>#VALUE!</v>
      </c>
      <c r="AL80" s="78" t="e">
        <f>AJ80*'Alternative 2'!$K81/'Alternative 2'!$L81</f>
        <v>#VALUE!</v>
      </c>
      <c r="AM80" s="78" t="e">
        <f>AK80/'Alternative 2'!$M81</f>
        <v>#VALUE!</v>
      </c>
      <c r="AN80" s="78" t="e">
        <f t="shared" si="23"/>
        <v>#VALUE!</v>
      </c>
      <c r="AP80" s="78" t="e">
        <f>'Alternative 2'!$B$39*$B80*$C80*COS($K$43)-($N$42/3)*$E80*SIN($K$43)-($N$42/3)*$F80*SIN($K$43)-($N$42/3)*$G80*SIN($K$43)</f>
        <v>#VALUE!</v>
      </c>
      <c r="AQ80" s="79" t="e">
        <f>IF(($A80&lt;'Alternative 2'!$B$27),(($H80*'Alternative 2'!$B$39)+(3*($N$42/3)*COS($K$43))),IF(($A80&lt;'Alternative 2'!$B$28),(($H80*'Alternative 2'!$B$39)+(2*(($N$42/3)*COS($K$43)))),IF(($A80&lt;'Alternative 2'!$B$29),(($H$3*'Alternative 2'!$B$39+(($N$42/3)*COS($K$43)))),($H80*'Alternative 2'!$B$39))))</f>
        <v>#VALUE!</v>
      </c>
      <c r="AR80" s="78" t="e">
        <f>AP80*'Alternative 2'!$K81/'Alternative 2'!$L81</f>
        <v>#VALUE!</v>
      </c>
      <c r="AS80" s="78" t="e">
        <f>AQ80/'Alternative 2'!$M81</f>
        <v>#VALUE!</v>
      </c>
      <c r="AT80" s="78" t="e">
        <f t="shared" si="24"/>
        <v>#VALUE!</v>
      </c>
      <c r="AV80" s="78" t="e">
        <f>'Alternative 2'!$B$39*$B80*$C80*COS($K$53)-($N$52/3)*$E80*SIN($K$53)-($N$52/3)*$F80*SIN($K$53)-($N$52/3)*$G80*SIN($K$53)</f>
        <v>#VALUE!</v>
      </c>
      <c r="AW80" s="79" t="e">
        <f>IF(($A80&lt;'Alternative 2'!$B$27),(($H80*'Alternative 2'!$B$39)+(3*($N$52/3)*COS($K$53))),IF(($A80&lt;'Alternative 2'!$B$28),(($H80*'Alternative 2'!$B$39)+(2*(($N$52/3)*COS($K$53)))),IF(($A80&lt;'Alternative 2'!$B$29),(($H$3*'Alternative 2'!$B$39+(($N$52/3)*COS($K$53)))),($H80*'Alternative 2'!$B$39))))</f>
        <v>#VALUE!</v>
      </c>
      <c r="AX80" s="78" t="e">
        <f>AV80*'Alternative 2'!$K81/'Alternative 2'!$L81</f>
        <v>#VALUE!</v>
      </c>
      <c r="AY80" s="78" t="e">
        <f>AW80/'Alternative 2'!$M81</f>
        <v>#VALUE!</v>
      </c>
      <c r="AZ80" s="78" t="e">
        <f t="shared" si="25"/>
        <v>#VALUE!</v>
      </c>
      <c r="BB80" s="78" t="e">
        <f>'Alternative 2'!$B$39*$B80*$C80*COS($K$63)-($N$62/3)*$E80*SIN($K$63)-($N$62/3)*$F80*SIN($K$63)-($N$62/3)*$G80*SIN($K$63)</f>
        <v>#VALUE!</v>
      </c>
      <c r="BC80" s="79" t="e">
        <f>IF(($A80&lt;'Alternative 2'!$B$27),(($H80*'Alternative 2'!$B$39)+(3*($N$62/3)*COS($K$63))),IF(($A80&lt;'Alternative 2'!$B$28),(($H80*'Alternative 2'!$B$39)+(2*(($N$62/3)*COS($K$63)))),IF(($A80&lt;'Alternative 2'!$B$29),(($H$3*'Alternative 2'!$B$39+(($N$62/3)*COS($K$63)))),($H80*'Alternative 2'!$B$39))))</f>
        <v>#VALUE!</v>
      </c>
      <c r="BD80" s="78" t="e">
        <f>BB80*'Alternative 2'!$K81/'Alternative 2'!$L81</f>
        <v>#VALUE!</v>
      </c>
      <c r="BE80" s="78" t="e">
        <f>BC80/'Alternative 2'!$M81</f>
        <v>#VALUE!</v>
      </c>
      <c r="BF80" s="78" t="e">
        <f t="shared" si="26"/>
        <v>#VALUE!</v>
      </c>
      <c r="BH80" s="78" t="e">
        <f>'Alternative 2'!$B$39*$B80*$C80*COS($K$73)-($N$72/3)*$E80*SIN($K$73)-($N$72/3)*$F80*SIN($K$73)-($N$72/3)*$G80*SIN($K$73)</f>
        <v>#VALUE!</v>
      </c>
      <c r="BI80" s="79" t="e">
        <f>IF(($A80&lt;'Alternative 2'!$B$27),(($H80*'Alternative 2'!$B$39)+(3*($N$72/3)*COS($K$73))),IF(($A80&lt;'Alternative 2'!$B$28),(($H80*'Alternative 2'!$B$39)+(2*(($N$72/3)*COS($K$73)))),IF(($A80&lt;'Alternative 2'!$B$29),(($H$3*'Alternative 2'!$B$39+(($N$72/3)*COS($K$73)))),($H80*'Alternative 2'!$B$39))))</f>
        <v>#VALUE!</v>
      </c>
      <c r="BJ80" s="78" t="e">
        <f>BH80*'Alternative 2'!$K81/'Alternative 2'!$L81</f>
        <v>#VALUE!</v>
      </c>
      <c r="BK80" s="78" t="e">
        <f>BI80/'Alternative 2'!$M81</f>
        <v>#VALUE!</v>
      </c>
      <c r="BL80" s="78" t="e">
        <f t="shared" si="27"/>
        <v>#VALUE!</v>
      </c>
      <c r="BN80" s="78" t="e">
        <f>'Alternative 2'!$B$39*$B80*$C80*COS($K$83)-($N$82/3)*$E80*SIN($K$83)-($N$82/3)*$F80*SIN($K$83)-($N$82/3)*$G80*SIN($K$83)</f>
        <v>#VALUE!</v>
      </c>
      <c r="BO80" s="79" t="e">
        <f>IF(($A80&lt;'Alternative 2'!$B$27),(($H80*'Alternative 2'!$B$39)+(3*($N$82/3)*COS($K$83))),IF(($A80&lt;'Alternative 2'!$B$28),(($H80*'Alternative 2'!$B$39)+(2*(($N$82/3)*COS($K$83)))),IF(($A80&lt;'Alternative 2'!$B$29),(($H$3*'Alternative 2'!$B$39+(($N$82/3)*COS($K$83)))),($H80*'Alternative 2'!$B$39))))</f>
        <v>#VALUE!</v>
      </c>
      <c r="BP80" s="78" t="e">
        <f>BN80*'Alternative 2'!$K81/'Alternative 2'!$L81</f>
        <v>#VALUE!</v>
      </c>
      <c r="BQ80" s="78" t="e">
        <f>BO80/'Alternative 2'!$M81</f>
        <v>#VALUE!</v>
      </c>
      <c r="BR80" s="78" t="e">
        <f t="shared" si="28"/>
        <v>#VALUE!</v>
      </c>
      <c r="BT80" s="78" t="e">
        <f>'Alternative 2'!$B$39*$B80*$C80*COS($K$93)-($K$92/3)*$E80*SIN($K$93)-($K$92/3)*$F80*SIN($K$93)-($K$92/3)*$G80*SIN($K$93)</f>
        <v>#VALUE!</v>
      </c>
      <c r="BU80" s="79" t="e">
        <f>IF(($A80&lt;'Alternative 2'!$B$27),(($H80*'Alternative 2'!$B$39)+(3*($N$92/3)*COS($K$93))),IF(($A80&lt;'Alternative 2'!$B$28),(($H80*'Alternative 2'!$B$39)+(2*(($N$92/3)*COS($K$93)))),IF(($A80&lt;'Alternative 2'!$B$29),(($H$3*'Alternative 2'!$B$39+(($N$92/3)*COS($K$93)))),($H80*'Alternative 2'!$B$39))))</f>
        <v>#VALUE!</v>
      </c>
      <c r="BV80" s="78" t="e">
        <f>BT80*'Alternative 2'!$K81/'Alternative 2'!$L81</f>
        <v>#VALUE!</v>
      </c>
      <c r="BW80" s="78" t="e">
        <f>BU80/'Alternative 2'!$M81</f>
        <v>#VALUE!</v>
      </c>
      <c r="BX80" s="78" t="e">
        <f t="shared" si="29"/>
        <v>#VALUE!</v>
      </c>
    </row>
    <row r="81" spans="1:76" ht="15" customHeight="1" x14ac:dyDescent="0.25">
      <c r="A81" s="13" t="str">
        <f>IF('Alternative 2'!F82&gt;0,'Alternative 2'!F82,"x")</f>
        <v>x</v>
      </c>
      <c r="B81" s="13" t="e">
        <f t="shared" si="35"/>
        <v>#VALUE!</v>
      </c>
      <c r="C81" s="13">
        <f t="shared" si="30"/>
        <v>0</v>
      </c>
      <c r="D81" s="13" t="str">
        <f t="shared" si="31"/>
        <v>x</v>
      </c>
      <c r="E81" s="74">
        <f>IF($A81&lt;='Alternative 2'!$B$27, IF($A81='Alternative 2'!$B$27,0,E82+1),0)</f>
        <v>0</v>
      </c>
      <c r="F81" s="74">
        <f>IF($A81&lt;=('Alternative 2'!$B$28), IF($A81=ROUNDDOWN('Alternative 2'!$B$28,0),0,F82+1),0)</f>
        <v>0</v>
      </c>
      <c r="G81" s="74">
        <f>IF($A81&lt;=('Alternative 2'!$B$29), IF($A81=ROUNDDOWN('Alternative 2'!$B$29,0),0,G82+1),0)</f>
        <v>0</v>
      </c>
      <c r="H81" s="13" t="e">
        <f t="shared" si="32"/>
        <v>#VALUE!</v>
      </c>
      <c r="J81" s="77">
        <f t="shared" si="33"/>
        <v>78</v>
      </c>
      <c r="K81" s="77">
        <f t="shared" si="34"/>
        <v>1.3613568165555769</v>
      </c>
      <c r="L81" s="78">
        <f>'Alternative 2'!$B$27*SIN(K81)+'Alternative 2'!$B$28*SIN(K81)+'Alternative 2'!$B$29*SIN(K81)</f>
        <v>66.514036849898787</v>
      </c>
      <c r="M81" s="77">
        <f>(('Alternative 2'!$B$27)*(((('Alternative 2'!$B$28-'Alternative 2'!$B$27)/2)+'Alternative 2'!$B$27)*'Alternative 2'!$B$39)*COS('Alternative 2-Tilt Up'!K81))+(('Alternative 2'!$B$28)*((('Alternative 2'!$B$28-'Alternative 2'!$B$27)/2)+(('Alternative 2'!$B$29-'Alternative 2'!$B$28)/2))*('Alternative 2'!$B$39)*COS('Alternative 2-Tilt Up'!K81))+(('Alternative 2'!$B$29)*((('Alternative 2'!$B$12-'Alternative 2'!$B$29+(('Alternative 2'!$B$29-'Alternative 2'!$B$28)/2)*('Alternative 2'!$B$39)*COS('Alternative 2-Tilt Up'!K81)))))</f>
        <v>986927.21584632911</v>
      </c>
      <c r="N81" s="77">
        <f t="shared" si="18"/>
        <v>44513.636335448085</v>
      </c>
      <c r="O81" s="77">
        <f>(((('Alternative 2'!$B$28-'Alternative 2'!$B$27)/2)+'Alternative 2'!$B$27)*('Alternative 2'!$B$39)*COS('Alternative 2-Tilt Up'!K81))+(((('Alternative 2'!$B$28-'Alternative 2'!$B$27)/2)+(('Alternative 2'!$B$29-'Alternative 2'!$B$28)/2))*('Alternative 2'!$B$39)*COS('Alternative 2-Tilt Up'!K81))+(((('Alternative 2'!$B$12-'Alternative 2'!$B$29)+(('Alternative 2'!$B$29-'Alternative 2'!$B$28)/2))*('Alternative 2'!$B$39)*COS('Alternative 2-Tilt Up'!K81)))</f>
        <v>63645.907379380806</v>
      </c>
      <c r="P81" s="77">
        <f t="shared" si="19"/>
        <v>9254.9053949498648</v>
      </c>
      <c r="R81" s="78" t="e">
        <f>'Alternative 2'!$B$39*$B81*$C81*COS($K$5)-($N$5/3)*$E81*SIN($K$5)-($N$5/3)*$F81*SIN($K$5)-($N$5/3)*$G81*SIN($K$5)</f>
        <v>#VALUE!</v>
      </c>
      <c r="S81" s="79" t="e">
        <f>IF(($A81&lt;'Alternative 2'!$B$27),(($H81*'Alternative 2'!$B$39)+(3*($N$5/3)*COS($K$5))),IF(($A81&lt;'Alternative 2'!$B$28),(($H81*'Alternative 2'!$B$39)+(2*(($N$5/3)*COS($K$5)))),IF(($A81&lt;'Alternative 2'!$B$29),(($H$3*'Alternative 2'!$B$39+(($N$5/3)*COS($K$5)))),($H81*'Alternative 2'!$B$39))))</f>
        <v>#VALUE!</v>
      </c>
      <c r="T81" s="78" t="e">
        <f>R81*'Alternative 2'!$K82/'Alternative 2'!$L82</f>
        <v>#VALUE!</v>
      </c>
      <c r="U81" s="78" t="e">
        <f>S81/'Alternative 2'!$M82</f>
        <v>#VALUE!</v>
      </c>
      <c r="V81" s="78" t="e">
        <f t="shared" si="20"/>
        <v>#VALUE!</v>
      </c>
      <c r="X81" s="78" t="e">
        <f>'Alternative 2'!$B$39*$B81*$C81*COS($K$13)-($N$12/3)*$E81*SIN($K$13)-($N$12/3)*$F81*SIN($K$13)-($N$12/3)*$G81*SIN($K$13)</f>
        <v>#VALUE!</v>
      </c>
      <c r="Y81" s="79" t="e">
        <f>IF(($A81&lt;'Alternative 2'!$B$27),(($H81*'Alternative 2'!$B$39)+(3*($N$12/3)*COS($K$13))),IF(($A81&lt;'Alternative 2'!$B$28),(($H81*'Alternative 2'!$B$39)+(2*(($N$12/3)*COS($K$13)))),IF(($A81&lt;'Alternative 2'!$B$29),(($H$3*'Alternative 2'!$B$39+(($N$12/3)*COS($K$13)))),($H81*'Alternative 2'!$B$39))))</f>
        <v>#VALUE!</v>
      </c>
      <c r="Z81" s="78" t="e">
        <f>X81*'Alternative 2'!$K82/'Alternative 2'!$L82</f>
        <v>#VALUE!</v>
      </c>
      <c r="AA81" s="78" t="e">
        <f>Y81/'Alternative 2'!$M82</f>
        <v>#VALUE!</v>
      </c>
      <c r="AB81" s="78" t="e">
        <f t="shared" si="21"/>
        <v>#VALUE!</v>
      </c>
      <c r="AD81" s="78" t="e">
        <f>'Alternative 2'!$B$39*$B81*$C81*COS($K$23)-($N$22/3)*$E81*SIN($K$23)-($N$22/3)*$F81*SIN($K$23)-($N$22/3)*$G81*SIN($K$23)</f>
        <v>#VALUE!</v>
      </c>
      <c r="AE81" s="79" t="e">
        <f>IF(($A81&lt;'Alternative 2'!$B$27),(($H81*'Alternative 2'!$B$39)+(3*($N$22/3)*COS($K$23))),IF(($A81&lt;'Alternative 2'!$B$28),(($H81*'Alternative 2'!$B$39)+(2*(($N$22/3)*COS($K$23)))),IF(($A81&lt;'Alternative 2'!$B$29),(($H$3*'Alternative 2'!$B$39+(($N$22/3)*COS($K$23)))),($H81*'Alternative 2'!$B$39))))</f>
        <v>#VALUE!</v>
      </c>
      <c r="AF81" s="78" t="e">
        <f>AD81*'Alternative 2'!$K82/'Alternative 2'!$L82</f>
        <v>#VALUE!</v>
      </c>
      <c r="AG81" s="78" t="e">
        <f>AE81/'Alternative 2'!$M82</f>
        <v>#VALUE!</v>
      </c>
      <c r="AH81" s="78" t="e">
        <f t="shared" si="22"/>
        <v>#VALUE!</v>
      </c>
      <c r="AJ81" s="78" t="e">
        <f>'Alternative 2'!$B$39*$B81*$C81*COS($K$33)-($N$32/3)*$E81*SIN($K$33)-($N$32/3)*$F81*SIN($K$33)-($N$32/3)*$G81*SIN($K$33)</f>
        <v>#VALUE!</v>
      </c>
      <c r="AK81" s="79" t="e">
        <f>IF(($A81&lt;'Alternative 2'!$B$27),(($H81*'Alternative 2'!$B$39)+(3*($N$32/3)*COS($K$33))),IF(($A81&lt;'Alternative 2'!$B$28),(($H81*'Alternative 2'!$B$39)+(2*(($N$32/3)*COS($K$33)))),IF(($A81&lt;'Alternative 2'!$B$29),(($H$3*'Alternative 2'!$B$39+(($N$32/3)*COS($K$33)))),($H81*'Alternative 2'!$B$39))))</f>
        <v>#VALUE!</v>
      </c>
      <c r="AL81" s="78" t="e">
        <f>AJ81*'Alternative 2'!$K82/'Alternative 2'!$L82</f>
        <v>#VALUE!</v>
      </c>
      <c r="AM81" s="78" t="e">
        <f>AK81/'Alternative 2'!$M82</f>
        <v>#VALUE!</v>
      </c>
      <c r="AN81" s="78" t="e">
        <f t="shared" si="23"/>
        <v>#VALUE!</v>
      </c>
      <c r="AP81" s="78" t="e">
        <f>'Alternative 2'!$B$39*$B81*$C81*COS($K$43)-($N$42/3)*$E81*SIN($K$43)-($N$42/3)*$F81*SIN($K$43)-($N$42/3)*$G81*SIN($K$43)</f>
        <v>#VALUE!</v>
      </c>
      <c r="AQ81" s="79" t="e">
        <f>IF(($A81&lt;'Alternative 2'!$B$27),(($H81*'Alternative 2'!$B$39)+(3*($N$42/3)*COS($K$43))),IF(($A81&lt;'Alternative 2'!$B$28),(($H81*'Alternative 2'!$B$39)+(2*(($N$42/3)*COS($K$43)))),IF(($A81&lt;'Alternative 2'!$B$29),(($H$3*'Alternative 2'!$B$39+(($N$42/3)*COS($K$43)))),($H81*'Alternative 2'!$B$39))))</f>
        <v>#VALUE!</v>
      </c>
      <c r="AR81" s="78" t="e">
        <f>AP81*'Alternative 2'!$K82/'Alternative 2'!$L82</f>
        <v>#VALUE!</v>
      </c>
      <c r="AS81" s="78" t="e">
        <f>AQ81/'Alternative 2'!$M82</f>
        <v>#VALUE!</v>
      </c>
      <c r="AT81" s="78" t="e">
        <f t="shared" si="24"/>
        <v>#VALUE!</v>
      </c>
      <c r="AV81" s="78" t="e">
        <f>'Alternative 2'!$B$39*$B81*$C81*COS($K$53)-($N$52/3)*$E81*SIN($K$53)-($N$52/3)*$F81*SIN($K$53)-($N$52/3)*$G81*SIN($K$53)</f>
        <v>#VALUE!</v>
      </c>
      <c r="AW81" s="79" t="e">
        <f>IF(($A81&lt;'Alternative 2'!$B$27),(($H81*'Alternative 2'!$B$39)+(3*($N$52/3)*COS($K$53))),IF(($A81&lt;'Alternative 2'!$B$28),(($H81*'Alternative 2'!$B$39)+(2*(($N$52/3)*COS($K$53)))),IF(($A81&lt;'Alternative 2'!$B$29),(($H$3*'Alternative 2'!$B$39+(($N$52/3)*COS($K$53)))),($H81*'Alternative 2'!$B$39))))</f>
        <v>#VALUE!</v>
      </c>
      <c r="AX81" s="78" t="e">
        <f>AV81*'Alternative 2'!$K82/'Alternative 2'!$L82</f>
        <v>#VALUE!</v>
      </c>
      <c r="AY81" s="78" t="e">
        <f>AW81/'Alternative 2'!$M82</f>
        <v>#VALUE!</v>
      </c>
      <c r="AZ81" s="78" t="e">
        <f t="shared" si="25"/>
        <v>#VALUE!</v>
      </c>
      <c r="BB81" s="78" t="e">
        <f>'Alternative 2'!$B$39*$B81*$C81*COS($K$63)-($N$62/3)*$E81*SIN($K$63)-($N$62/3)*$F81*SIN($K$63)-($N$62/3)*$G81*SIN($K$63)</f>
        <v>#VALUE!</v>
      </c>
      <c r="BC81" s="79" t="e">
        <f>IF(($A81&lt;'Alternative 2'!$B$27),(($H81*'Alternative 2'!$B$39)+(3*($N$62/3)*COS($K$63))),IF(($A81&lt;'Alternative 2'!$B$28),(($H81*'Alternative 2'!$B$39)+(2*(($N$62/3)*COS($K$63)))),IF(($A81&lt;'Alternative 2'!$B$29),(($H$3*'Alternative 2'!$B$39+(($N$62/3)*COS($K$63)))),($H81*'Alternative 2'!$B$39))))</f>
        <v>#VALUE!</v>
      </c>
      <c r="BD81" s="78" t="e">
        <f>BB81*'Alternative 2'!$K82/'Alternative 2'!$L82</f>
        <v>#VALUE!</v>
      </c>
      <c r="BE81" s="78" t="e">
        <f>BC81/'Alternative 2'!$M82</f>
        <v>#VALUE!</v>
      </c>
      <c r="BF81" s="78" t="e">
        <f t="shared" si="26"/>
        <v>#VALUE!</v>
      </c>
      <c r="BH81" s="78" t="e">
        <f>'Alternative 2'!$B$39*$B81*$C81*COS($K$73)-($N$72/3)*$E81*SIN($K$73)-($N$72/3)*$F81*SIN($K$73)-($N$72/3)*$G81*SIN($K$73)</f>
        <v>#VALUE!</v>
      </c>
      <c r="BI81" s="79" t="e">
        <f>IF(($A81&lt;'Alternative 2'!$B$27),(($H81*'Alternative 2'!$B$39)+(3*($N$72/3)*COS($K$73))),IF(($A81&lt;'Alternative 2'!$B$28),(($H81*'Alternative 2'!$B$39)+(2*(($N$72/3)*COS($K$73)))),IF(($A81&lt;'Alternative 2'!$B$29),(($H$3*'Alternative 2'!$B$39+(($N$72/3)*COS($K$73)))),($H81*'Alternative 2'!$B$39))))</f>
        <v>#VALUE!</v>
      </c>
      <c r="BJ81" s="78" t="e">
        <f>BH81*'Alternative 2'!$K82/'Alternative 2'!$L82</f>
        <v>#VALUE!</v>
      </c>
      <c r="BK81" s="78" t="e">
        <f>BI81/'Alternative 2'!$M82</f>
        <v>#VALUE!</v>
      </c>
      <c r="BL81" s="78" t="e">
        <f t="shared" si="27"/>
        <v>#VALUE!</v>
      </c>
      <c r="BN81" s="78" t="e">
        <f>'Alternative 2'!$B$39*$B81*$C81*COS($K$83)-($N$82/3)*$E81*SIN($K$83)-($N$82/3)*$F81*SIN($K$83)-($N$82/3)*$G81*SIN($K$83)</f>
        <v>#VALUE!</v>
      </c>
      <c r="BO81" s="79" t="e">
        <f>IF(($A81&lt;'Alternative 2'!$B$27),(($H81*'Alternative 2'!$B$39)+(3*($N$82/3)*COS($K$83))),IF(($A81&lt;'Alternative 2'!$B$28),(($H81*'Alternative 2'!$B$39)+(2*(($N$82/3)*COS($K$83)))),IF(($A81&lt;'Alternative 2'!$B$29),(($H$3*'Alternative 2'!$B$39+(($N$82/3)*COS($K$83)))),($H81*'Alternative 2'!$B$39))))</f>
        <v>#VALUE!</v>
      </c>
      <c r="BP81" s="78" t="e">
        <f>BN81*'Alternative 2'!$K82/'Alternative 2'!$L82</f>
        <v>#VALUE!</v>
      </c>
      <c r="BQ81" s="78" t="e">
        <f>BO81/'Alternative 2'!$M82</f>
        <v>#VALUE!</v>
      </c>
      <c r="BR81" s="78" t="e">
        <f t="shared" si="28"/>
        <v>#VALUE!</v>
      </c>
      <c r="BT81" s="78" t="e">
        <f>'Alternative 2'!$B$39*$B81*$C81*COS($K$93)-($K$92/3)*$E81*SIN($K$93)-($K$92/3)*$F81*SIN($K$93)-($K$92/3)*$G81*SIN($K$93)</f>
        <v>#VALUE!</v>
      </c>
      <c r="BU81" s="79" t="e">
        <f>IF(($A81&lt;'Alternative 2'!$B$27),(($H81*'Alternative 2'!$B$39)+(3*($N$92/3)*COS($K$93))),IF(($A81&lt;'Alternative 2'!$B$28),(($H81*'Alternative 2'!$B$39)+(2*(($N$92/3)*COS($K$93)))),IF(($A81&lt;'Alternative 2'!$B$29),(($H$3*'Alternative 2'!$B$39+(($N$92/3)*COS($K$93)))),($H81*'Alternative 2'!$B$39))))</f>
        <v>#VALUE!</v>
      </c>
      <c r="BV81" s="78" t="e">
        <f>BT81*'Alternative 2'!$K82/'Alternative 2'!$L82</f>
        <v>#VALUE!</v>
      </c>
      <c r="BW81" s="78" t="e">
        <f>BU81/'Alternative 2'!$M82</f>
        <v>#VALUE!</v>
      </c>
      <c r="BX81" s="78" t="e">
        <f t="shared" si="29"/>
        <v>#VALUE!</v>
      </c>
    </row>
    <row r="82" spans="1:76" ht="15" customHeight="1" x14ac:dyDescent="0.25">
      <c r="A82" s="13" t="str">
        <f>IF('Alternative 2'!F83&gt;0,'Alternative 2'!F83,"x")</f>
        <v>x</v>
      </c>
      <c r="B82" s="13" t="e">
        <f t="shared" si="35"/>
        <v>#VALUE!</v>
      </c>
      <c r="C82" s="13">
        <f t="shared" si="30"/>
        <v>0</v>
      </c>
      <c r="D82" s="13" t="str">
        <f t="shared" si="31"/>
        <v>x</v>
      </c>
      <c r="E82" s="74">
        <f>IF($A82&lt;='Alternative 2'!$B$27, IF($A82='Alternative 2'!$B$27,0,E83+1),0)</f>
        <v>0</v>
      </c>
      <c r="F82" s="74">
        <f>IF($A82&lt;=('Alternative 2'!$B$28), IF($A82=ROUNDDOWN('Alternative 2'!$B$28,0),0,F83+1),0)</f>
        <v>0</v>
      </c>
      <c r="G82" s="74">
        <f>IF($A82&lt;=('Alternative 2'!$B$29), IF($A82=ROUNDDOWN('Alternative 2'!$B$29,0),0,G83+1),0)</f>
        <v>0</v>
      </c>
      <c r="H82" s="13" t="e">
        <f t="shared" si="32"/>
        <v>#VALUE!</v>
      </c>
      <c r="J82" s="77">
        <f t="shared" si="33"/>
        <v>79</v>
      </c>
      <c r="K82" s="77">
        <f t="shared" si="34"/>
        <v>1.3788101090755203</v>
      </c>
      <c r="L82" s="78">
        <f>'Alternative 2'!$B$27*SIN(K82)+'Alternative 2'!$B$28*SIN(K82)+'Alternative 2'!$B$29*SIN(K82)</f>
        <v>66.750648474441149</v>
      </c>
      <c r="M82" s="77">
        <f>(('Alternative 2'!$B$27)*(((('Alternative 2'!$B$28-'Alternative 2'!$B$27)/2)+'Alternative 2'!$B$27)*'Alternative 2'!$B$39)*COS('Alternative 2-Tilt Up'!K82))+(('Alternative 2'!$B$28)*((('Alternative 2'!$B$28-'Alternative 2'!$B$27)/2)+(('Alternative 2'!$B$29-'Alternative 2'!$B$28)/2))*('Alternative 2'!$B$39)*COS('Alternative 2-Tilt Up'!K82))+(('Alternative 2'!$B$29)*((('Alternative 2'!$B$12-'Alternative 2'!$B$29+(('Alternative 2'!$B$29-'Alternative 2'!$B$28)/2)*('Alternative 2'!$B$39)*COS('Alternative 2-Tilt Up'!K82)))))</f>
        <v>905759.24636001699</v>
      </c>
      <c r="N82" s="82">
        <f t="shared" si="18"/>
        <v>40707.885259279508</v>
      </c>
      <c r="O82" s="77">
        <f>(((('Alternative 2'!$B$28-'Alternative 2'!$B$27)/2)+'Alternative 2'!$B$27)*('Alternative 2'!$B$39)*COS('Alternative 2-Tilt Up'!K82))+(((('Alternative 2'!$B$28-'Alternative 2'!$B$27)/2)+(('Alternative 2'!$B$29-'Alternative 2'!$B$28)/2))*('Alternative 2'!$B$39)*COS('Alternative 2-Tilt Up'!K82))+(((('Alternative 2'!$B$12-'Alternative 2'!$B$29)+(('Alternative 2'!$B$29-'Alternative 2'!$B$28)/2))*('Alternative 2'!$B$39)*COS('Alternative 2-Tilt Up'!K82)))</f>
        <v>58410.431847880187</v>
      </c>
      <c r="P82" s="80">
        <f t="shared" si="19"/>
        <v>7767.4306902267845</v>
      </c>
      <c r="R82" s="78" t="e">
        <f>'Alternative 2'!$B$39*$B82*$C82*COS($K$5)-($N$5/3)*$E82*SIN($K$5)-($N$5/3)*$F82*SIN($K$5)-($N$5/3)*$G82*SIN($K$5)</f>
        <v>#VALUE!</v>
      </c>
      <c r="S82" s="79" t="e">
        <f>IF(($A82&lt;'Alternative 2'!$B$27),(($H82*'Alternative 2'!$B$39)+(3*($N$5/3)*COS($K$5))),IF(($A82&lt;'Alternative 2'!$B$28),(($H82*'Alternative 2'!$B$39)+(2*(($N$5/3)*COS($K$5)))),IF(($A82&lt;'Alternative 2'!$B$29),(($H$3*'Alternative 2'!$B$39+(($N$5/3)*COS($K$5)))),($H82*'Alternative 2'!$B$39))))</f>
        <v>#VALUE!</v>
      </c>
      <c r="T82" s="78" t="e">
        <f>R82*'Alternative 2'!$K83/'Alternative 2'!$L83</f>
        <v>#VALUE!</v>
      </c>
      <c r="U82" s="78" t="e">
        <f>S82/'Alternative 2'!$M83</f>
        <v>#VALUE!</v>
      </c>
      <c r="V82" s="78" t="e">
        <f t="shared" si="20"/>
        <v>#VALUE!</v>
      </c>
      <c r="X82" s="78" t="e">
        <f>'Alternative 2'!$B$39*$B82*$C82*COS($K$13)-($N$12/3)*$E82*SIN($K$13)-($N$12/3)*$F82*SIN($K$13)-($N$12/3)*$G82*SIN($K$13)</f>
        <v>#VALUE!</v>
      </c>
      <c r="Y82" s="79" t="e">
        <f>IF(($A82&lt;'Alternative 2'!$B$27),(($H82*'Alternative 2'!$B$39)+(3*($N$12/3)*COS($K$13))),IF(($A82&lt;'Alternative 2'!$B$28),(($H82*'Alternative 2'!$B$39)+(2*(($N$12/3)*COS($K$13)))),IF(($A82&lt;'Alternative 2'!$B$29),(($H$3*'Alternative 2'!$B$39+(($N$12/3)*COS($K$13)))),($H82*'Alternative 2'!$B$39))))</f>
        <v>#VALUE!</v>
      </c>
      <c r="Z82" s="78" t="e">
        <f>X82*'Alternative 2'!$K83/'Alternative 2'!$L83</f>
        <v>#VALUE!</v>
      </c>
      <c r="AA82" s="78" t="e">
        <f>Y82/'Alternative 2'!$M83</f>
        <v>#VALUE!</v>
      </c>
      <c r="AB82" s="78" t="e">
        <f t="shared" si="21"/>
        <v>#VALUE!</v>
      </c>
      <c r="AD82" s="78" t="e">
        <f>'Alternative 2'!$B$39*$B82*$C82*COS($K$23)-($N$22/3)*$E82*SIN($K$23)-($N$22/3)*$F82*SIN($K$23)-($N$22/3)*$G82*SIN($K$23)</f>
        <v>#VALUE!</v>
      </c>
      <c r="AE82" s="79" t="e">
        <f>IF(($A82&lt;'Alternative 2'!$B$27),(($H82*'Alternative 2'!$B$39)+(3*($N$22/3)*COS($K$23))),IF(($A82&lt;'Alternative 2'!$B$28),(($H82*'Alternative 2'!$B$39)+(2*(($N$22/3)*COS($K$23)))),IF(($A82&lt;'Alternative 2'!$B$29),(($H$3*'Alternative 2'!$B$39+(($N$22/3)*COS($K$23)))),($H82*'Alternative 2'!$B$39))))</f>
        <v>#VALUE!</v>
      </c>
      <c r="AF82" s="78" t="e">
        <f>AD82*'Alternative 2'!$K83/'Alternative 2'!$L83</f>
        <v>#VALUE!</v>
      </c>
      <c r="AG82" s="78" t="e">
        <f>AE82/'Alternative 2'!$M83</f>
        <v>#VALUE!</v>
      </c>
      <c r="AH82" s="78" t="e">
        <f t="shared" si="22"/>
        <v>#VALUE!</v>
      </c>
      <c r="AJ82" s="78" t="e">
        <f>'Alternative 2'!$B$39*$B82*$C82*COS($K$33)-($N$32/3)*$E82*SIN($K$33)-($N$32/3)*$F82*SIN($K$33)-($N$32/3)*$G82*SIN($K$33)</f>
        <v>#VALUE!</v>
      </c>
      <c r="AK82" s="79" t="e">
        <f>IF(($A82&lt;'Alternative 2'!$B$27),(($H82*'Alternative 2'!$B$39)+(3*($N$32/3)*COS($K$33))),IF(($A82&lt;'Alternative 2'!$B$28),(($H82*'Alternative 2'!$B$39)+(2*(($N$32/3)*COS($K$33)))),IF(($A82&lt;'Alternative 2'!$B$29),(($H$3*'Alternative 2'!$B$39+(($N$32/3)*COS($K$33)))),($H82*'Alternative 2'!$B$39))))</f>
        <v>#VALUE!</v>
      </c>
      <c r="AL82" s="78" t="e">
        <f>AJ82*'Alternative 2'!$K83/'Alternative 2'!$L83</f>
        <v>#VALUE!</v>
      </c>
      <c r="AM82" s="78" t="e">
        <f>AK82/'Alternative 2'!$M83</f>
        <v>#VALUE!</v>
      </c>
      <c r="AN82" s="78" t="e">
        <f t="shared" si="23"/>
        <v>#VALUE!</v>
      </c>
      <c r="AP82" s="78" t="e">
        <f>'Alternative 2'!$B$39*$B82*$C82*COS($K$43)-($N$42/3)*$E82*SIN($K$43)-($N$42/3)*$F82*SIN($K$43)-($N$42/3)*$G82*SIN($K$43)</f>
        <v>#VALUE!</v>
      </c>
      <c r="AQ82" s="79" t="e">
        <f>IF(($A82&lt;'Alternative 2'!$B$27),(($H82*'Alternative 2'!$B$39)+(3*($N$42/3)*COS($K$43))),IF(($A82&lt;'Alternative 2'!$B$28),(($H82*'Alternative 2'!$B$39)+(2*(($N$42/3)*COS($K$43)))),IF(($A82&lt;'Alternative 2'!$B$29),(($H$3*'Alternative 2'!$B$39+(($N$42/3)*COS($K$43)))),($H82*'Alternative 2'!$B$39))))</f>
        <v>#VALUE!</v>
      </c>
      <c r="AR82" s="78" t="e">
        <f>AP82*'Alternative 2'!$K83/'Alternative 2'!$L83</f>
        <v>#VALUE!</v>
      </c>
      <c r="AS82" s="78" t="e">
        <f>AQ82/'Alternative 2'!$M83</f>
        <v>#VALUE!</v>
      </c>
      <c r="AT82" s="78" t="e">
        <f t="shared" si="24"/>
        <v>#VALUE!</v>
      </c>
      <c r="AV82" s="78" t="e">
        <f>'Alternative 2'!$B$39*$B82*$C82*COS($K$53)-($N$52/3)*$E82*SIN($K$53)-($N$52/3)*$F82*SIN($K$53)-($N$52/3)*$G82*SIN($K$53)</f>
        <v>#VALUE!</v>
      </c>
      <c r="AW82" s="79" t="e">
        <f>IF(($A82&lt;'Alternative 2'!$B$27),(($H82*'Alternative 2'!$B$39)+(3*($N$52/3)*COS($K$53))),IF(($A82&lt;'Alternative 2'!$B$28),(($H82*'Alternative 2'!$B$39)+(2*(($N$52/3)*COS($K$53)))),IF(($A82&lt;'Alternative 2'!$B$29),(($H$3*'Alternative 2'!$B$39+(($N$52/3)*COS($K$53)))),($H82*'Alternative 2'!$B$39))))</f>
        <v>#VALUE!</v>
      </c>
      <c r="AX82" s="78" t="e">
        <f>AV82*'Alternative 2'!$K83/'Alternative 2'!$L83</f>
        <v>#VALUE!</v>
      </c>
      <c r="AY82" s="78" t="e">
        <f>AW82/'Alternative 2'!$M83</f>
        <v>#VALUE!</v>
      </c>
      <c r="AZ82" s="78" t="e">
        <f t="shared" si="25"/>
        <v>#VALUE!</v>
      </c>
      <c r="BB82" s="78" t="e">
        <f>'Alternative 2'!$B$39*$B82*$C82*COS($K$63)-($N$62/3)*$E82*SIN($K$63)-($N$62/3)*$F82*SIN($K$63)-($N$62/3)*$G82*SIN($K$63)</f>
        <v>#VALUE!</v>
      </c>
      <c r="BC82" s="79" t="e">
        <f>IF(($A82&lt;'Alternative 2'!$B$27),(($H82*'Alternative 2'!$B$39)+(3*($N$62/3)*COS($K$63))),IF(($A82&lt;'Alternative 2'!$B$28),(($H82*'Alternative 2'!$B$39)+(2*(($N$62/3)*COS($K$63)))),IF(($A82&lt;'Alternative 2'!$B$29),(($H$3*'Alternative 2'!$B$39+(($N$62/3)*COS($K$63)))),($H82*'Alternative 2'!$B$39))))</f>
        <v>#VALUE!</v>
      </c>
      <c r="BD82" s="78" t="e">
        <f>BB82*'Alternative 2'!$K83/'Alternative 2'!$L83</f>
        <v>#VALUE!</v>
      </c>
      <c r="BE82" s="78" t="e">
        <f>BC82/'Alternative 2'!$M83</f>
        <v>#VALUE!</v>
      </c>
      <c r="BF82" s="78" t="e">
        <f t="shared" si="26"/>
        <v>#VALUE!</v>
      </c>
      <c r="BH82" s="78" t="e">
        <f>'Alternative 2'!$B$39*$B82*$C82*COS($K$73)-($N$72/3)*$E82*SIN($K$73)-($N$72/3)*$F82*SIN($K$73)-($N$72/3)*$G82*SIN($K$73)</f>
        <v>#VALUE!</v>
      </c>
      <c r="BI82" s="79" t="e">
        <f>IF(($A82&lt;'Alternative 2'!$B$27),(($H82*'Alternative 2'!$B$39)+(3*($N$72/3)*COS($K$73))),IF(($A82&lt;'Alternative 2'!$B$28),(($H82*'Alternative 2'!$B$39)+(2*(($N$72/3)*COS($K$73)))),IF(($A82&lt;'Alternative 2'!$B$29),(($H$3*'Alternative 2'!$B$39+(($N$72/3)*COS($K$73)))),($H82*'Alternative 2'!$B$39))))</f>
        <v>#VALUE!</v>
      </c>
      <c r="BJ82" s="78" t="e">
        <f>BH82*'Alternative 2'!$K83/'Alternative 2'!$L83</f>
        <v>#VALUE!</v>
      </c>
      <c r="BK82" s="78" t="e">
        <f>BI82/'Alternative 2'!$M83</f>
        <v>#VALUE!</v>
      </c>
      <c r="BL82" s="78" t="e">
        <f t="shared" si="27"/>
        <v>#VALUE!</v>
      </c>
      <c r="BN82" s="78" t="e">
        <f>'Alternative 2'!$B$39*$B82*$C82*COS($K$83)-($N$82/3)*$E82*SIN($K$83)-($N$82/3)*$F82*SIN($K$83)-($N$82/3)*$G82*SIN($K$83)</f>
        <v>#VALUE!</v>
      </c>
      <c r="BO82" s="79" t="e">
        <f>IF(($A82&lt;'Alternative 2'!$B$27),(($H82*'Alternative 2'!$B$39)+(3*($N$82/3)*COS($K$83))),IF(($A82&lt;'Alternative 2'!$B$28),(($H82*'Alternative 2'!$B$39)+(2*(($N$82/3)*COS($K$83)))),IF(($A82&lt;'Alternative 2'!$B$29),(($H$3*'Alternative 2'!$B$39+(($N$82/3)*COS($K$83)))),($H82*'Alternative 2'!$B$39))))</f>
        <v>#VALUE!</v>
      </c>
      <c r="BP82" s="78" t="e">
        <f>BN82*'Alternative 2'!$K83/'Alternative 2'!$L83</f>
        <v>#VALUE!</v>
      </c>
      <c r="BQ82" s="78" t="e">
        <f>BO82/'Alternative 2'!$M83</f>
        <v>#VALUE!</v>
      </c>
      <c r="BR82" s="78" t="e">
        <f t="shared" si="28"/>
        <v>#VALUE!</v>
      </c>
      <c r="BT82" s="78" t="e">
        <f>'Alternative 2'!$B$39*$B82*$C82*COS($K$93)-($K$92/3)*$E82*SIN($K$93)-($K$92/3)*$F82*SIN($K$93)-($K$92/3)*$G82*SIN($K$93)</f>
        <v>#VALUE!</v>
      </c>
      <c r="BU82" s="79" t="e">
        <f>IF(($A82&lt;'Alternative 2'!$B$27),(($H82*'Alternative 2'!$B$39)+(3*($N$92/3)*COS($K$93))),IF(($A82&lt;'Alternative 2'!$B$28),(($H82*'Alternative 2'!$B$39)+(2*(($N$92/3)*COS($K$93)))),IF(($A82&lt;'Alternative 2'!$B$29),(($H$3*'Alternative 2'!$B$39+(($N$92/3)*COS($K$93)))),($H82*'Alternative 2'!$B$39))))</f>
        <v>#VALUE!</v>
      </c>
      <c r="BV82" s="78" t="e">
        <f>BT82*'Alternative 2'!$K83/'Alternative 2'!$L83</f>
        <v>#VALUE!</v>
      </c>
      <c r="BW82" s="78" t="e">
        <f>BU82/'Alternative 2'!$M83</f>
        <v>#VALUE!</v>
      </c>
      <c r="BX82" s="78" t="e">
        <f t="shared" si="29"/>
        <v>#VALUE!</v>
      </c>
    </row>
    <row r="83" spans="1:76" ht="15" customHeight="1" x14ac:dyDescent="0.25">
      <c r="A83" s="13" t="str">
        <f>IF('Alternative 2'!F84&gt;0,'Alternative 2'!F84,"x")</f>
        <v>x</v>
      </c>
      <c r="B83" s="13" t="e">
        <f t="shared" si="35"/>
        <v>#VALUE!</v>
      </c>
      <c r="C83" s="13">
        <f t="shared" si="30"/>
        <v>0</v>
      </c>
      <c r="D83" s="13" t="str">
        <f t="shared" si="31"/>
        <v>x</v>
      </c>
      <c r="E83" s="74">
        <f>IF($A83&lt;='Alternative 2'!$B$27, IF($A83='Alternative 2'!$B$27,0,E84+1),0)</f>
        <v>0</v>
      </c>
      <c r="F83" s="74">
        <f>IF($A83&lt;=('Alternative 2'!$B$28), IF($A83=ROUNDDOWN('Alternative 2'!$B$28,0),0,F84+1),0)</f>
        <v>0</v>
      </c>
      <c r="G83" s="74">
        <f>IF($A83&lt;=('Alternative 2'!$B$29), IF($A83=ROUNDDOWN('Alternative 2'!$B$29,0),0,G84+1),0)</f>
        <v>0</v>
      </c>
      <c r="H83" s="13" t="e">
        <f t="shared" si="32"/>
        <v>#VALUE!</v>
      </c>
      <c r="J83" s="77">
        <f t="shared" si="33"/>
        <v>80</v>
      </c>
      <c r="K83" s="82">
        <f t="shared" si="34"/>
        <v>1.3962634015954636</v>
      </c>
      <c r="L83" s="78">
        <f>'Alternative 2'!$B$27*SIN(K83)+'Alternative 2'!$B$28*SIN(K83)+'Alternative 2'!$B$29*SIN(K83)</f>
        <v>66.966927204830142</v>
      </c>
      <c r="M83" s="77">
        <f>(('Alternative 2'!$B$27)*(((('Alternative 2'!$B$28-'Alternative 2'!$B$27)/2)+'Alternative 2'!$B$27)*'Alternative 2'!$B$39)*COS('Alternative 2-Tilt Up'!K83))+(('Alternative 2'!$B$28)*((('Alternative 2'!$B$28-'Alternative 2'!$B$27)/2)+(('Alternative 2'!$B$29-'Alternative 2'!$B$28)/2))*('Alternative 2'!$B$39)*COS('Alternative 2-Tilt Up'!K83))+(('Alternative 2'!$B$29)*((('Alternative 2'!$B$12-'Alternative 2'!$B$29+(('Alternative 2'!$B$29-'Alternative 2'!$B$28)/2)*('Alternative 2'!$B$39)*COS('Alternative 2-Tilt Up'!K83)))))</f>
        <v>824315.43342410494</v>
      </c>
      <c r="N83" s="77">
        <f t="shared" si="18"/>
        <v>36927.874750895659</v>
      </c>
      <c r="O83" s="77">
        <f>(((('Alternative 2'!$B$28-'Alternative 2'!$B$27)/2)+'Alternative 2'!$B$27)*('Alternative 2'!$B$39)*COS('Alternative 2-Tilt Up'!K83))+(((('Alternative 2'!$B$28-'Alternative 2'!$B$27)/2)+(('Alternative 2'!$B$29-'Alternative 2'!$B$28)/2))*('Alternative 2'!$B$39)*COS('Alternative 2-Tilt Up'!K83))+(((('Alternative 2'!$B$12-'Alternative 2'!$B$29)+(('Alternative 2'!$B$29-'Alternative 2'!$B$28)/2))*('Alternative 2'!$B$39)*COS('Alternative 2-Tilt Up'!K83)))</f>
        <v>53157.163933004151</v>
      </c>
      <c r="P83" s="82">
        <f t="shared" si="19"/>
        <v>6412.4581556056828</v>
      </c>
      <c r="R83" s="78" t="e">
        <f>'Alternative 2'!$B$39*$B83*$C83*COS($K$5)-($N$5/3)*$E83*SIN($K$5)-($N$5/3)*$F83*SIN($K$5)-($N$5/3)*$G83*SIN($K$5)</f>
        <v>#VALUE!</v>
      </c>
      <c r="S83" s="79" t="e">
        <f>IF(($A83&lt;'Alternative 2'!$B$27),(($H83*'Alternative 2'!$B$39)+(3*($N$5/3)*COS($K$5))),IF(($A83&lt;'Alternative 2'!$B$28),(($H83*'Alternative 2'!$B$39)+(2*(($N$5/3)*COS($K$5)))),IF(($A83&lt;'Alternative 2'!$B$29),(($H$3*'Alternative 2'!$B$39+(($N$5/3)*COS($K$5)))),($H83*'Alternative 2'!$B$39))))</f>
        <v>#VALUE!</v>
      </c>
      <c r="T83" s="78" t="e">
        <f>R83*'Alternative 2'!$K84/'Alternative 2'!$L84</f>
        <v>#VALUE!</v>
      </c>
      <c r="U83" s="78" t="e">
        <f>S83/'Alternative 2'!$M84</f>
        <v>#VALUE!</v>
      </c>
      <c r="V83" s="78" t="e">
        <f t="shared" si="20"/>
        <v>#VALUE!</v>
      </c>
      <c r="X83" s="78" t="e">
        <f>'Alternative 2'!$B$39*$B83*$C83*COS($K$13)-($N$12/3)*$E83*SIN($K$13)-($N$12/3)*$F83*SIN($K$13)-($N$12/3)*$G83*SIN($K$13)</f>
        <v>#VALUE!</v>
      </c>
      <c r="Y83" s="79" t="e">
        <f>IF(($A83&lt;'Alternative 2'!$B$27),(($H83*'Alternative 2'!$B$39)+(3*($N$12/3)*COS($K$13))),IF(($A83&lt;'Alternative 2'!$B$28),(($H83*'Alternative 2'!$B$39)+(2*(($N$12/3)*COS($K$13)))),IF(($A83&lt;'Alternative 2'!$B$29),(($H$3*'Alternative 2'!$B$39+(($N$12/3)*COS($K$13)))),($H83*'Alternative 2'!$B$39))))</f>
        <v>#VALUE!</v>
      </c>
      <c r="Z83" s="78" t="e">
        <f>X83*'Alternative 2'!$K84/'Alternative 2'!$L84</f>
        <v>#VALUE!</v>
      </c>
      <c r="AA83" s="78" t="e">
        <f>Y83/'Alternative 2'!$M84</f>
        <v>#VALUE!</v>
      </c>
      <c r="AB83" s="78" t="e">
        <f t="shared" si="21"/>
        <v>#VALUE!</v>
      </c>
      <c r="AD83" s="78" t="e">
        <f>'Alternative 2'!$B$39*$B83*$C83*COS($K$23)-($N$22/3)*$E83*SIN($K$23)-($N$22/3)*$F83*SIN($K$23)-($N$22/3)*$G83*SIN($K$23)</f>
        <v>#VALUE!</v>
      </c>
      <c r="AE83" s="79" t="e">
        <f>IF(($A83&lt;'Alternative 2'!$B$27),(($H83*'Alternative 2'!$B$39)+(3*($N$22/3)*COS($K$23))),IF(($A83&lt;'Alternative 2'!$B$28),(($H83*'Alternative 2'!$B$39)+(2*(($N$22/3)*COS($K$23)))),IF(($A83&lt;'Alternative 2'!$B$29),(($H$3*'Alternative 2'!$B$39+(($N$22/3)*COS($K$23)))),($H83*'Alternative 2'!$B$39))))</f>
        <v>#VALUE!</v>
      </c>
      <c r="AF83" s="78" t="e">
        <f>AD83*'Alternative 2'!$K84/'Alternative 2'!$L84</f>
        <v>#VALUE!</v>
      </c>
      <c r="AG83" s="78" t="e">
        <f>AE83/'Alternative 2'!$M84</f>
        <v>#VALUE!</v>
      </c>
      <c r="AH83" s="78" t="e">
        <f t="shared" si="22"/>
        <v>#VALUE!</v>
      </c>
      <c r="AJ83" s="78" t="e">
        <f>'Alternative 2'!$B$39*$B83*$C83*COS($K$33)-($N$32/3)*$E83*SIN($K$33)-($N$32/3)*$F83*SIN($K$33)-($N$32/3)*$G83*SIN($K$33)</f>
        <v>#VALUE!</v>
      </c>
      <c r="AK83" s="79" t="e">
        <f>IF(($A83&lt;'Alternative 2'!$B$27),(($H83*'Alternative 2'!$B$39)+(3*($N$32/3)*COS($K$33))),IF(($A83&lt;'Alternative 2'!$B$28),(($H83*'Alternative 2'!$B$39)+(2*(($N$32/3)*COS($K$33)))),IF(($A83&lt;'Alternative 2'!$B$29),(($H$3*'Alternative 2'!$B$39+(($N$32/3)*COS($K$33)))),($H83*'Alternative 2'!$B$39))))</f>
        <v>#VALUE!</v>
      </c>
      <c r="AL83" s="78" t="e">
        <f>AJ83*'Alternative 2'!$K84/'Alternative 2'!$L84</f>
        <v>#VALUE!</v>
      </c>
      <c r="AM83" s="78" t="e">
        <f>AK83/'Alternative 2'!$M84</f>
        <v>#VALUE!</v>
      </c>
      <c r="AN83" s="78" t="e">
        <f t="shared" si="23"/>
        <v>#VALUE!</v>
      </c>
      <c r="AP83" s="78" t="e">
        <f>'Alternative 2'!$B$39*$B83*$C83*COS($K$43)-($N$42/3)*$E83*SIN($K$43)-($N$42/3)*$F83*SIN($K$43)-($N$42/3)*$G83*SIN($K$43)</f>
        <v>#VALUE!</v>
      </c>
      <c r="AQ83" s="79" t="e">
        <f>IF(($A83&lt;'Alternative 2'!$B$27),(($H83*'Alternative 2'!$B$39)+(3*($N$42/3)*COS($K$43))),IF(($A83&lt;'Alternative 2'!$B$28),(($H83*'Alternative 2'!$B$39)+(2*(($N$42/3)*COS($K$43)))),IF(($A83&lt;'Alternative 2'!$B$29),(($H$3*'Alternative 2'!$B$39+(($N$42/3)*COS($K$43)))),($H83*'Alternative 2'!$B$39))))</f>
        <v>#VALUE!</v>
      </c>
      <c r="AR83" s="78" t="e">
        <f>AP83*'Alternative 2'!$K84/'Alternative 2'!$L84</f>
        <v>#VALUE!</v>
      </c>
      <c r="AS83" s="78" t="e">
        <f>AQ83/'Alternative 2'!$M84</f>
        <v>#VALUE!</v>
      </c>
      <c r="AT83" s="78" t="e">
        <f t="shared" si="24"/>
        <v>#VALUE!</v>
      </c>
      <c r="AV83" s="78" t="e">
        <f>'Alternative 2'!$B$39*$B83*$C83*COS($K$53)-($N$52/3)*$E83*SIN($K$53)-($N$52/3)*$F83*SIN($K$53)-($N$52/3)*$G83*SIN($K$53)</f>
        <v>#VALUE!</v>
      </c>
      <c r="AW83" s="79" t="e">
        <f>IF(($A83&lt;'Alternative 2'!$B$27),(($H83*'Alternative 2'!$B$39)+(3*($N$52/3)*COS($K$53))),IF(($A83&lt;'Alternative 2'!$B$28),(($H83*'Alternative 2'!$B$39)+(2*(($N$52/3)*COS($K$53)))),IF(($A83&lt;'Alternative 2'!$B$29),(($H$3*'Alternative 2'!$B$39+(($N$52/3)*COS($K$53)))),($H83*'Alternative 2'!$B$39))))</f>
        <v>#VALUE!</v>
      </c>
      <c r="AX83" s="78" t="e">
        <f>AV83*'Alternative 2'!$K84/'Alternative 2'!$L84</f>
        <v>#VALUE!</v>
      </c>
      <c r="AY83" s="78" t="e">
        <f>AW83/'Alternative 2'!$M84</f>
        <v>#VALUE!</v>
      </c>
      <c r="AZ83" s="78" t="e">
        <f t="shared" si="25"/>
        <v>#VALUE!</v>
      </c>
      <c r="BB83" s="78" t="e">
        <f>'Alternative 2'!$B$39*$B83*$C83*COS($K$63)-($N$62/3)*$E83*SIN($K$63)-($N$62/3)*$F83*SIN($K$63)-($N$62/3)*$G83*SIN($K$63)</f>
        <v>#VALUE!</v>
      </c>
      <c r="BC83" s="79" t="e">
        <f>IF(($A83&lt;'Alternative 2'!$B$27),(($H83*'Alternative 2'!$B$39)+(3*($N$62/3)*COS($K$63))),IF(($A83&lt;'Alternative 2'!$B$28),(($H83*'Alternative 2'!$B$39)+(2*(($N$62/3)*COS($K$63)))),IF(($A83&lt;'Alternative 2'!$B$29),(($H$3*'Alternative 2'!$B$39+(($N$62/3)*COS($K$63)))),($H83*'Alternative 2'!$B$39))))</f>
        <v>#VALUE!</v>
      </c>
      <c r="BD83" s="78" t="e">
        <f>BB83*'Alternative 2'!$K84/'Alternative 2'!$L84</f>
        <v>#VALUE!</v>
      </c>
      <c r="BE83" s="78" t="e">
        <f>BC83/'Alternative 2'!$M84</f>
        <v>#VALUE!</v>
      </c>
      <c r="BF83" s="78" t="e">
        <f t="shared" si="26"/>
        <v>#VALUE!</v>
      </c>
      <c r="BH83" s="78" t="e">
        <f>'Alternative 2'!$B$39*$B83*$C83*COS($K$73)-($N$72/3)*$E83*SIN($K$73)-($N$72/3)*$F83*SIN($K$73)-($N$72/3)*$G83*SIN($K$73)</f>
        <v>#VALUE!</v>
      </c>
      <c r="BI83" s="79" t="e">
        <f>IF(($A83&lt;'Alternative 2'!$B$27),(($H83*'Alternative 2'!$B$39)+(3*($N$72/3)*COS($K$73))),IF(($A83&lt;'Alternative 2'!$B$28),(($H83*'Alternative 2'!$B$39)+(2*(($N$72/3)*COS($K$73)))),IF(($A83&lt;'Alternative 2'!$B$29),(($H$3*'Alternative 2'!$B$39+(($N$72/3)*COS($K$73)))),($H83*'Alternative 2'!$B$39))))</f>
        <v>#VALUE!</v>
      </c>
      <c r="BJ83" s="78" t="e">
        <f>BH83*'Alternative 2'!$K84/'Alternative 2'!$L84</f>
        <v>#VALUE!</v>
      </c>
      <c r="BK83" s="78" t="e">
        <f>BI83/'Alternative 2'!$M84</f>
        <v>#VALUE!</v>
      </c>
      <c r="BL83" s="78" t="e">
        <f t="shared" si="27"/>
        <v>#VALUE!</v>
      </c>
      <c r="BN83" s="78" t="e">
        <f>'Alternative 2'!$B$39*$B83*$C83*COS($K$83)-($N$82/3)*$E83*SIN($K$83)-($N$82/3)*$F83*SIN($K$83)-($N$82/3)*$G83*SIN($K$83)</f>
        <v>#VALUE!</v>
      </c>
      <c r="BO83" s="79" t="e">
        <f>IF(($A83&lt;'Alternative 2'!$B$27),(($H83*'Alternative 2'!$B$39)+(3*($N$82/3)*COS($K$83))),IF(($A83&lt;'Alternative 2'!$B$28),(($H83*'Alternative 2'!$B$39)+(2*(($N$82/3)*COS($K$83)))),IF(($A83&lt;'Alternative 2'!$B$29),(($H$3*'Alternative 2'!$B$39+(($N$82/3)*COS($K$83)))),($H83*'Alternative 2'!$B$39))))</f>
        <v>#VALUE!</v>
      </c>
      <c r="BP83" s="78" t="e">
        <f>BN83*'Alternative 2'!$K84/'Alternative 2'!$L84</f>
        <v>#VALUE!</v>
      </c>
      <c r="BQ83" s="78" t="e">
        <f>BO83/'Alternative 2'!$M84</f>
        <v>#VALUE!</v>
      </c>
      <c r="BR83" s="78" t="e">
        <f t="shared" si="28"/>
        <v>#VALUE!</v>
      </c>
      <c r="BT83" s="78" t="e">
        <f>'Alternative 2'!$B$39*$B83*$C83*COS($K$93)-($K$92/3)*$E83*SIN($K$93)-($K$92/3)*$F83*SIN($K$93)-($K$92/3)*$G83*SIN($K$93)</f>
        <v>#VALUE!</v>
      </c>
      <c r="BU83" s="79" t="e">
        <f>IF(($A83&lt;'Alternative 2'!$B$27),(($H83*'Alternative 2'!$B$39)+(3*($N$92/3)*COS($K$93))),IF(($A83&lt;'Alternative 2'!$B$28),(($H83*'Alternative 2'!$B$39)+(2*(($N$92/3)*COS($K$93)))),IF(($A83&lt;'Alternative 2'!$B$29),(($H$3*'Alternative 2'!$B$39+(($N$92/3)*COS($K$93)))),($H83*'Alternative 2'!$B$39))))</f>
        <v>#VALUE!</v>
      </c>
      <c r="BV83" s="78" t="e">
        <f>BT83*'Alternative 2'!$K84/'Alternative 2'!$L84</f>
        <v>#VALUE!</v>
      </c>
      <c r="BW83" s="78" t="e">
        <f>BU83/'Alternative 2'!$M84</f>
        <v>#VALUE!</v>
      </c>
      <c r="BX83" s="78" t="e">
        <f t="shared" si="29"/>
        <v>#VALUE!</v>
      </c>
    </row>
    <row r="84" spans="1:76" ht="15" customHeight="1" x14ac:dyDescent="0.25">
      <c r="A84" s="13" t="str">
        <f>IF('Alternative 2'!F85&gt;0,'Alternative 2'!F85,"x")</f>
        <v>x</v>
      </c>
      <c r="B84" s="13" t="e">
        <f t="shared" si="35"/>
        <v>#VALUE!</v>
      </c>
      <c r="C84" s="13">
        <f t="shared" si="30"/>
        <v>0</v>
      </c>
      <c r="D84" s="13" t="str">
        <f t="shared" si="31"/>
        <v>x</v>
      </c>
      <c r="E84" s="74">
        <f>IF($A84&lt;='Alternative 2'!$B$27, IF($A84='Alternative 2'!$B$27,0,E85+1),0)</f>
        <v>0</v>
      </c>
      <c r="F84" s="74">
        <f>IF($A84&lt;=('Alternative 2'!$B$28), IF($A84=ROUNDDOWN('Alternative 2'!$B$28,0),0,F85+1),0)</f>
        <v>0</v>
      </c>
      <c r="G84" s="74">
        <f>IF($A84&lt;=('Alternative 2'!$B$29), IF($A84=ROUNDDOWN('Alternative 2'!$B$29,0),0,G85+1),0)</f>
        <v>0</v>
      </c>
      <c r="H84" s="13" t="e">
        <f t="shared" si="32"/>
        <v>#VALUE!</v>
      </c>
      <c r="J84" s="77">
        <f t="shared" si="33"/>
        <v>81</v>
      </c>
      <c r="K84" s="77">
        <f t="shared" si="34"/>
        <v>1.4137166941154069</v>
      </c>
      <c r="L84" s="78">
        <f>'Alternative 2'!$B$27*SIN(K84)+'Alternative 2'!$B$28*SIN(K84)+'Alternative 2'!$B$29*SIN(K84)</f>
        <v>67.16280716046937</v>
      </c>
      <c r="M84" s="77">
        <f>(('Alternative 2'!$B$27)*(((('Alternative 2'!$B$28-'Alternative 2'!$B$27)/2)+'Alternative 2'!$B$27)*'Alternative 2'!$B$39)*COS('Alternative 2-Tilt Up'!K84))+(('Alternative 2'!$B$28)*((('Alternative 2'!$B$28-'Alternative 2'!$B$27)/2)+(('Alternative 2'!$B$29-'Alternative 2'!$B$28)/2))*('Alternative 2'!$B$39)*COS('Alternative 2-Tilt Up'!K84))+(('Alternative 2'!$B$29)*((('Alternative 2'!$B$12-'Alternative 2'!$B$29+(('Alternative 2'!$B$29-'Alternative 2'!$B$28)/2)*('Alternative 2'!$B$39)*COS('Alternative 2-Tilt Up'!K84)))))</f>
        <v>742620.58561297739</v>
      </c>
      <c r="N84" s="77">
        <f t="shared" si="18"/>
        <v>33171.063733473682</v>
      </c>
      <c r="O84" s="77">
        <f>(((('Alternative 2'!$B$28-'Alternative 2'!$B$27)/2)+'Alternative 2'!$B$27)*('Alternative 2'!$B$39)*COS('Alternative 2-Tilt Up'!K84))+(((('Alternative 2'!$B$28-'Alternative 2'!$B$27)/2)+(('Alternative 2'!$B$29-'Alternative 2'!$B$28)/2))*('Alternative 2'!$B$39)*COS('Alternative 2-Tilt Up'!K84))+(((('Alternative 2'!$B$12-'Alternative 2'!$B$29)+(('Alternative 2'!$B$29-'Alternative 2'!$B$28)/2))*('Alternative 2'!$B$39)*COS('Alternative 2-Tilt Up'!K84)))</f>
        <v>47887.703831049119</v>
      </c>
      <c r="P84" s="77">
        <f t="shared" si="19"/>
        <v>5189.0976099613608</v>
      </c>
      <c r="R84" s="78" t="e">
        <f>'Alternative 2'!$B$39*$B84*$C84*COS($K$5)-($N$5/3)*$E84*SIN($K$5)-($N$5/3)*$F84*SIN($K$5)-($N$5/3)*$G84*SIN($K$5)</f>
        <v>#VALUE!</v>
      </c>
      <c r="S84" s="79" t="e">
        <f>IF(($A84&lt;'Alternative 2'!$B$27),(($H84*'Alternative 2'!$B$39)+(3*($N$5/3)*COS($K$5))),IF(($A84&lt;'Alternative 2'!$B$28),(($H84*'Alternative 2'!$B$39)+(2*(($N$5/3)*COS($K$5)))),IF(($A84&lt;'Alternative 2'!$B$29),(($H$3*'Alternative 2'!$B$39+(($N$5/3)*COS($K$5)))),($H84*'Alternative 2'!$B$39))))</f>
        <v>#VALUE!</v>
      </c>
      <c r="T84" s="78" t="e">
        <f>R84*'Alternative 2'!$K85/'Alternative 2'!$L85</f>
        <v>#VALUE!</v>
      </c>
      <c r="U84" s="78" t="e">
        <f>S84/'Alternative 2'!$M85</f>
        <v>#VALUE!</v>
      </c>
      <c r="V84" s="78" t="e">
        <f t="shared" si="20"/>
        <v>#VALUE!</v>
      </c>
      <c r="X84" s="78" t="e">
        <f>'Alternative 2'!$B$39*$B84*$C84*COS($K$13)-($N$12/3)*$E84*SIN($K$13)-($N$12/3)*$F84*SIN($K$13)-($N$12/3)*$G84*SIN($K$13)</f>
        <v>#VALUE!</v>
      </c>
      <c r="Y84" s="79" t="e">
        <f>IF(($A84&lt;'Alternative 2'!$B$27),(($H84*'Alternative 2'!$B$39)+(3*($N$12/3)*COS($K$13))),IF(($A84&lt;'Alternative 2'!$B$28),(($H84*'Alternative 2'!$B$39)+(2*(($N$12/3)*COS($K$13)))),IF(($A84&lt;'Alternative 2'!$B$29),(($H$3*'Alternative 2'!$B$39+(($N$12/3)*COS($K$13)))),($H84*'Alternative 2'!$B$39))))</f>
        <v>#VALUE!</v>
      </c>
      <c r="Z84" s="78" t="e">
        <f>X84*'Alternative 2'!$K85/'Alternative 2'!$L85</f>
        <v>#VALUE!</v>
      </c>
      <c r="AA84" s="78" t="e">
        <f>Y84/'Alternative 2'!$M85</f>
        <v>#VALUE!</v>
      </c>
      <c r="AB84" s="78" t="e">
        <f t="shared" si="21"/>
        <v>#VALUE!</v>
      </c>
      <c r="AD84" s="78" t="e">
        <f>'Alternative 2'!$B$39*$B84*$C84*COS($K$23)-($N$22/3)*$E84*SIN($K$23)-($N$22/3)*$F84*SIN($K$23)-($N$22/3)*$G84*SIN($K$23)</f>
        <v>#VALUE!</v>
      </c>
      <c r="AE84" s="79" t="e">
        <f>IF(($A84&lt;'Alternative 2'!$B$27),(($H84*'Alternative 2'!$B$39)+(3*($N$22/3)*COS($K$23))),IF(($A84&lt;'Alternative 2'!$B$28),(($H84*'Alternative 2'!$B$39)+(2*(($N$22/3)*COS($K$23)))),IF(($A84&lt;'Alternative 2'!$B$29),(($H$3*'Alternative 2'!$B$39+(($N$22/3)*COS($K$23)))),($H84*'Alternative 2'!$B$39))))</f>
        <v>#VALUE!</v>
      </c>
      <c r="AF84" s="78" t="e">
        <f>AD84*'Alternative 2'!$K85/'Alternative 2'!$L85</f>
        <v>#VALUE!</v>
      </c>
      <c r="AG84" s="78" t="e">
        <f>AE84/'Alternative 2'!$M85</f>
        <v>#VALUE!</v>
      </c>
      <c r="AH84" s="78" t="e">
        <f t="shared" si="22"/>
        <v>#VALUE!</v>
      </c>
      <c r="AJ84" s="78" t="e">
        <f>'Alternative 2'!$B$39*$B84*$C84*COS($K$33)-($N$32/3)*$E84*SIN($K$33)-($N$32/3)*$F84*SIN($K$33)-($N$32/3)*$G84*SIN($K$33)</f>
        <v>#VALUE!</v>
      </c>
      <c r="AK84" s="79" t="e">
        <f>IF(($A84&lt;'Alternative 2'!$B$27),(($H84*'Alternative 2'!$B$39)+(3*($N$32/3)*COS($K$33))),IF(($A84&lt;'Alternative 2'!$B$28),(($H84*'Alternative 2'!$B$39)+(2*(($N$32/3)*COS($K$33)))),IF(($A84&lt;'Alternative 2'!$B$29),(($H$3*'Alternative 2'!$B$39+(($N$32/3)*COS($K$33)))),($H84*'Alternative 2'!$B$39))))</f>
        <v>#VALUE!</v>
      </c>
      <c r="AL84" s="78" t="e">
        <f>AJ84*'Alternative 2'!$K85/'Alternative 2'!$L85</f>
        <v>#VALUE!</v>
      </c>
      <c r="AM84" s="78" t="e">
        <f>AK84/'Alternative 2'!$M85</f>
        <v>#VALUE!</v>
      </c>
      <c r="AN84" s="78" t="e">
        <f t="shared" si="23"/>
        <v>#VALUE!</v>
      </c>
      <c r="AP84" s="78" t="e">
        <f>'Alternative 2'!$B$39*$B84*$C84*COS($K$43)-($N$42/3)*$E84*SIN($K$43)-($N$42/3)*$F84*SIN($K$43)-($N$42/3)*$G84*SIN($K$43)</f>
        <v>#VALUE!</v>
      </c>
      <c r="AQ84" s="79" t="e">
        <f>IF(($A84&lt;'Alternative 2'!$B$27),(($H84*'Alternative 2'!$B$39)+(3*($N$42/3)*COS($K$43))),IF(($A84&lt;'Alternative 2'!$B$28),(($H84*'Alternative 2'!$B$39)+(2*(($N$42/3)*COS($K$43)))),IF(($A84&lt;'Alternative 2'!$B$29),(($H$3*'Alternative 2'!$B$39+(($N$42/3)*COS($K$43)))),($H84*'Alternative 2'!$B$39))))</f>
        <v>#VALUE!</v>
      </c>
      <c r="AR84" s="78" t="e">
        <f>AP84*'Alternative 2'!$K85/'Alternative 2'!$L85</f>
        <v>#VALUE!</v>
      </c>
      <c r="AS84" s="78" t="e">
        <f>AQ84/'Alternative 2'!$M85</f>
        <v>#VALUE!</v>
      </c>
      <c r="AT84" s="78" t="e">
        <f t="shared" si="24"/>
        <v>#VALUE!</v>
      </c>
      <c r="AV84" s="78" t="e">
        <f>'Alternative 2'!$B$39*$B84*$C84*COS($K$53)-($N$52/3)*$E84*SIN($K$53)-($N$52/3)*$F84*SIN($K$53)-($N$52/3)*$G84*SIN($K$53)</f>
        <v>#VALUE!</v>
      </c>
      <c r="AW84" s="79" t="e">
        <f>IF(($A84&lt;'Alternative 2'!$B$27),(($H84*'Alternative 2'!$B$39)+(3*($N$52/3)*COS($K$53))),IF(($A84&lt;'Alternative 2'!$B$28),(($H84*'Alternative 2'!$B$39)+(2*(($N$52/3)*COS($K$53)))),IF(($A84&lt;'Alternative 2'!$B$29),(($H$3*'Alternative 2'!$B$39+(($N$52/3)*COS($K$53)))),($H84*'Alternative 2'!$B$39))))</f>
        <v>#VALUE!</v>
      </c>
      <c r="AX84" s="78" t="e">
        <f>AV84*'Alternative 2'!$K85/'Alternative 2'!$L85</f>
        <v>#VALUE!</v>
      </c>
      <c r="AY84" s="78" t="e">
        <f>AW84/'Alternative 2'!$M85</f>
        <v>#VALUE!</v>
      </c>
      <c r="AZ84" s="78" t="e">
        <f t="shared" si="25"/>
        <v>#VALUE!</v>
      </c>
      <c r="BB84" s="78" t="e">
        <f>'Alternative 2'!$B$39*$B84*$C84*COS($K$63)-($N$62/3)*$E84*SIN($K$63)-($N$62/3)*$F84*SIN($K$63)-($N$62/3)*$G84*SIN($K$63)</f>
        <v>#VALUE!</v>
      </c>
      <c r="BC84" s="79" t="e">
        <f>IF(($A84&lt;'Alternative 2'!$B$27),(($H84*'Alternative 2'!$B$39)+(3*($N$62/3)*COS($K$63))),IF(($A84&lt;'Alternative 2'!$B$28),(($H84*'Alternative 2'!$B$39)+(2*(($N$62/3)*COS($K$63)))),IF(($A84&lt;'Alternative 2'!$B$29),(($H$3*'Alternative 2'!$B$39+(($N$62/3)*COS($K$63)))),($H84*'Alternative 2'!$B$39))))</f>
        <v>#VALUE!</v>
      </c>
      <c r="BD84" s="78" t="e">
        <f>BB84*'Alternative 2'!$K85/'Alternative 2'!$L85</f>
        <v>#VALUE!</v>
      </c>
      <c r="BE84" s="78" t="e">
        <f>BC84/'Alternative 2'!$M85</f>
        <v>#VALUE!</v>
      </c>
      <c r="BF84" s="78" t="e">
        <f t="shared" si="26"/>
        <v>#VALUE!</v>
      </c>
      <c r="BH84" s="78" t="e">
        <f>'Alternative 2'!$B$39*$B84*$C84*COS($K$73)-($N$72/3)*$E84*SIN($K$73)-($N$72/3)*$F84*SIN($K$73)-($N$72/3)*$G84*SIN($K$73)</f>
        <v>#VALUE!</v>
      </c>
      <c r="BI84" s="79" t="e">
        <f>IF(($A84&lt;'Alternative 2'!$B$27),(($H84*'Alternative 2'!$B$39)+(3*($N$72/3)*COS($K$73))),IF(($A84&lt;'Alternative 2'!$B$28),(($H84*'Alternative 2'!$B$39)+(2*(($N$72/3)*COS($K$73)))),IF(($A84&lt;'Alternative 2'!$B$29),(($H$3*'Alternative 2'!$B$39+(($N$72/3)*COS($K$73)))),($H84*'Alternative 2'!$B$39))))</f>
        <v>#VALUE!</v>
      </c>
      <c r="BJ84" s="78" t="e">
        <f>BH84*'Alternative 2'!$K85/'Alternative 2'!$L85</f>
        <v>#VALUE!</v>
      </c>
      <c r="BK84" s="78" t="e">
        <f>BI84/'Alternative 2'!$M85</f>
        <v>#VALUE!</v>
      </c>
      <c r="BL84" s="78" t="e">
        <f t="shared" si="27"/>
        <v>#VALUE!</v>
      </c>
      <c r="BN84" s="78" t="e">
        <f>'Alternative 2'!$B$39*$B84*$C84*COS($K$83)-($N$82/3)*$E84*SIN($K$83)-($N$82/3)*$F84*SIN($K$83)-($N$82/3)*$G84*SIN($K$83)</f>
        <v>#VALUE!</v>
      </c>
      <c r="BO84" s="79" t="e">
        <f>IF(($A84&lt;'Alternative 2'!$B$27),(($H84*'Alternative 2'!$B$39)+(3*($N$82/3)*COS($K$83))),IF(($A84&lt;'Alternative 2'!$B$28),(($H84*'Alternative 2'!$B$39)+(2*(($N$82/3)*COS($K$83)))),IF(($A84&lt;'Alternative 2'!$B$29),(($H$3*'Alternative 2'!$B$39+(($N$82/3)*COS($K$83)))),($H84*'Alternative 2'!$B$39))))</f>
        <v>#VALUE!</v>
      </c>
      <c r="BP84" s="78" t="e">
        <f>BN84*'Alternative 2'!$K85/'Alternative 2'!$L85</f>
        <v>#VALUE!</v>
      </c>
      <c r="BQ84" s="78" t="e">
        <f>BO84/'Alternative 2'!$M85</f>
        <v>#VALUE!</v>
      </c>
      <c r="BR84" s="78" t="e">
        <f t="shared" si="28"/>
        <v>#VALUE!</v>
      </c>
      <c r="BT84" s="78" t="e">
        <f>'Alternative 2'!$B$39*$B84*$C84*COS($K$93)-($K$92/3)*$E84*SIN($K$93)-($K$92/3)*$F84*SIN($K$93)-($K$92/3)*$G84*SIN($K$93)</f>
        <v>#VALUE!</v>
      </c>
      <c r="BU84" s="79" t="e">
        <f>IF(($A84&lt;'Alternative 2'!$B$27),(($H84*'Alternative 2'!$B$39)+(3*($N$92/3)*COS($K$93))),IF(($A84&lt;'Alternative 2'!$B$28),(($H84*'Alternative 2'!$B$39)+(2*(($N$92/3)*COS($K$93)))),IF(($A84&lt;'Alternative 2'!$B$29),(($H$3*'Alternative 2'!$B$39+(($N$92/3)*COS($K$93)))),($H84*'Alternative 2'!$B$39))))</f>
        <v>#VALUE!</v>
      </c>
      <c r="BV84" s="78" t="e">
        <f>BT84*'Alternative 2'!$K85/'Alternative 2'!$L85</f>
        <v>#VALUE!</v>
      </c>
      <c r="BW84" s="78" t="e">
        <f>BU84/'Alternative 2'!$M85</f>
        <v>#VALUE!</v>
      </c>
      <c r="BX84" s="78" t="e">
        <f t="shared" si="29"/>
        <v>#VALUE!</v>
      </c>
    </row>
    <row r="85" spans="1:76" ht="15" customHeight="1" x14ac:dyDescent="0.25">
      <c r="A85" s="13" t="str">
        <f>IF('Alternative 2'!F86&gt;0,'Alternative 2'!F86,"x")</f>
        <v>x</v>
      </c>
      <c r="B85" s="13" t="e">
        <f t="shared" si="35"/>
        <v>#VALUE!</v>
      </c>
      <c r="C85" s="13">
        <f t="shared" si="30"/>
        <v>0</v>
      </c>
      <c r="D85" s="13" t="str">
        <f t="shared" si="31"/>
        <v>x</v>
      </c>
      <c r="E85" s="74">
        <f>IF($A85&lt;='Alternative 2'!$B$27, IF($A85='Alternative 2'!$B$27,0,E86+1),0)</f>
        <v>0</v>
      </c>
      <c r="F85" s="74">
        <f>IF($A85&lt;=('Alternative 2'!$B$28), IF($A85=ROUNDDOWN('Alternative 2'!$B$28,0),0,F86+1),0)</f>
        <v>0</v>
      </c>
      <c r="G85" s="74">
        <f>IF($A85&lt;=('Alternative 2'!$B$29), IF($A85=ROUNDDOWN('Alternative 2'!$B$29,0),0,G86+1),0)</f>
        <v>0</v>
      </c>
      <c r="H85" s="13" t="e">
        <f t="shared" si="32"/>
        <v>#VALUE!</v>
      </c>
      <c r="J85" s="77">
        <f t="shared" si="33"/>
        <v>82</v>
      </c>
      <c r="K85" s="77">
        <f t="shared" si="34"/>
        <v>1.43116998663535</v>
      </c>
      <c r="L85" s="78">
        <f>'Alternative 2'!$B$27*SIN(K85)+'Alternative 2'!$B$28*SIN(K85)+'Alternative 2'!$B$29*SIN(K85)</f>
        <v>67.338228674426773</v>
      </c>
      <c r="M85" s="77">
        <f>(('Alternative 2'!$B$27)*(((('Alternative 2'!$B$28-'Alternative 2'!$B$27)/2)+'Alternative 2'!$B$27)*'Alternative 2'!$B$39)*COS('Alternative 2-Tilt Up'!K85))+(('Alternative 2'!$B$28)*((('Alternative 2'!$B$28-'Alternative 2'!$B$27)/2)+(('Alternative 2'!$B$29-'Alternative 2'!$B$28)/2))*('Alternative 2'!$B$39)*COS('Alternative 2-Tilt Up'!K85))+(('Alternative 2'!$B$29)*((('Alternative 2'!$B$12-'Alternative 2'!$B$29+(('Alternative 2'!$B$29-'Alternative 2'!$B$28)/2)*('Alternative 2'!$B$39)*COS('Alternative 2-Tilt Up'!K85)))))</f>
        <v>660699.58796867402</v>
      </c>
      <c r="N85" s="77">
        <f t="shared" si="18"/>
        <v>29434.970341873119</v>
      </c>
      <c r="O85" s="77">
        <f>(((('Alternative 2'!$B$28-'Alternative 2'!$B$27)/2)+'Alternative 2'!$B$27)*('Alternative 2'!$B$39)*COS('Alternative 2-Tilt Up'!K85))+(((('Alternative 2'!$B$28-'Alternative 2'!$B$27)/2)+(('Alternative 2'!$B$29-'Alternative 2'!$B$28)/2))*('Alternative 2'!$B$39)*COS('Alternative 2-Tilt Up'!K85))+(((('Alternative 2'!$B$12-'Alternative 2'!$B$29)+(('Alternative 2'!$B$29-'Alternative 2'!$B$28)/2))*('Alternative 2'!$B$39)*COS('Alternative 2-Tilt Up'!K85)))</f>
        <v>42603.656670608616</v>
      </c>
      <c r="P85" s="77">
        <f t="shared" si="19"/>
        <v>4096.556099146047</v>
      </c>
      <c r="R85" s="78" t="e">
        <f>'Alternative 2'!$B$39*$B85*$C85*COS($K$5)-($N$5/3)*$E85*SIN($K$5)-($N$5/3)*$F85*SIN($K$5)-($N$5/3)*$G85*SIN($K$5)</f>
        <v>#VALUE!</v>
      </c>
      <c r="S85" s="79" t="e">
        <f>IF(($A85&lt;'Alternative 2'!$B$27),(($H85*'Alternative 2'!$B$39)+(3*($N$5/3)*COS($K$5))),IF(($A85&lt;'Alternative 2'!$B$28),(($H85*'Alternative 2'!$B$39)+(2*(($N$5/3)*COS($K$5)))),IF(($A85&lt;'Alternative 2'!$B$29),(($H$3*'Alternative 2'!$B$39+(($N$5/3)*COS($K$5)))),($H85*'Alternative 2'!$B$39))))</f>
        <v>#VALUE!</v>
      </c>
      <c r="T85" s="78" t="e">
        <f>R85*'Alternative 2'!$K86/'Alternative 2'!$L86</f>
        <v>#VALUE!</v>
      </c>
      <c r="U85" s="78" t="e">
        <f>S85/'Alternative 2'!$M86</f>
        <v>#VALUE!</v>
      </c>
      <c r="V85" s="78" t="e">
        <f t="shared" si="20"/>
        <v>#VALUE!</v>
      </c>
      <c r="X85" s="78" t="e">
        <f>'Alternative 2'!$B$39*$B85*$C85*COS($K$13)-($N$12/3)*$E85*SIN($K$13)-($N$12/3)*$F85*SIN($K$13)-($N$12/3)*$G85*SIN($K$13)</f>
        <v>#VALUE!</v>
      </c>
      <c r="Y85" s="79" t="e">
        <f>IF(($A85&lt;'Alternative 2'!$B$27),(($H85*'Alternative 2'!$B$39)+(3*($N$12/3)*COS($K$13))),IF(($A85&lt;'Alternative 2'!$B$28),(($H85*'Alternative 2'!$B$39)+(2*(($N$12/3)*COS($K$13)))),IF(($A85&lt;'Alternative 2'!$B$29),(($H$3*'Alternative 2'!$B$39+(($N$12/3)*COS($K$13)))),($H85*'Alternative 2'!$B$39))))</f>
        <v>#VALUE!</v>
      </c>
      <c r="Z85" s="78" t="e">
        <f>X85*'Alternative 2'!$K86/'Alternative 2'!$L86</f>
        <v>#VALUE!</v>
      </c>
      <c r="AA85" s="78" t="e">
        <f>Y85/'Alternative 2'!$M86</f>
        <v>#VALUE!</v>
      </c>
      <c r="AB85" s="78" t="e">
        <f t="shared" si="21"/>
        <v>#VALUE!</v>
      </c>
      <c r="AD85" s="78" t="e">
        <f>'Alternative 2'!$B$39*$B85*$C85*COS($K$23)-($N$22/3)*$E85*SIN($K$23)-($N$22/3)*$F85*SIN($K$23)-($N$22/3)*$G85*SIN($K$23)</f>
        <v>#VALUE!</v>
      </c>
      <c r="AE85" s="79" t="e">
        <f>IF(($A85&lt;'Alternative 2'!$B$27),(($H85*'Alternative 2'!$B$39)+(3*($N$22/3)*COS($K$23))),IF(($A85&lt;'Alternative 2'!$B$28),(($H85*'Alternative 2'!$B$39)+(2*(($N$22/3)*COS($K$23)))),IF(($A85&lt;'Alternative 2'!$B$29),(($H$3*'Alternative 2'!$B$39+(($N$22/3)*COS($K$23)))),($H85*'Alternative 2'!$B$39))))</f>
        <v>#VALUE!</v>
      </c>
      <c r="AF85" s="78" t="e">
        <f>AD85*'Alternative 2'!$K86/'Alternative 2'!$L86</f>
        <v>#VALUE!</v>
      </c>
      <c r="AG85" s="78" t="e">
        <f>AE85/'Alternative 2'!$M86</f>
        <v>#VALUE!</v>
      </c>
      <c r="AH85" s="78" t="e">
        <f t="shared" si="22"/>
        <v>#VALUE!</v>
      </c>
      <c r="AJ85" s="78" t="e">
        <f>'Alternative 2'!$B$39*$B85*$C85*COS($K$33)-($N$32/3)*$E85*SIN($K$33)-($N$32/3)*$F85*SIN($K$33)-($N$32/3)*$G85*SIN($K$33)</f>
        <v>#VALUE!</v>
      </c>
      <c r="AK85" s="79" t="e">
        <f>IF(($A85&lt;'Alternative 2'!$B$27),(($H85*'Alternative 2'!$B$39)+(3*($N$32/3)*COS($K$33))),IF(($A85&lt;'Alternative 2'!$B$28),(($H85*'Alternative 2'!$B$39)+(2*(($N$32/3)*COS($K$33)))),IF(($A85&lt;'Alternative 2'!$B$29),(($H$3*'Alternative 2'!$B$39+(($N$32/3)*COS($K$33)))),($H85*'Alternative 2'!$B$39))))</f>
        <v>#VALUE!</v>
      </c>
      <c r="AL85" s="78" t="e">
        <f>AJ85*'Alternative 2'!$K86/'Alternative 2'!$L86</f>
        <v>#VALUE!</v>
      </c>
      <c r="AM85" s="78" t="e">
        <f>AK85/'Alternative 2'!$M86</f>
        <v>#VALUE!</v>
      </c>
      <c r="AN85" s="78" t="e">
        <f t="shared" si="23"/>
        <v>#VALUE!</v>
      </c>
      <c r="AP85" s="78" t="e">
        <f>'Alternative 2'!$B$39*$B85*$C85*COS($K$43)-($N$42/3)*$E85*SIN($K$43)-($N$42/3)*$F85*SIN($K$43)-($N$42/3)*$G85*SIN($K$43)</f>
        <v>#VALUE!</v>
      </c>
      <c r="AQ85" s="79" t="e">
        <f>IF(($A85&lt;'Alternative 2'!$B$27),(($H85*'Alternative 2'!$B$39)+(3*($N$42/3)*COS($K$43))),IF(($A85&lt;'Alternative 2'!$B$28),(($H85*'Alternative 2'!$B$39)+(2*(($N$42/3)*COS($K$43)))),IF(($A85&lt;'Alternative 2'!$B$29),(($H$3*'Alternative 2'!$B$39+(($N$42/3)*COS($K$43)))),($H85*'Alternative 2'!$B$39))))</f>
        <v>#VALUE!</v>
      </c>
      <c r="AR85" s="78" t="e">
        <f>AP85*'Alternative 2'!$K86/'Alternative 2'!$L86</f>
        <v>#VALUE!</v>
      </c>
      <c r="AS85" s="78" t="e">
        <f>AQ85/'Alternative 2'!$M86</f>
        <v>#VALUE!</v>
      </c>
      <c r="AT85" s="78" t="e">
        <f t="shared" si="24"/>
        <v>#VALUE!</v>
      </c>
      <c r="AV85" s="78" t="e">
        <f>'Alternative 2'!$B$39*$B85*$C85*COS($K$53)-($N$52/3)*$E85*SIN($K$53)-($N$52/3)*$F85*SIN($K$53)-($N$52/3)*$G85*SIN($K$53)</f>
        <v>#VALUE!</v>
      </c>
      <c r="AW85" s="79" t="e">
        <f>IF(($A85&lt;'Alternative 2'!$B$27),(($H85*'Alternative 2'!$B$39)+(3*($N$52/3)*COS($K$53))),IF(($A85&lt;'Alternative 2'!$B$28),(($H85*'Alternative 2'!$B$39)+(2*(($N$52/3)*COS($K$53)))),IF(($A85&lt;'Alternative 2'!$B$29),(($H$3*'Alternative 2'!$B$39+(($N$52/3)*COS($K$53)))),($H85*'Alternative 2'!$B$39))))</f>
        <v>#VALUE!</v>
      </c>
      <c r="AX85" s="78" t="e">
        <f>AV85*'Alternative 2'!$K86/'Alternative 2'!$L86</f>
        <v>#VALUE!</v>
      </c>
      <c r="AY85" s="78" t="e">
        <f>AW85/'Alternative 2'!$M86</f>
        <v>#VALUE!</v>
      </c>
      <c r="AZ85" s="78" t="e">
        <f t="shared" si="25"/>
        <v>#VALUE!</v>
      </c>
      <c r="BB85" s="78" t="e">
        <f>'Alternative 2'!$B$39*$B85*$C85*COS($K$63)-($N$62/3)*$E85*SIN($K$63)-($N$62/3)*$F85*SIN($K$63)-($N$62/3)*$G85*SIN($K$63)</f>
        <v>#VALUE!</v>
      </c>
      <c r="BC85" s="79" t="e">
        <f>IF(($A85&lt;'Alternative 2'!$B$27),(($H85*'Alternative 2'!$B$39)+(3*($N$62/3)*COS($K$63))),IF(($A85&lt;'Alternative 2'!$B$28),(($H85*'Alternative 2'!$B$39)+(2*(($N$62/3)*COS($K$63)))),IF(($A85&lt;'Alternative 2'!$B$29),(($H$3*'Alternative 2'!$B$39+(($N$62/3)*COS($K$63)))),($H85*'Alternative 2'!$B$39))))</f>
        <v>#VALUE!</v>
      </c>
      <c r="BD85" s="78" t="e">
        <f>BB85*'Alternative 2'!$K86/'Alternative 2'!$L86</f>
        <v>#VALUE!</v>
      </c>
      <c r="BE85" s="78" t="e">
        <f>BC85/'Alternative 2'!$M86</f>
        <v>#VALUE!</v>
      </c>
      <c r="BF85" s="78" t="e">
        <f t="shared" si="26"/>
        <v>#VALUE!</v>
      </c>
      <c r="BH85" s="78" t="e">
        <f>'Alternative 2'!$B$39*$B85*$C85*COS($K$73)-($N$72/3)*$E85*SIN($K$73)-($N$72/3)*$F85*SIN($K$73)-($N$72/3)*$G85*SIN($K$73)</f>
        <v>#VALUE!</v>
      </c>
      <c r="BI85" s="79" t="e">
        <f>IF(($A85&lt;'Alternative 2'!$B$27),(($H85*'Alternative 2'!$B$39)+(3*($N$72/3)*COS($K$73))),IF(($A85&lt;'Alternative 2'!$B$28),(($H85*'Alternative 2'!$B$39)+(2*(($N$72/3)*COS($K$73)))),IF(($A85&lt;'Alternative 2'!$B$29),(($H$3*'Alternative 2'!$B$39+(($N$72/3)*COS($K$73)))),($H85*'Alternative 2'!$B$39))))</f>
        <v>#VALUE!</v>
      </c>
      <c r="BJ85" s="78" t="e">
        <f>BH85*'Alternative 2'!$K86/'Alternative 2'!$L86</f>
        <v>#VALUE!</v>
      </c>
      <c r="BK85" s="78" t="e">
        <f>BI85/'Alternative 2'!$M86</f>
        <v>#VALUE!</v>
      </c>
      <c r="BL85" s="78" t="e">
        <f t="shared" si="27"/>
        <v>#VALUE!</v>
      </c>
      <c r="BN85" s="78" t="e">
        <f>'Alternative 2'!$B$39*$B85*$C85*COS($K$83)-($N$82/3)*$E85*SIN($K$83)-($N$82/3)*$F85*SIN($K$83)-($N$82/3)*$G85*SIN($K$83)</f>
        <v>#VALUE!</v>
      </c>
      <c r="BO85" s="79" t="e">
        <f>IF(($A85&lt;'Alternative 2'!$B$27),(($H85*'Alternative 2'!$B$39)+(3*($N$82/3)*COS($K$83))),IF(($A85&lt;'Alternative 2'!$B$28),(($H85*'Alternative 2'!$B$39)+(2*(($N$82/3)*COS($K$83)))),IF(($A85&lt;'Alternative 2'!$B$29),(($H$3*'Alternative 2'!$B$39+(($N$82/3)*COS($K$83)))),($H85*'Alternative 2'!$B$39))))</f>
        <v>#VALUE!</v>
      </c>
      <c r="BP85" s="78" t="e">
        <f>BN85*'Alternative 2'!$K86/'Alternative 2'!$L86</f>
        <v>#VALUE!</v>
      </c>
      <c r="BQ85" s="78" t="e">
        <f>BO85/'Alternative 2'!$M86</f>
        <v>#VALUE!</v>
      </c>
      <c r="BR85" s="78" t="e">
        <f t="shared" si="28"/>
        <v>#VALUE!</v>
      </c>
      <c r="BT85" s="78" t="e">
        <f>'Alternative 2'!$B$39*$B85*$C85*COS($K$93)-($K$92/3)*$E85*SIN($K$93)-($K$92/3)*$F85*SIN($K$93)-($K$92/3)*$G85*SIN($K$93)</f>
        <v>#VALUE!</v>
      </c>
      <c r="BU85" s="79" t="e">
        <f>IF(($A85&lt;'Alternative 2'!$B$27),(($H85*'Alternative 2'!$B$39)+(3*($N$92/3)*COS($K$93))),IF(($A85&lt;'Alternative 2'!$B$28),(($H85*'Alternative 2'!$B$39)+(2*(($N$92/3)*COS($K$93)))),IF(($A85&lt;'Alternative 2'!$B$29),(($H$3*'Alternative 2'!$B$39+(($N$92/3)*COS($K$93)))),($H85*'Alternative 2'!$B$39))))</f>
        <v>#VALUE!</v>
      </c>
      <c r="BV85" s="78" t="e">
        <f>BT85*'Alternative 2'!$K86/'Alternative 2'!$L86</f>
        <v>#VALUE!</v>
      </c>
      <c r="BW85" s="78" t="e">
        <f>BU85/'Alternative 2'!$M86</f>
        <v>#VALUE!</v>
      </c>
      <c r="BX85" s="78" t="e">
        <f t="shared" si="29"/>
        <v>#VALUE!</v>
      </c>
    </row>
    <row r="86" spans="1:76" ht="15" customHeight="1" x14ac:dyDescent="0.25">
      <c r="A86" s="13" t="str">
        <f>IF('Alternative 2'!F87&gt;0,'Alternative 2'!F87,"x")</f>
        <v>x</v>
      </c>
      <c r="B86" s="13" t="e">
        <f t="shared" si="35"/>
        <v>#VALUE!</v>
      </c>
      <c r="C86" s="13">
        <f t="shared" si="30"/>
        <v>0</v>
      </c>
      <c r="D86" s="13" t="str">
        <f t="shared" si="31"/>
        <v>x</v>
      </c>
      <c r="E86" s="74">
        <f>IF($A86&lt;='Alternative 2'!$B$27, IF($A86='Alternative 2'!$B$27,0,E87+1),0)</f>
        <v>0</v>
      </c>
      <c r="F86" s="74">
        <f>IF($A86&lt;=('Alternative 2'!$B$28), IF($A86=ROUNDDOWN('Alternative 2'!$B$28,0),0,F87+1),0)</f>
        <v>0</v>
      </c>
      <c r="G86" s="74">
        <f>IF($A86&lt;=('Alternative 2'!$B$29), IF($A86=ROUNDDOWN('Alternative 2'!$B$29,0),0,G87+1),0)</f>
        <v>0</v>
      </c>
      <c r="H86" s="13" t="e">
        <f t="shared" si="32"/>
        <v>#VALUE!</v>
      </c>
      <c r="J86" s="77">
        <f t="shared" si="33"/>
        <v>83</v>
      </c>
      <c r="K86" s="77">
        <f t="shared" si="34"/>
        <v>1.4486232791552935</v>
      </c>
      <c r="L86" s="78">
        <f>'Alternative 2'!$B$27*SIN(K86)+'Alternative 2'!$B$28*SIN(K86)+'Alternative 2'!$B$29*SIN(K86)</f>
        <v>67.493138311609897</v>
      </c>
      <c r="M86" s="77">
        <f>(('Alternative 2'!$B$27)*(((('Alternative 2'!$B$28-'Alternative 2'!$B$27)/2)+'Alternative 2'!$B$27)*'Alternative 2'!$B$39)*COS('Alternative 2-Tilt Up'!K86))+(('Alternative 2'!$B$28)*((('Alternative 2'!$B$28-'Alternative 2'!$B$27)/2)+(('Alternative 2'!$B$29-'Alternative 2'!$B$28)/2))*('Alternative 2'!$B$39)*COS('Alternative 2-Tilt Up'!K86))+(('Alternative 2'!$B$29)*((('Alternative 2'!$B$12-'Alternative 2'!$B$29+(('Alternative 2'!$B$29-'Alternative 2'!$B$28)/2)*('Alternative 2'!$B$39)*COS('Alternative 2-Tilt Up'!K86)))))</f>
        <v>578577.3944206608</v>
      </c>
      <c r="N86" s="77">
        <f t="shared" si="18"/>
        <v>25717.16513237626</v>
      </c>
      <c r="O86" s="77">
        <f>(((('Alternative 2'!$B$28-'Alternative 2'!$B$27)/2)+'Alternative 2'!$B$27)*('Alternative 2'!$B$39)*COS('Alternative 2-Tilt Up'!K86))+(((('Alternative 2'!$B$28-'Alternative 2'!$B$27)/2)+(('Alternative 2'!$B$29-'Alternative 2'!$B$28)/2))*('Alternative 2'!$B$39)*COS('Alternative 2-Tilt Up'!K86))+(((('Alternative 2'!$B$12-'Alternative 2'!$B$29)+(('Alternative 2'!$B$29-'Alternative 2'!$B$28)/2))*('Alternative 2'!$B$39)*COS('Alternative 2-Tilt Up'!K86)))</f>
        <v>37306.632023635219</v>
      </c>
      <c r="P86" s="77">
        <f t="shared" si="19"/>
        <v>3134.1340289244476</v>
      </c>
      <c r="R86" s="78" t="e">
        <f>'Alternative 2'!$B$39*$B86*$C86*COS($K$5)-($N$5/3)*$E86*SIN($K$5)-($N$5/3)*$F86*SIN($K$5)-($N$5/3)*$G86*SIN($K$5)</f>
        <v>#VALUE!</v>
      </c>
      <c r="S86" s="79" t="e">
        <f>IF(($A86&lt;'Alternative 2'!$B$27),(($H86*'Alternative 2'!$B$39)+(3*($N$5/3)*COS($K$5))),IF(($A86&lt;'Alternative 2'!$B$28),(($H86*'Alternative 2'!$B$39)+(2*(($N$5/3)*COS($K$5)))),IF(($A86&lt;'Alternative 2'!$B$29),(($H$3*'Alternative 2'!$B$39+(($N$5/3)*COS($K$5)))),($H86*'Alternative 2'!$B$39))))</f>
        <v>#VALUE!</v>
      </c>
      <c r="T86" s="78" t="e">
        <f>R86*'Alternative 2'!$K87/'Alternative 2'!$L87</f>
        <v>#VALUE!</v>
      </c>
      <c r="U86" s="78" t="e">
        <f>S86/'Alternative 2'!$M87</f>
        <v>#VALUE!</v>
      </c>
      <c r="V86" s="78" t="e">
        <f t="shared" si="20"/>
        <v>#VALUE!</v>
      </c>
      <c r="X86" s="78" t="e">
        <f>'Alternative 2'!$B$39*$B86*$C86*COS($K$13)-($N$12/3)*$E86*SIN($K$13)-($N$12/3)*$F86*SIN($K$13)-($N$12/3)*$G86*SIN($K$13)</f>
        <v>#VALUE!</v>
      </c>
      <c r="Y86" s="79" t="e">
        <f>IF(($A86&lt;'Alternative 2'!$B$27),(($H86*'Alternative 2'!$B$39)+(3*($N$12/3)*COS($K$13))),IF(($A86&lt;'Alternative 2'!$B$28),(($H86*'Alternative 2'!$B$39)+(2*(($N$12/3)*COS($K$13)))),IF(($A86&lt;'Alternative 2'!$B$29),(($H$3*'Alternative 2'!$B$39+(($N$12/3)*COS($K$13)))),($H86*'Alternative 2'!$B$39))))</f>
        <v>#VALUE!</v>
      </c>
      <c r="Z86" s="78" t="e">
        <f>X86*'Alternative 2'!$K87/'Alternative 2'!$L87</f>
        <v>#VALUE!</v>
      </c>
      <c r="AA86" s="78" t="e">
        <f>Y86/'Alternative 2'!$M87</f>
        <v>#VALUE!</v>
      </c>
      <c r="AB86" s="78" t="e">
        <f t="shared" si="21"/>
        <v>#VALUE!</v>
      </c>
      <c r="AD86" s="78" t="e">
        <f>'Alternative 2'!$B$39*$B86*$C86*COS($K$23)-($N$22/3)*$E86*SIN($K$23)-($N$22/3)*$F86*SIN($K$23)-($N$22/3)*$G86*SIN($K$23)</f>
        <v>#VALUE!</v>
      </c>
      <c r="AE86" s="79" t="e">
        <f>IF(($A86&lt;'Alternative 2'!$B$27),(($H86*'Alternative 2'!$B$39)+(3*($N$22/3)*COS($K$23))),IF(($A86&lt;'Alternative 2'!$B$28),(($H86*'Alternative 2'!$B$39)+(2*(($N$22/3)*COS($K$23)))),IF(($A86&lt;'Alternative 2'!$B$29),(($H$3*'Alternative 2'!$B$39+(($N$22/3)*COS($K$23)))),($H86*'Alternative 2'!$B$39))))</f>
        <v>#VALUE!</v>
      </c>
      <c r="AF86" s="78" t="e">
        <f>AD86*'Alternative 2'!$K87/'Alternative 2'!$L87</f>
        <v>#VALUE!</v>
      </c>
      <c r="AG86" s="78" t="e">
        <f>AE86/'Alternative 2'!$M87</f>
        <v>#VALUE!</v>
      </c>
      <c r="AH86" s="78" t="e">
        <f t="shared" si="22"/>
        <v>#VALUE!</v>
      </c>
      <c r="AJ86" s="78" t="e">
        <f>'Alternative 2'!$B$39*$B86*$C86*COS($K$33)-($N$32/3)*$E86*SIN($K$33)-($N$32/3)*$F86*SIN($K$33)-($N$32/3)*$G86*SIN($K$33)</f>
        <v>#VALUE!</v>
      </c>
      <c r="AK86" s="79" t="e">
        <f>IF(($A86&lt;'Alternative 2'!$B$27),(($H86*'Alternative 2'!$B$39)+(3*($N$32/3)*COS($K$33))),IF(($A86&lt;'Alternative 2'!$B$28),(($H86*'Alternative 2'!$B$39)+(2*(($N$32/3)*COS($K$33)))),IF(($A86&lt;'Alternative 2'!$B$29),(($H$3*'Alternative 2'!$B$39+(($N$32/3)*COS($K$33)))),($H86*'Alternative 2'!$B$39))))</f>
        <v>#VALUE!</v>
      </c>
      <c r="AL86" s="78" t="e">
        <f>AJ86*'Alternative 2'!$K87/'Alternative 2'!$L87</f>
        <v>#VALUE!</v>
      </c>
      <c r="AM86" s="78" t="e">
        <f>AK86/'Alternative 2'!$M87</f>
        <v>#VALUE!</v>
      </c>
      <c r="AN86" s="78" t="e">
        <f t="shared" si="23"/>
        <v>#VALUE!</v>
      </c>
      <c r="AP86" s="78" t="e">
        <f>'Alternative 2'!$B$39*$B86*$C86*COS($K$43)-($N$42/3)*$E86*SIN($K$43)-($N$42/3)*$F86*SIN($K$43)-($N$42/3)*$G86*SIN($K$43)</f>
        <v>#VALUE!</v>
      </c>
      <c r="AQ86" s="79" t="e">
        <f>IF(($A86&lt;'Alternative 2'!$B$27),(($H86*'Alternative 2'!$B$39)+(3*($N$42/3)*COS($K$43))),IF(($A86&lt;'Alternative 2'!$B$28),(($H86*'Alternative 2'!$B$39)+(2*(($N$42/3)*COS($K$43)))),IF(($A86&lt;'Alternative 2'!$B$29),(($H$3*'Alternative 2'!$B$39+(($N$42/3)*COS($K$43)))),($H86*'Alternative 2'!$B$39))))</f>
        <v>#VALUE!</v>
      </c>
      <c r="AR86" s="78" t="e">
        <f>AP86*'Alternative 2'!$K87/'Alternative 2'!$L87</f>
        <v>#VALUE!</v>
      </c>
      <c r="AS86" s="78" t="e">
        <f>AQ86/'Alternative 2'!$M87</f>
        <v>#VALUE!</v>
      </c>
      <c r="AT86" s="78" t="e">
        <f t="shared" si="24"/>
        <v>#VALUE!</v>
      </c>
      <c r="AV86" s="78" t="e">
        <f>'Alternative 2'!$B$39*$B86*$C86*COS($K$53)-($N$52/3)*$E86*SIN($K$53)-($N$52/3)*$F86*SIN($K$53)-($N$52/3)*$G86*SIN($K$53)</f>
        <v>#VALUE!</v>
      </c>
      <c r="AW86" s="79" t="e">
        <f>IF(($A86&lt;'Alternative 2'!$B$27),(($H86*'Alternative 2'!$B$39)+(3*($N$52/3)*COS($K$53))),IF(($A86&lt;'Alternative 2'!$B$28),(($H86*'Alternative 2'!$B$39)+(2*(($N$52/3)*COS($K$53)))),IF(($A86&lt;'Alternative 2'!$B$29),(($H$3*'Alternative 2'!$B$39+(($N$52/3)*COS($K$53)))),($H86*'Alternative 2'!$B$39))))</f>
        <v>#VALUE!</v>
      </c>
      <c r="AX86" s="78" t="e">
        <f>AV86*'Alternative 2'!$K87/'Alternative 2'!$L87</f>
        <v>#VALUE!</v>
      </c>
      <c r="AY86" s="78" t="e">
        <f>AW86/'Alternative 2'!$M87</f>
        <v>#VALUE!</v>
      </c>
      <c r="AZ86" s="78" t="e">
        <f t="shared" si="25"/>
        <v>#VALUE!</v>
      </c>
      <c r="BB86" s="78" t="e">
        <f>'Alternative 2'!$B$39*$B86*$C86*COS($K$63)-($N$62/3)*$E86*SIN($K$63)-($N$62/3)*$F86*SIN($K$63)-($N$62/3)*$G86*SIN($K$63)</f>
        <v>#VALUE!</v>
      </c>
      <c r="BC86" s="79" t="e">
        <f>IF(($A86&lt;'Alternative 2'!$B$27),(($H86*'Alternative 2'!$B$39)+(3*($N$62/3)*COS($K$63))),IF(($A86&lt;'Alternative 2'!$B$28),(($H86*'Alternative 2'!$B$39)+(2*(($N$62/3)*COS($K$63)))),IF(($A86&lt;'Alternative 2'!$B$29),(($H$3*'Alternative 2'!$B$39+(($N$62/3)*COS($K$63)))),($H86*'Alternative 2'!$B$39))))</f>
        <v>#VALUE!</v>
      </c>
      <c r="BD86" s="78" t="e">
        <f>BB86*'Alternative 2'!$K87/'Alternative 2'!$L87</f>
        <v>#VALUE!</v>
      </c>
      <c r="BE86" s="78" t="e">
        <f>BC86/'Alternative 2'!$M87</f>
        <v>#VALUE!</v>
      </c>
      <c r="BF86" s="78" t="e">
        <f t="shared" si="26"/>
        <v>#VALUE!</v>
      </c>
      <c r="BH86" s="78" t="e">
        <f>'Alternative 2'!$B$39*$B86*$C86*COS($K$73)-($N$72/3)*$E86*SIN($K$73)-($N$72/3)*$F86*SIN($K$73)-($N$72/3)*$G86*SIN($K$73)</f>
        <v>#VALUE!</v>
      </c>
      <c r="BI86" s="79" t="e">
        <f>IF(($A86&lt;'Alternative 2'!$B$27),(($H86*'Alternative 2'!$B$39)+(3*($N$72/3)*COS($K$73))),IF(($A86&lt;'Alternative 2'!$B$28),(($H86*'Alternative 2'!$B$39)+(2*(($N$72/3)*COS($K$73)))),IF(($A86&lt;'Alternative 2'!$B$29),(($H$3*'Alternative 2'!$B$39+(($N$72/3)*COS($K$73)))),($H86*'Alternative 2'!$B$39))))</f>
        <v>#VALUE!</v>
      </c>
      <c r="BJ86" s="78" t="e">
        <f>BH86*'Alternative 2'!$K87/'Alternative 2'!$L87</f>
        <v>#VALUE!</v>
      </c>
      <c r="BK86" s="78" t="e">
        <f>BI86/'Alternative 2'!$M87</f>
        <v>#VALUE!</v>
      </c>
      <c r="BL86" s="78" t="e">
        <f t="shared" si="27"/>
        <v>#VALUE!</v>
      </c>
      <c r="BN86" s="78" t="e">
        <f>'Alternative 2'!$B$39*$B86*$C86*COS($K$83)-($N$82/3)*$E86*SIN($K$83)-($N$82/3)*$F86*SIN($K$83)-($N$82/3)*$G86*SIN($K$83)</f>
        <v>#VALUE!</v>
      </c>
      <c r="BO86" s="79" t="e">
        <f>IF(($A86&lt;'Alternative 2'!$B$27),(($H86*'Alternative 2'!$B$39)+(3*($N$82/3)*COS($K$83))),IF(($A86&lt;'Alternative 2'!$B$28),(($H86*'Alternative 2'!$B$39)+(2*(($N$82/3)*COS($K$83)))),IF(($A86&lt;'Alternative 2'!$B$29),(($H$3*'Alternative 2'!$B$39+(($N$82/3)*COS($K$83)))),($H86*'Alternative 2'!$B$39))))</f>
        <v>#VALUE!</v>
      </c>
      <c r="BP86" s="78" t="e">
        <f>BN86*'Alternative 2'!$K87/'Alternative 2'!$L87</f>
        <v>#VALUE!</v>
      </c>
      <c r="BQ86" s="78" t="e">
        <f>BO86/'Alternative 2'!$M87</f>
        <v>#VALUE!</v>
      </c>
      <c r="BR86" s="78" t="e">
        <f t="shared" si="28"/>
        <v>#VALUE!</v>
      </c>
      <c r="BT86" s="78" t="e">
        <f>'Alternative 2'!$B$39*$B86*$C86*COS($K$93)-($K$92/3)*$E86*SIN($K$93)-($K$92/3)*$F86*SIN($K$93)-($K$92/3)*$G86*SIN($K$93)</f>
        <v>#VALUE!</v>
      </c>
      <c r="BU86" s="79" t="e">
        <f>IF(($A86&lt;'Alternative 2'!$B$27),(($H86*'Alternative 2'!$B$39)+(3*($N$92/3)*COS($K$93))),IF(($A86&lt;'Alternative 2'!$B$28),(($H86*'Alternative 2'!$B$39)+(2*(($N$92/3)*COS($K$93)))),IF(($A86&lt;'Alternative 2'!$B$29),(($H$3*'Alternative 2'!$B$39+(($N$92/3)*COS($K$93)))),($H86*'Alternative 2'!$B$39))))</f>
        <v>#VALUE!</v>
      </c>
      <c r="BV86" s="78" t="e">
        <f>BT86*'Alternative 2'!$K87/'Alternative 2'!$L87</f>
        <v>#VALUE!</v>
      </c>
      <c r="BW86" s="78" t="e">
        <f>BU86/'Alternative 2'!$M87</f>
        <v>#VALUE!</v>
      </c>
      <c r="BX86" s="78" t="e">
        <f t="shared" si="29"/>
        <v>#VALUE!</v>
      </c>
    </row>
    <row r="87" spans="1:76" ht="15" customHeight="1" x14ac:dyDescent="0.25">
      <c r="A87" s="13" t="str">
        <f>IF('Alternative 2'!F88&gt;0,'Alternative 2'!F88,"x")</f>
        <v>x</v>
      </c>
      <c r="B87" s="13" t="e">
        <f t="shared" si="35"/>
        <v>#VALUE!</v>
      </c>
      <c r="C87" s="13">
        <f t="shared" si="30"/>
        <v>0</v>
      </c>
      <c r="D87" s="13" t="str">
        <f t="shared" si="31"/>
        <v>x</v>
      </c>
      <c r="E87" s="74">
        <f>IF($A87&lt;='Alternative 2'!$B$27, IF($A87='Alternative 2'!$B$27,0,E88+1),0)</f>
        <v>0</v>
      </c>
      <c r="F87" s="74">
        <f>IF($A87&lt;=('Alternative 2'!$B$28), IF($A87=ROUNDDOWN('Alternative 2'!$B$28,0),0,F88+1),0)</f>
        <v>0</v>
      </c>
      <c r="G87" s="74">
        <f>IF($A87&lt;=('Alternative 2'!$B$29), IF($A87=ROUNDDOWN('Alternative 2'!$B$29,0),0,G88+1),0)</f>
        <v>0</v>
      </c>
      <c r="H87" s="13" t="e">
        <f t="shared" si="32"/>
        <v>#VALUE!</v>
      </c>
      <c r="J87" s="77">
        <f t="shared" si="33"/>
        <v>84</v>
      </c>
      <c r="K87" s="77">
        <f t="shared" si="34"/>
        <v>1.4660765716752369</v>
      </c>
      <c r="L87" s="78">
        <f>'Alternative 2'!$B$27*SIN(K87)+'Alternative 2'!$B$28*SIN(K87)+'Alternative 2'!$B$29*SIN(K87)</f>
        <v>67.627488885042581</v>
      </c>
      <c r="M87" s="77">
        <f>(('Alternative 2'!$B$27)*(((('Alternative 2'!$B$28-'Alternative 2'!$B$27)/2)+'Alternative 2'!$B$27)*'Alternative 2'!$B$39)*COS('Alternative 2-Tilt Up'!K87))+(('Alternative 2'!$B$28)*((('Alternative 2'!$B$28-'Alternative 2'!$B$27)/2)+(('Alternative 2'!$B$29-'Alternative 2'!$B$28)/2))*('Alternative 2'!$B$39)*COS('Alternative 2-Tilt Up'!K87))+(('Alternative 2'!$B$29)*((('Alternative 2'!$B$12-'Alternative 2'!$B$29+(('Alternative 2'!$B$29-'Alternative 2'!$B$28)/2)*('Alternative 2'!$B$39)*COS('Alternative 2-Tilt Up'!K87)))))</f>
        <v>496279.02018463134</v>
      </c>
      <c r="N87" s="77">
        <f t="shared" si="18"/>
        <v>22015.264578058071</v>
      </c>
      <c r="O87" s="77">
        <f>(((('Alternative 2'!$B$28-'Alternative 2'!$B$27)/2)+'Alternative 2'!$B$27)*('Alternative 2'!$B$39)*COS('Alternative 2-Tilt Up'!K87))+(((('Alternative 2'!$B$28-'Alternative 2'!$B$27)/2)+(('Alternative 2'!$B$29-'Alternative 2'!$B$28)/2))*('Alternative 2'!$B$39)*COS('Alternative 2-Tilt Up'!K87))+(((('Alternative 2'!$B$12-'Alternative 2'!$B$29)+(('Alternative 2'!$B$29-'Alternative 2'!$B$28)/2))*('Alternative 2'!$B$39)*COS('Alternative 2-Tilt Up'!K87)))</f>
        <v>31998.243415150027</v>
      </c>
      <c r="P87" s="77">
        <f t="shared" si="19"/>
        <v>2301.2217747752156</v>
      </c>
      <c r="R87" s="78" t="e">
        <f>'Alternative 2'!$B$39*$B87*$C87*COS($K$5)-($N$5/3)*$E87*SIN($K$5)-($N$5/3)*$F87*SIN($K$5)-($N$5/3)*$G87*SIN($K$5)</f>
        <v>#VALUE!</v>
      </c>
      <c r="S87" s="79" t="e">
        <f>IF(($A87&lt;'Alternative 2'!$B$27),(($H87*'Alternative 2'!$B$39)+(3*($N$5/3)*COS($K$5))),IF(($A87&lt;'Alternative 2'!$B$28),(($H87*'Alternative 2'!$B$39)+(2*(($N$5/3)*COS($K$5)))),IF(($A87&lt;'Alternative 2'!$B$29),(($H$3*'Alternative 2'!$B$39+(($N$5/3)*COS($K$5)))),($H87*'Alternative 2'!$B$39))))</f>
        <v>#VALUE!</v>
      </c>
      <c r="T87" s="78" t="e">
        <f>R87*'Alternative 2'!$K88/'Alternative 2'!$L88</f>
        <v>#VALUE!</v>
      </c>
      <c r="U87" s="78" t="e">
        <f>S87/'Alternative 2'!$M88</f>
        <v>#VALUE!</v>
      </c>
      <c r="V87" s="78" t="e">
        <f t="shared" si="20"/>
        <v>#VALUE!</v>
      </c>
      <c r="X87" s="78" t="e">
        <f>'Alternative 2'!$B$39*$B87*$C87*COS($K$13)-($N$12/3)*$E87*SIN($K$13)-($N$12/3)*$F87*SIN($K$13)-($N$12/3)*$G87*SIN($K$13)</f>
        <v>#VALUE!</v>
      </c>
      <c r="Y87" s="79" t="e">
        <f>IF(($A87&lt;'Alternative 2'!$B$27),(($H87*'Alternative 2'!$B$39)+(3*($N$12/3)*COS($K$13))),IF(($A87&lt;'Alternative 2'!$B$28),(($H87*'Alternative 2'!$B$39)+(2*(($N$12/3)*COS($K$13)))),IF(($A87&lt;'Alternative 2'!$B$29),(($H$3*'Alternative 2'!$B$39+(($N$12/3)*COS($K$13)))),($H87*'Alternative 2'!$B$39))))</f>
        <v>#VALUE!</v>
      </c>
      <c r="Z87" s="78" t="e">
        <f>X87*'Alternative 2'!$K88/'Alternative 2'!$L88</f>
        <v>#VALUE!</v>
      </c>
      <c r="AA87" s="78" t="e">
        <f>Y87/'Alternative 2'!$M88</f>
        <v>#VALUE!</v>
      </c>
      <c r="AB87" s="78" t="e">
        <f t="shared" si="21"/>
        <v>#VALUE!</v>
      </c>
      <c r="AD87" s="78" t="e">
        <f>'Alternative 2'!$B$39*$B87*$C87*COS($K$23)-($N$22/3)*$E87*SIN($K$23)-($N$22/3)*$F87*SIN($K$23)-($N$22/3)*$G87*SIN($K$23)</f>
        <v>#VALUE!</v>
      </c>
      <c r="AE87" s="79" t="e">
        <f>IF(($A87&lt;'Alternative 2'!$B$27),(($H87*'Alternative 2'!$B$39)+(3*($N$22/3)*COS($K$23))),IF(($A87&lt;'Alternative 2'!$B$28),(($H87*'Alternative 2'!$B$39)+(2*(($N$22/3)*COS($K$23)))),IF(($A87&lt;'Alternative 2'!$B$29),(($H$3*'Alternative 2'!$B$39+(($N$22/3)*COS($K$23)))),($H87*'Alternative 2'!$B$39))))</f>
        <v>#VALUE!</v>
      </c>
      <c r="AF87" s="78" t="e">
        <f>AD87*'Alternative 2'!$K88/'Alternative 2'!$L88</f>
        <v>#VALUE!</v>
      </c>
      <c r="AG87" s="78" t="e">
        <f>AE87/'Alternative 2'!$M88</f>
        <v>#VALUE!</v>
      </c>
      <c r="AH87" s="78" t="e">
        <f t="shared" si="22"/>
        <v>#VALUE!</v>
      </c>
      <c r="AJ87" s="78" t="e">
        <f>'Alternative 2'!$B$39*$B87*$C87*COS($K$33)-($N$32/3)*$E87*SIN($K$33)-($N$32/3)*$F87*SIN($K$33)-($N$32/3)*$G87*SIN($K$33)</f>
        <v>#VALUE!</v>
      </c>
      <c r="AK87" s="79" t="e">
        <f>IF(($A87&lt;'Alternative 2'!$B$27),(($H87*'Alternative 2'!$B$39)+(3*($N$32/3)*COS($K$33))),IF(($A87&lt;'Alternative 2'!$B$28),(($H87*'Alternative 2'!$B$39)+(2*(($N$32/3)*COS($K$33)))),IF(($A87&lt;'Alternative 2'!$B$29),(($H$3*'Alternative 2'!$B$39+(($N$32/3)*COS($K$33)))),($H87*'Alternative 2'!$B$39))))</f>
        <v>#VALUE!</v>
      </c>
      <c r="AL87" s="78" t="e">
        <f>AJ87*'Alternative 2'!$K88/'Alternative 2'!$L88</f>
        <v>#VALUE!</v>
      </c>
      <c r="AM87" s="78" t="e">
        <f>AK87/'Alternative 2'!$M88</f>
        <v>#VALUE!</v>
      </c>
      <c r="AN87" s="78" t="e">
        <f t="shared" si="23"/>
        <v>#VALUE!</v>
      </c>
      <c r="AP87" s="78" t="e">
        <f>'Alternative 2'!$B$39*$B87*$C87*COS($K$43)-($N$42/3)*$E87*SIN($K$43)-($N$42/3)*$F87*SIN($K$43)-($N$42/3)*$G87*SIN($K$43)</f>
        <v>#VALUE!</v>
      </c>
      <c r="AQ87" s="79" t="e">
        <f>IF(($A87&lt;'Alternative 2'!$B$27),(($H87*'Alternative 2'!$B$39)+(3*($N$42/3)*COS($K$43))),IF(($A87&lt;'Alternative 2'!$B$28),(($H87*'Alternative 2'!$B$39)+(2*(($N$42/3)*COS($K$43)))),IF(($A87&lt;'Alternative 2'!$B$29),(($H$3*'Alternative 2'!$B$39+(($N$42/3)*COS($K$43)))),($H87*'Alternative 2'!$B$39))))</f>
        <v>#VALUE!</v>
      </c>
      <c r="AR87" s="78" t="e">
        <f>AP87*'Alternative 2'!$K88/'Alternative 2'!$L88</f>
        <v>#VALUE!</v>
      </c>
      <c r="AS87" s="78" t="e">
        <f>AQ87/'Alternative 2'!$M88</f>
        <v>#VALUE!</v>
      </c>
      <c r="AT87" s="78" t="e">
        <f t="shared" si="24"/>
        <v>#VALUE!</v>
      </c>
      <c r="AV87" s="78" t="e">
        <f>'Alternative 2'!$B$39*$B87*$C87*COS($K$53)-($N$52/3)*$E87*SIN($K$53)-($N$52/3)*$F87*SIN($K$53)-($N$52/3)*$G87*SIN($K$53)</f>
        <v>#VALUE!</v>
      </c>
      <c r="AW87" s="79" t="e">
        <f>IF(($A87&lt;'Alternative 2'!$B$27),(($H87*'Alternative 2'!$B$39)+(3*($N$52/3)*COS($K$53))),IF(($A87&lt;'Alternative 2'!$B$28),(($H87*'Alternative 2'!$B$39)+(2*(($N$52/3)*COS($K$53)))),IF(($A87&lt;'Alternative 2'!$B$29),(($H$3*'Alternative 2'!$B$39+(($N$52/3)*COS($K$53)))),($H87*'Alternative 2'!$B$39))))</f>
        <v>#VALUE!</v>
      </c>
      <c r="AX87" s="78" t="e">
        <f>AV87*'Alternative 2'!$K88/'Alternative 2'!$L88</f>
        <v>#VALUE!</v>
      </c>
      <c r="AY87" s="78" t="e">
        <f>AW87/'Alternative 2'!$M88</f>
        <v>#VALUE!</v>
      </c>
      <c r="AZ87" s="78" t="e">
        <f t="shared" si="25"/>
        <v>#VALUE!</v>
      </c>
      <c r="BB87" s="78" t="e">
        <f>'Alternative 2'!$B$39*$B87*$C87*COS($K$63)-($N$62/3)*$E87*SIN($K$63)-($N$62/3)*$F87*SIN($K$63)-($N$62/3)*$G87*SIN($K$63)</f>
        <v>#VALUE!</v>
      </c>
      <c r="BC87" s="79" t="e">
        <f>IF(($A87&lt;'Alternative 2'!$B$27),(($H87*'Alternative 2'!$B$39)+(3*($N$62/3)*COS($K$63))),IF(($A87&lt;'Alternative 2'!$B$28),(($H87*'Alternative 2'!$B$39)+(2*(($N$62/3)*COS($K$63)))),IF(($A87&lt;'Alternative 2'!$B$29),(($H$3*'Alternative 2'!$B$39+(($N$62/3)*COS($K$63)))),($H87*'Alternative 2'!$B$39))))</f>
        <v>#VALUE!</v>
      </c>
      <c r="BD87" s="78" t="e">
        <f>BB87*'Alternative 2'!$K88/'Alternative 2'!$L88</f>
        <v>#VALUE!</v>
      </c>
      <c r="BE87" s="78" t="e">
        <f>BC87/'Alternative 2'!$M88</f>
        <v>#VALUE!</v>
      </c>
      <c r="BF87" s="78" t="e">
        <f t="shared" si="26"/>
        <v>#VALUE!</v>
      </c>
      <c r="BH87" s="78" t="e">
        <f>'Alternative 2'!$B$39*$B87*$C87*COS($K$73)-($N$72/3)*$E87*SIN($K$73)-($N$72/3)*$F87*SIN($K$73)-($N$72/3)*$G87*SIN($K$73)</f>
        <v>#VALUE!</v>
      </c>
      <c r="BI87" s="79" t="e">
        <f>IF(($A87&lt;'Alternative 2'!$B$27),(($H87*'Alternative 2'!$B$39)+(3*($N$72/3)*COS($K$73))),IF(($A87&lt;'Alternative 2'!$B$28),(($H87*'Alternative 2'!$B$39)+(2*(($N$72/3)*COS($K$73)))),IF(($A87&lt;'Alternative 2'!$B$29),(($H$3*'Alternative 2'!$B$39+(($N$72/3)*COS($K$73)))),($H87*'Alternative 2'!$B$39))))</f>
        <v>#VALUE!</v>
      </c>
      <c r="BJ87" s="78" t="e">
        <f>BH87*'Alternative 2'!$K88/'Alternative 2'!$L88</f>
        <v>#VALUE!</v>
      </c>
      <c r="BK87" s="78" t="e">
        <f>BI87/'Alternative 2'!$M88</f>
        <v>#VALUE!</v>
      </c>
      <c r="BL87" s="78" t="e">
        <f t="shared" si="27"/>
        <v>#VALUE!</v>
      </c>
      <c r="BN87" s="78" t="e">
        <f>'Alternative 2'!$B$39*$B87*$C87*COS($K$83)-($N$82/3)*$E87*SIN($K$83)-($N$82/3)*$F87*SIN($K$83)-($N$82/3)*$G87*SIN($K$83)</f>
        <v>#VALUE!</v>
      </c>
      <c r="BO87" s="79" t="e">
        <f>IF(($A87&lt;'Alternative 2'!$B$27),(($H87*'Alternative 2'!$B$39)+(3*($N$82/3)*COS($K$83))),IF(($A87&lt;'Alternative 2'!$B$28),(($H87*'Alternative 2'!$B$39)+(2*(($N$82/3)*COS($K$83)))),IF(($A87&lt;'Alternative 2'!$B$29),(($H$3*'Alternative 2'!$B$39+(($N$82/3)*COS($K$83)))),($H87*'Alternative 2'!$B$39))))</f>
        <v>#VALUE!</v>
      </c>
      <c r="BP87" s="78" t="e">
        <f>BN87*'Alternative 2'!$K88/'Alternative 2'!$L88</f>
        <v>#VALUE!</v>
      </c>
      <c r="BQ87" s="78" t="e">
        <f>BO87/'Alternative 2'!$M88</f>
        <v>#VALUE!</v>
      </c>
      <c r="BR87" s="78" t="e">
        <f t="shared" si="28"/>
        <v>#VALUE!</v>
      </c>
      <c r="BT87" s="78" t="e">
        <f>'Alternative 2'!$B$39*$B87*$C87*COS($K$93)-($K$92/3)*$E87*SIN($K$93)-($K$92/3)*$F87*SIN($K$93)-($K$92/3)*$G87*SIN($K$93)</f>
        <v>#VALUE!</v>
      </c>
      <c r="BU87" s="79" t="e">
        <f>IF(($A87&lt;'Alternative 2'!$B$27),(($H87*'Alternative 2'!$B$39)+(3*($N$92/3)*COS($K$93))),IF(($A87&lt;'Alternative 2'!$B$28),(($H87*'Alternative 2'!$B$39)+(2*(($N$92/3)*COS($K$93)))),IF(($A87&lt;'Alternative 2'!$B$29),(($H$3*'Alternative 2'!$B$39+(($N$92/3)*COS($K$93)))),($H87*'Alternative 2'!$B$39))))</f>
        <v>#VALUE!</v>
      </c>
      <c r="BV87" s="78" t="e">
        <f>BT87*'Alternative 2'!$K88/'Alternative 2'!$L88</f>
        <v>#VALUE!</v>
      </c>
      <c r="BW87" s="78" t="e">
        <f>BU87/'Alternative 2'!$M88</f>
        <v>#VALUE!</v>
      </c>
      <c r="BX87" s="78" t="e">
        <f t="shared" si="29"/>
        <v>#VALUE!</v>
      </c>
    </row>
    <row r="88" spans="1:76" ht="15" customHeight="1" x14ac:dyDescent="0.25">
      <c r="A88" s="13" t="str">
        <f>IF('Alternative 2'!F89&gt;0,'Alternative 2'!F89,"x")</f>
        <v>x</v>
      </c>
      <c r="B88" s="13" t="e">
        <f t="shared" si="35"/>
        <v>#VALUE!</v>
      </c>
      <c r="C88" s="13">
        <f t="shared" si="30"/>
        <v>0</v>
      </c>
      <c r="D88" s="13" t="str">
        <f t="shared" si="31"/>
        <v>x</v>
      </c>
      <c r="E88" s="74">
        <f>IF($A88&lt;='Alternative 2'!$B$27, IF($A88='Alternative 2'!$B$27,0,E89+1),0)</f>
        <v>0</v>
      </c>
      <c r="F88" s="74">
        <f>IF($A88&lt;=('Alternative 2'!$B$28), IF($A88=ROUNDDOWN('Alternative 2'!$B$28,0),0,F89+1),0)</f>
        <v>0</v>
      </c>
      <c r="G88" s="74">
        <f>IF($A88&lt;=('Alternative 2'!$B$29), IF($A88=ROUNDDOWN('Alternative 2'!$B$29,0),0,G89+1),0)</f>
        <v>0</v>
      </c>
      <c r="H88" s="13" t="e">
        <f t="shared" si="32"/>
        <v>#VALUE!</v>
      </c>
      <c r="J88" s="77">
        <f t="shared" si="33"/>
        <v>85</v>
      </c>
      <c r="K88" s="77">
        <f t="shared" si="34"/>
        <v>1.4835298641951802</v>
      </c>
      <c r="L88" s="78">
        <f>'Alternative 2'!$B$27*SIN(K88)+'Alternative 2'!$B$28*SIN(K88)+'Alternative 2'!$B$29*SIN(K88)</f>
        <v>67.741239470238696</v>
      </c>
      <c r="M88" s="77">
        <f>(('Alternative 2'!$B$27)*(((('Alternative 2'!$B$28-'Alternative 2'!$B$27)/2)+'Alternative 2'!$B$27)*'Alternative 2'!$B$39)*COS('Alternative 2-Tilt Up'!K88))+(('Alternative 2'!$B$28)*((('Alternative 2'!$B$28-'Alternative 2'!$B$27)/2)+(('Alternative 2'!$B$29-'Alternative 2'!$B$28)/2))*('Alternative 2'!$B$39)*COS('Alternative 2-Tilt Up'!K88))+(('Alternative 2'!$B$29)*((('Alternative 2'!$B$12-'Alternative 2'!$B$29+(('Alternative 2'!$B$29-'Alternative 2'!$B$28)/2)*('Alternative 2'!$B$39)*COS('Alternative 2-Tilt Up'!K88)))))</f>
        <v>413829.534142619</v>
      </c>
      <c r="N88" s="77">
        <f t="shared" si="18"/>
        <v>18326.924811780129</v>
      </c>
      <c r="O88" s="77">
        <f>(((('Alternative 2'!$B$28-'Alternative 2'!$B$27)/2)+'Alternative 2'!$B$27)*('Alternative 2'!$B$39)*COS('Alternative 2-Tilt Up'!K88))+(((('Alternative 2'!$B$28-'Alternative 2'!$B$27)/2)+(('Alternative 2'!$B$29-'Alternative 2'!$B$28)/2))*('Alternative 2'!$B$39)*COS('Alternative 2-Tilt Up'!K88))+(((('Alternative 2'!$B$12-'Alternative 2'!$B$29)+(('Alternative 2'!$B$29-'Alternative 2'!$B$28)/2))*('Alternative 2'!$B$39)*COS('Alternative 2-Tilt Up'!K88)))</f>
        <v>26680.107831746638</v>
      </c>
      <c r="P88" s="77">
        <f t="shared" si="19"/>
        <v>1597.296744251182</v>
      </c>
      <c r="R88" s="78" t="e">
        <f>'Alternative 2'!$B$39*$B88*$C88*COS($K$5)-($N$5/3)*$E88*SIN($K$5)-($N$5/3)*$F88*SIN($K$5)-($N$5/3)*$G88*SIN($K$5)</f>
        <v>#VALUE!</v>
      </c>
      <c r="S88" s="79" t="e">
        <f>IF(($A88&lt;'Alternative 2'!$B$27),(($H88*'Alternative 2'!$B$39)+(3*($N$5/3)*COS($K$5))),IF(($A88&lt;'Alternative 2'!$B$28),(($H88*'Alternative 2'!$B$39)+(2*(($N$5/3)*COS($K$5)))),IF(($A88&lt;'Alternative 2'!$B$29),(($H$3*'Alternative 2'!$B$39+(($N$5/3)*COS($K$5)))),($H88*'Alternative 2'!$B$39))))</f>
        <v>#VALUE!</v>
      </c>
      <c r="T88" s="78" t="e">
        <f>R88*'Alternative 2'!$K89/'Alternative 2'!$L89</f>
        <v>#VALUE!</v>
      </c>
      <c r="U88" s="78" t="e">
        <f>S88/'Alternative 2'!$M89</f>
        <v>#VALUE!</v>
      </c>
      <c r="V88" s="78" t="e">
        <f t="shared" si="20"/>
        <v>#VALUE!</v>
      </c>
      <c r="X88" s="78" t="e">
        <f>'Alternative 2'!$B$39*$B88*$C88*COS($K$13)-($N$12/3)*$E88*SIN($K$13)-($N$12/3)*$F88*SIN($K$13)-($N$12/3)*$G88*SIN($K$13)</f>
        <v>#VALUE!</v>
      </c>
      <c r="Y88" s="79" t="e">
        <f>IF(($A88&lt;'Alternative 2'!$B$27),(($H88*'Alternative 2'!$B$39)+(3*($N$12/3)*COS($K$13))),IF(($A88&lt;'Alternative 2'!$B$28),(($H88*'Alternative 2'!$B$39)+(2*(($N$12/3)*COS($K$13)))),IF(($A88&lt;'Alternative 2'!$B$29),(($H$3*'Alternative 2'!$B$39+(($N$12/3)*COS($K$13)))),($H88*'Alternative 2'!$B$39))))</f>
        <v>#VALUE!</v>
      </c>
      <c r="Z88" s="78" t="e">
        <f>X88*'Alternative 2'!$K89/'Alternative 2'!$L89</f>
        <v>#VALUE!</v>
      </c>
      <c r="AA88" s="78" t="e">
        <f>Y88/'Alternative 2'!$M89</f>
        <v>#VALUE!</v>
      </c>
      <c r="AB88" s="78" t="e">
        <f t="shared" si="21"/>
        <v>#VALUE!</v>
      </c>
      <c r="AD88" s="78" t="e">
        <f>'Alternative 2'!$B$39*$B88*$C88*COS($K$23)-($N$22/3)*$E88*SIN($K$23)-($N$22/3)*$F88*SIN($K$23)-($N$22/3)*$G88*SIN($K$23)</f>
        <v>#VALUE!</v>
      </c>
      <c r="AE88" s="79" t="e">
        <f>IF(($A88&lt;'Alternative 2'!$B$27),(($H88*'Alternative 2'!$B$39)+(3*($N$22/3)*COS($K$23))),IF(($A88&lt;'Alternative 2'!$B$28),(($H88*'Alternative 2'!$B$39)+(2*(($N$22/3)*COS($K$23)))),IF(($A88&lt;'Alternative 2'!$B$29),(($H$3*'Alternative 2'!$B$39+(($N$22/3)*COS($K$23)))),($H88*'Alternative 2'!$B$39))))</f>
        <v>#VALUE!</v>
      </c>
      <c r="AF88" s="78" t="e">
        <f>AD88*'Alternative 2'!$K89/'Alternative 2'!$L89</f>
        <v>#VALUE!</v>
      </c>
      <c r="AG88" s="78" t="e">
        <f>AE88/'Alternative 2'!$M89</f>
        <v>#VALUE!</v>
      </c>
      <c r="AH88" s="78" t="e">
        <f t="shared" si="22"/>
        <v>#VALUE!</v>
      </c>
      <c r="AJ88" s="78" t="e">
        <f>'Alternative 2'!$B$39*$B88*$C88*COS($K$33)-($N$32/3)*$E88*SIN($K$33)-($N$32/3)*$F88*SIN($K$33)-($N$32/3)*$G88*SIN($K$33)</f>
        <v>#VALUE!</v>
      </c>
      <c r="AK88" s="79" t="e">
        <f>IF(($A88&lt;'Alternative 2'!$B$27),(($H88*'Alternative 2'!$B$39)+(3*($N$32/3)*COS($K$33))),IF(($A88&lt;'Alternative 2'!$B$28),(($H88*'Alternative 2'!$B$39)+(2*(($N$32/3)*COS($K$33)))),IF(($A88&lt;'Alternative 2'!$B$29),(($H$3*'Alternative 2'!$B$39+(($N$32/3)*COS($K$33)))),($H88*'Alternative 2'!$B$39))))</f>
        <v>#VALUE!</v>
      </c>
      <c r="AL88" s="78" t="e">
        <f>AJ88*'Alternative 2'!$K89/'Alternative 2'!$L89</f>
        <v>#VALUE!</v>
      </c>
      <c r="AM88" s="78" t="e">
        <f>AK88/'Alternative 2'!$M89</f>
        <v>#VALUE!</v>
      </c>
      <c r="AN88" s="78" t="e">
        <f t="shared" si="23"/>
        <v>#VALUE!</v>
      </c>
      <c r="AP88" s="78" t="e">
        <f>'Alternative 2'!$B$39*$B88*$C88*COS($K$43)-($N$42/3)*$E88*SIN($K$43)-($N$42/3)*$F88*SIN($K$43)-($N$42/3)*$G88*SIN($K$43)</f>
        <v>#VALUE!</v>
      </c>
      <c r="AQ88" s="79" t="e">
        <f>IF(($A88&lt;'Alternative 2'!$B$27),(($H88*'Alternative 2'!$B$39)+(3*($N$42/3)*COS($K$43))),IF(($A88&lt;'Alternative 2'!$B$28),(($H88*'Alternative 2'!$B$39)+(2*(($N$42/3)*COS($K$43)))),IF(($A88&lt;'Alternative 2'!$B$29),(($H$3*'Alternative 2'!$B$39+(($N$42/3)*COS($K$43)))),($H88*'Alternative 2'!$B$39))))</f>
        <v>#VALUE!</v>
      </c>
      <c r="AR88" s="78" t="e">
        <f>AP88*'Alternative 2'!$K89/'Alternative 2'!$L89</f>
        <v>#VALUE!</v>
      </c>
      <c r="AS88" s="78" t="e">
        <f>AQ88/'Alternative 2'!$M89</f>
        <v>#VALUE!</v>
      </c>
      <c r="AT88" s="78" t="e">
        <f t="shared" si="24"/>
        <v>#VALUE!</v>
      </c>
      <c r="AV88" s="78" t="e">
        <f>'Alternative 2'!$B$39*$B88*$C88*COS($K$53)-($N$52/3)*$E88*SIN($K$53)-($N$52/3)*$F88*SIN($K$53)-($N$52/3)*$G88*SIN($K$53)</f>
        <v>#VALUE!</v>
      </c>
      <c r="AW88" s="79" t="e">
        <f>IF(($A88&lt;'Alternative 2'!$B$27),(($H88*'Alternative 2'!$B$39)+(3*($N$52/3)*COS($K$53))),IF(($A88&lt;'Alternative 2'!$B$28),(($H88*'Alternative 2'!$B$39)+(2*(($N$52/3)*COS($K$53)))),IF(($A88&lt;'Alternative 2'!$B$29),(($H$3*'Alternative 2'!$B$39+(($N$52/3)*COS($K$53)))),($H88*'Alternative 2'!$B$39))))</f>
        <v>#VALUE!</v>
      </c>
      <c r="AX88" s="78" t="e">
        <f>AV88*'Alternative 2'!$K89/'Alternative 2'!$L89</f>
        <v>#VALUE!</v>
      </c>
      <c r="AY88" s="78" t="e">
        <f>AW88/'Alternative 2'!$M89</f>
        <v>#VALUE!</v>
      </c>
      <c r="AZ88" s="78" t="e">
        <f t="shared" si="25"/>
        <v>#VALUE!</v>
      </c>
      <c r="BB88" s="78" t="e">
        <f>'Alternative 2'!$B$39*$B88*$C88*COS($K$63)-($N$62/3)*$E88*SIN($K$63)-($N$62/3)*$F88*SIN($K$63)-($N$62/3)*$G88*SIN($K$63)</f>
        <v>#VALUE!</v>
      </c>
      <c r="BC88" s="79" t="e">
        <f>IF(($A88&lt;'Alternative 2'!$B$27),(($H88*'Alternative 2'!$B$39)+(3*($N$62/3)*COS($K$63))),IF(($A88&lt;'Alternative 2'!$B$28),(($H88*'Alternative 2'!$B$39)+(2*(($N$62/3)*COS($K$63)))),IF(($A88&lt;'Alternative 2'!$B$29),(($H$3*'Alternative 2'!$B$39+(($N$62/3)*COS($K$63)))),($H88*'Alternative 2'!$B$39))))</f>
        <v>#VALUE!</v>
      </c>
      <c r="BD88" s="78" t="e">
        <f>BB88*'Alternative 2'!$K89/'Alternative 2'!$L89</f>
        <v>#VALUE!</v>
      </c>
      <c r="BE88" s="78" t="e">
        <f>BC88/'Alternative 2'!$M89</f>
        <v>#VALUE!</v>
      </c>
      <c r="BF88" s="78" t="e">
        <f t="shared" si="26"/>
        <v>#VALUE!</v>
      </c>
      <c r="BH88" s="78" t="e">
        <f>'Alternative 2'!$B$39*$B88*$C88*COS($K$73)-($N$72/3)*$E88*SIN($K$73)-($N$72/3)*$F88*SIN($K$73)-($N$72/3)*$G88*SIN($K$73)</f>
        <v>#VALUE!</v>
      </c>
      <c r="BI88" s="79" t="e">
        <f>IF(($A88&lt;'Alternative 2'!$B$27),(($H88*'Alternative 2'!$B$39)+(3*($N$72/3)*COS($K$73))),IF(($A88&lt;'Alternative 2'!$B$28),(($H88*'Alternative 2'!$B$39)+(2*(($N$72/3)*COS($K$73)))),IF(($A88&lt;'Alternative 2'!$B$29),(($H$3*'Alternative 2'!$B$39+(($N$72/3)*COS($K$73)))),($H88*'Alternative 2'!$B$39))))</f>
        <v>#VALUE!</v>
      </c>
      <c r="BJ88" s="78" t="e">
        <f>BH88*'Alternative 2'!$K89/'Alternative 2'!$L89</f>
        <v>#VALUE!</v>
      </c>
      <c r="BK88" s="78" t="e">
        <f>BI88/'Alternative 2'!$M89</f>
        <v>#VALUE!</v>
      </c>
      <c r="BL88" s="78" t="e">
        <f t="shared" si="27"/>
        <v>#VALUE!</v>
      </c>
      <c r="BN88" s="78" t="e">
        <f>'Alternative 2'!$B$39*$B88*$C88*COS($K$83)-($N$82/3)*$E88*SIN($K$83)-($N$82/3)*$F88*SIN($K$83)-($N$82/3)*$G88*SIN($K$83)</f>
        <v>#VALUE!</v>
      </c>
      <c r="BO88" s="79" t="e">
        <f>IF(($A88&lt;'Alternative 2'!$B$27),(($H88*'Alternative 2'!$B$39)+(3*($N$82/3)*COS($K$83))),IF(($A88&lt;'Alternative 2'!$B$28),(($H88*'Alternative 2'!$B$39)+(2*(($N$82/3)*COS($K$83)))),IF(($A88&lt;'Alternative 2'!$B$29),(($H$3*'Alternative 2'!$B$39+(($N$82/3)*COS($K$83)))),($H88*'Alternative 2'!$B$39))))</f>
        <v>#VALUE!</v>
      </c>
      <c r="BP88" s="78" t="e">
        <f>BN88*'Alternative 2'!$K89/'Alternative 2'!$L89</f>
        <v>#VALUE!</v>
      </c>
      <c r="BQ88" s="78" t="e">
        <f>BO88/'Alternative 2'!$M89</f>
        <v>#VALUE!</v>
      </c>
      <c r="BR88" s="78" t="e">
        <f t="shared" si="28"/>
        <v>#VALUE!</v>
      </c>
      <c r="BT88" s="78" t="e">
        <f>'Alternative 2'!$B$39*$B88*$C88*COS($K$93)-($K$92/3)*$E88*SIN($K$93)-($K$92/3)*$F88*SIN($K$93)-($K$92/3)*$G88*SIN($K$93)</f>
        <v>#VALUE!</v>
      </c>
      <c r="BU88" s="79" t="e">
        <f>IF(($A88&lt;'Alternative 2'!$B$27),(($H88*'Alternative 2'!$B$39)+(3*($N$92/3)*COS($K$93))),IF(($A88&lt;'Alternative 2'!$B$28),(($H88*'Alternative 2'!$B$39)+(2*(($N$92/3)*COS($K$93)))),IF(($A88&lt;'Alternative 2'!$B$29),(($H$3*'Alternative 2'!$B$39+(($N$92/3)*COS($K$93)))),($H88*'Alternative 2'!$B$39))))</f>
        <v>#VALUE!</v>
      </c>
      <c r="BV88" s="78" t="e">
        <f>BT88*'Alternative 2'!$K89/'Alternative 2'!$L89</f>
        <v>#VALUE!</v>
      </c>
      <c r="BW88" s="78" t="e">
        <f>BU88/'Alternative 2'!$M89</f>
        <v>#VALUE!</v>
      </c>
      <c r="BX88" s="78" t="e">
        <f t="shared" si="29"/>
        <v>#VALUE!</v>
      </c>
    </row>
    <row r="89" spans="1:76" ht="15" customHeight="1" x14ac:dyDescent="0.25">
      <c r="A89" s="13" t="str">
        <f>IF('Alternative 2'!F90&gt;0,'Alternative 2'!F90,"x")</f>
        <v>x</v>
      </c>
      <c r="B89" s="13" t="e">
        <f t="shared" si="35"/>
        <v>#VALUE!</v>
      </c>
      <c r="C89" s="13">
        <f t="shared" si="30"/>
        <v>0</v>
      </c>
      <c r="D89" s="13" t="str">
        <f t="shared" si="31"/>
        <v>x</v>
      </c>
      <c r="E89" s="74">
        <f>IF($A89&lt;='Alternative 2'!$B$27, IF($A89='Alternative 2'!$B$27,0,E90+1),0)</f>
        <v>0</v>
      </c>
      <c r="F89" s="74">
        <f>IF($A89&lt;=('Alternative 2'!$B$28), IF($A89=ROUNDDOWN('Alternative 2'!$B$28,0),0,F90+1),0)</f>
        <v>0</v>
      </c>
      <c r="G89" s="74">
        <f>IF($A89&lt;=('Alternative 2'!$B$29), IF($A89=ROUNDDOWN('Alternative 2'!$B$29,0),0,G90+1),0)</f>
        <v>0</v>
      </c>
      <c r="H89" s="13" t="e">
        <f t="shared" si="32"/>
        <v>#VALUE!</v>
      </c>
      <c r="J89" s="77">
        <f t="shared" si="33"/>
        <v>86</v>
      </c>
      <c r="K89" s="77">
        <f t="shared" si="34"/>
        <v>1.5009831567151233</v>
      </c>
      <c r="L89" s="78">
        <f>'Alternative 2'!$B$27*SIN(K89)+'Alternative 2'!$B$28*SIN(K89)+'Alternative 2'!$B$29*SIN(K89)</f>
        <v>67.83435541766805</v>
      </c>
      <c r="M89" s="77">
        <f>(('Alternative 2'!$B$27)*(((('Alternative 2'!$B$28-'Alternative 2'!$B$27)/2)+'Alternative 2'!$B$27)*'Alternative 2'!$B$39)*COS('Alternative 2-Tilt Up'!K89))+(('Alternative 2'!$B$28)*((('Alternative 2'!$B$28-'Alternative 2'!$B$27)/2)+(('Alternative 2'!$B$29-'Alternative 2'!$B$28)/2))*('Alternative 2'!$B$39)*COS('Alternative 2-Tilt Up'!K89))+(('Alternative 2'!$B$29)*((('Alternative 2'!$B$12-'Alternative 2'!$B$29+(('Alternative 2'!$B$29-'Alternative 2'!$B$28)/2)*('Alternative 2'!$B$39)*COS('Alternative 2-Tilt Up'!K89)))))</f>
        <v>331254.05120677926</v>
      </c>
      <c r="N89" s="77">
        <f t="shared" si="18"/>
        <v>14649.8355811236</v>
      </c>
      <c r="O89" s="77">
        <f>(((('Alternative 2'!$B$28-'Alternative 2'!$B$27)/2)+'Alternative 2'!$B$27)*('Alternative 2'!$B$39)*COS('Alternative 2-Tilt Up'!K89))+(((('Alternative 2'!$B$28-'Alternative 2'!$B$27)/2)+(('Alternative 2'!$B$29-'Alternative 2'!$B$28)/2))*('Alternative 2'!$B$39)*COS('Alternative 2-Tilt Up'!K89))+(((('Alternative 2'!$B$12-'Alternative 2'!$B$29)+(('Alternative 2'!$B$29-'Alternative 2'!$B$28)/2))*('Alternative 2'!$B$39)*COS('Alternative 2-Tilt Up'!K89)))</f>
        <v>21353.845229041755</v>
      </c>
      <c r="P89" s="77">
        <f t="shared" si="19"/>
        <v>1021.9208710704032</v>
      </c>
      <c r="R89" s="78" t="e">
        <f>'Alternative 2'!$B$39*$B89*$C89*COS($K$5)-($N$5/3)*$E89*SIN($K$5)-($N$5/3)*$F89*SIN($K$5)-($N$5/3)*$G89*SIN($K$5)</f>
        <v>#VALUE!</v>
      </c>
      <c r="S89" s="79" t="e">
        <f>IF(($A89&lt;'Alternative 2'!$B$27),(($H89*'Alternative 2'!$B$39)+(3*($N$5/3)*COS($K$5))),IF(($A89&lt;'Alternative 2'!$B$28),(($H89*'Alternative 2'!$B$39)+(2*(($N$5/3)*COS($K$5)))),IF(($A89&lt;'Alternative 2'!$B$29),(($H$3*'Alternative 2'!$B$39+(($N$5/3)*COS($K$5)))),($H89*'Alternative 2'!$B$39))))</f>
        <v>#VALUE!</v>
      </c>
      <c r="T89" s="78" t="e">
        <f>R89*'Alternative 2'!$K90/'Alternative 2'!$L90</f>
        <v>#VALUE!</v>
      </c>
      <c r="U89" s="78" t="e">
        <f>S89/'Alternative 2'!$M90</f>
        <v>#VALUE!</v>
      </c>
      <c r="V89" s="78" t="e">
        <f t="shared" si="20"/>
        <v>#VALUE!</v>
      </c>
      <c r="X89" s="78" t="e">
        <f>'Alternative 2'!$B$39*$B89*$C89*COS($K$13)-($N$12/3)*$E89*SIN($K$13)-($N$12/3)*$F89*SIN($K$13)-($N$12/3)*$G89*SIN($K$13)</f>
        <v>#VALUE!</v>
      </c>
      <c r="Y89" s="79" t="e">
        <f>IF(($A89&lt;'Alternative 2'!$B$27),(($H89*'Alternative 2'!$B$39)+(3*($N$12/3)*COS($K$13))),IF(($A89&lt;'Alternative 2'!$B$28),(($H89*'Alternative 2'!$B$39)+(2*(($N$12/3)*COS($K$13)))),IF(($A89&lt;'Alternative 2'!$B$29),(($H$3*'Alternative 2'!$B$39+(($N$12/3)*COS($K$13)))),($H89*'Alternative 2'!$B$39))))</f>
        <v>#VALUE!</v>
      </c>
      <c r="Z89" s="78" t="e">
        <f>X89*'Alternative 2'!$K90/'Alternative 2'!$L90</f>
        <v>#VALUE!</v>
      </c>
      <c r="AA89" s="78" t="e">
        <f>Y89/'Alternative 2'!$M90</f>
        <v>#VALUE!</v>
      </c>
      <c r="AB89" s="78" t="e">
        <f t="shared" si="21"/>
        <v>#VALUE!</v>
      </c>
      <c r="AD89" s="78" t="e">
        <f>'Alternative 2'!$B$39*$B89*$C89*COS($K$23)-($N$22/3)*$E89*SIN($K$23)-($N$22/3)*$F89*SIN($K$23)-($N$22/3)*$G89*SIN($K$23)</f>
        <v>#VALUE!</v>
      </c>
      <c r="AE89" s="79" t="e">
        <f>IF(($A89&lt;'Alternative 2'!$B$27),(($H89*'Alternative 2'!$B$39)+(3*($N$22/3)*COS($K$23))),IF(($A89&lt;'Alternative 2'!$B$28),(($H89*'Alternative 2'!$B$39)+(2*(($N$22/3)*COS($K$23)))),IF(($A89&lt;'Alternative 2'!$B$29),(($H$3*'Alternative 2'!$B$39+(($N$22/3)*COS($K$23)))),($H89*'Alternative 2'!$B$39))))</f>
        <v>#VALUE!</v>
      </c>
      <c r="AF89" s="78" t="e">
        <f>AD89*'Alternative 2'!$K90/'Alternative 2'!$L90</f>
        <v>#VALUE!</v>
      </c>
      <c r="AG89" s="78" t="e">
        <f>AE89/'Alternative 2'!$M90</f>
        <v>#VALUE!</v>
      </c>
      <c r="AH89" s="78" t="e">
        <f t="shared" si="22"/>
        <v>#VALUE!</v>
      </c>
      <c r="AJ89" s="78" t="e">
        <f>'Alternative 2'!$B$39*$B89*$C89*COS($K$33)-($N$32/3)*$E89*SIN($K$33)-($N$32/3)*$F89*SIN($K$33)-($N$32/3)*$G89*SIN($K$33)</f>
        <v>#VALUE!</v>
      </c>
      <c r="AK89" s="79" t="e">
        <f>IF(($A89&lt;'Alternative 2'!$B$27),(($H89*'Alternative 2'!$B$39)+(3*($N$32/3)*COS($K$33))),IF(($A89&lt;'Alternative 2'!$B$28),(($H89*'Alternative 2'!$B$39)+(2*(($N$32/3)*COS($K$33)))),IF(($A89&lt;'Alternative 2'!$B$29),(($H$3*'Alternative 2'!$B$39+(($N$32/3)*COS($K$33)))),($H89*'Alternative 2'!$B$39))))</f>
        <v>#VALUE!</v>
      </c>
      <c r="AL89" s="78" t="e">
        <f>AJ89*'Alternative 2'!$K90/'Alternative 2'!$L90</f>
        <v>#VALUE!</v>
      </c>
      <c r="AM89" s="78" t="e">
        <f>AK89/'Alternative 2'!$M90</f>
        <v>#VALUE!</v>
      </c>
      <c r="AN89" s="78" t="e">
        <f t="shared" si="23"/>
        <v>#VALUE!</v>
      </c>
      <c r="AP89" s="78" t="e">
        <f>'Alternative 2'!$B$39*$B89*$C89*COS($K$43)-($N$42/3)*$E89*SIN($K$43)-($N$42/3)*$F89*SIN($K$43)-($N$42/3)*$G89*SIN($K$43)</f>
        <v>#VALUE!</v>
      </c>
      <c r="AQ89" s="79" t="e">
        <f>IF(($A89&lt;'Alternative 2'!$B$27),(($H89*'Alternative 2'!$B$39)+(3*($N$42/3)*COS($K$43))),IF(($A89&lt;'Alternative 2'!$B$28),(($H89*'Alternative 2'!$B$39)+(2*(($N$42/3)*COS($K$43)))),IF(($A89&lt;'Alternative 2'!$B$29),(($H$3*'Alternative 2'!$B$39+(($N$42/3)*COS($K$43)))),($H89*'Alternative 2'!$B$39))))</f>
        <v>#VALUE!</v>
      </c>
      <c r="AR89" s="78" t="e">
        <f>AP89*'Alternative 2'!$K90/'Alternative 2'!$L90</f>
        <v>#VALUE!</v>
      </c>
      <c r="AS89" s="78" t="e">
        <f>AQ89/'Alternative 2'!$M90</f>
        <v>#VALUE!</v>
      </c>
      <c r="AT89" s="78" t="e">
        <f t="shared" si="24"/>
        <v>#VALUE!</v>
      </c>
      <c r="AV89" s="78" t="e">
        <f>'Alternative 2'!$B$39*$B89*$C89*COS($K$53)-($N$52/3)*$E89*SIN($K$53)-($N$52/3)*$F89*SIN($K$53)-($N$52/3)*$G89*SIN($K$53)</f>
        <v>#VALUE!</v>
      </c>
      <c r="AW89" s="79" t="e">
        <f>IF(($A89&lt;'Alternative 2'!$B$27),(($H89*'Alternative 2'!$B$39)+(3*($N$52/3)*COS($K$53))),IF(($A89&lt;'Alternative 2'!$B$28),(($H89*'Alternative 2'!$B$39)+(2*(($N$52/3)*COS($K$53)))),IF(($A89&lt;'Alternative 2'!$B$29),(($H$3*'Alternative 2'!$B$39+(($N$52/3)*COS($K$53)))),($H89*'Alternative 2'!$B$39))))</f>
        <v>#VALUE!</v>
      </c>
      <c r="AX89" s="78" t="e">
        <f>AV89*'Alternative 2'!$K90/'Alternative 2'!$L90</f>
        <v>#VALUE!</v>
      </c>
      <c r="AY89" s="78" t="e">
        <f>AW89/'Alternative 2'!$M90</f>
        <v>#VALUE!</v>
      </c>
      <c r="AZ89" s="78" t="e">
        <f t="shared" si="25"/>
        <v>#VALUE!</v>
      </c>
      <c r="BB89" s="78" t="e">
        <f>'Alternative 2'!$B$39*$B89*$C89*COS($K$63)-($N$62/3)*$E89*SIN($K$63)-($N$62/3)*$F89*SIN($K$63)-($N$62/3)*$G89*SIN($K$63)</f>
        <v>#VALUE!</v>
      </c>
      <c r="BC89" s="79" t="e">
        <f>IF(($A89&lt;'Alternative 2'!$B$27),(($H89*'Alternative 2'!$B$39)+(3*($N$62/3)*COS($K$63))),IF(($A89&lt;'Alternative 2'!$B$28),(($H89*'Alternative 2'!$B$39)+(2*(($N$62/3)*COS($K$63)))),IF(($A89&lt;'Alternative 2'!$B$29),(($H$3*'Alternative 2'!$B$39+(($N$62/3)*COS($K$63)))),($H89*'Alternative 2'!$B$39))))</f>
        <v>#VALUE!</v>
      </c>
      <c r="BD89" s="78" t="e">
        <f>BB89*'Alternative 2'!$K90/'Alternative 2'!$L90</f>
        <v>#VALUE!</v>
      </c>
      <c r="BE89" s="78" t="e">
        <f>BC89/'Alternative 2'!$M90</f>
        <v>#VALUE!</v>
      </c>
      <c r="BF89" s="78" t="e">
        <f t="shared" si="26"/>
        <v>#VALUE!</v>
      </c>
      <c r="BH89" s="78" t="e">
        <f>'Alternative 2'!$B$39*$B89*$C89*COS($K$73)-($N$72/3)*$E89*SIN($K$73)-($N$72/3)*$F89*SIN($K$73)-($N$72/3)*$G89*SIN($K$73)</f>
        <v>#VALUE!</v>
      </c>
      <c r="BI89" s="79" t="e">
        <f>IF(($A89&lt;'Alternative 2'!$B$27),(($H89*'Alternative 2'!$B$39)+(3*($N$72/3)*COS($K$73))),IF(($A89&lt;'Alternative 2'!$B$28),(($H89*'Alternative 2'!$B$39)+(2*(($N$72/3)*COS($K$73)))),IF(($A89&lt;'Alternative 2'!$B$29),(($H$3*'Alternative 2'!$B$39+(($N$72/3)*COS($K$73)))),($H89*'Alternative 2'!$B$39))))</f>
        <v>#VALUE!</v>
      </c>
      <c r="BJ89" s="78" t="e">
        <f>BH89*'Alternative 2'!$K90/'Alternative 2'!$L90</f>
        <v>#VALUE!</v>
      </c>
      <c r="BK89" s="78" t="e">
        <f>BI89/'Alternative 2'!$M90</f>
        <v>#VALUE!</v>
      </c>
      <c r="BL89" s="78" t="e">
        <f t="shared" si="27"/>
        <v>#VALUE!</v>
      </c>
      <c r="BN89" s="78" t="e">
        <f>'Alternative 2'!$B$39*$B89*$C89*COS($K$83)-($N$82/3)*$E89*SIN($K$83)-($N$82/3)*$F89*SIN($K$83)-($N$82/3)*$G89*SIN($K$83)</f>
        <v>#VALUE!</v>
      </c>
      <c r="BO89" s="79" t="e">
        <f>IF(($A89&lt;'Alternative 2'!$B$27),(($H89*'Alternative 2'!$B$39)+(3*($N$82/3)*COS($K$83))),IF(($A89&lt;'Alternative 2'!$B$28),(($H89*'Alternative 2'!$B$39)+(2*(($N$82/3)*COS($K$83)))),IF(($A89&lt;'Alternative 2'!$B$29),(($H$3*'Alternative 2'!$B$39+(($N$82/3)*COS($K$83)))),($H89*'Alternative 2'!$B$39))))</f>
        <v>#VALUE!</v>
      </c>
      <c r="BP89" s="78" t="e">
        <f>BN89*'Alternative 2'!$K90/'Alternative 2'!$L90</f>
        <v>#VALUE!</v>
      </c>
      <c r="BQ89" s="78" t="e">
        <f>BO89/'Alternative 2'!$M90</f>
        <v>#VALUE!</v>
      </c>
      <c r="BR89" s="78" t="e">
        <f t="shared" si="28"/>
        <v>#VALUE!</v>
      </c>
      <c r="BT89" s="78" t="e">
        <f>'Alternative 2'!$B$39*$B89*$C89*COS($K$93)-($K$92/3)*$E89*SIN($K$93)-($K$92/3)*$F89*SIN($K$93)-($K$92/3)*$G89*SIN($K$93)</f>
        <v>#VALUE!</v>
      </c>
      <c r="BU89" s="79" t="e">
        <f>IF(($A89&lt;'Alternative 2'!$B$27),(($H89*'Alternative 2'!$B$39)+(3*($N$92/3)*COS($K$93))),IF(($A89&lt;'Alternative 2'!$B$28),(($H89*'Alternative 2'!$B$39)+(2*(($N$92/3)*COS($K$93)))),IF(($A89&lt;'Alternative 2'!$B$29),(($H$3*'Alternative 2'!$B$39+(($N$92/3)*COS($K$93)))),($H89*'Alternative 2'!$B$39))))</f>
        <v>#VALUE!</v>
      </c>
      <c r="BV89" s="78" t="e">
        <f>BT89*'Alternative 2'!$K90/'Alternative 2'!$L90</f>
        <v>#VALUE!</v>
      </c>
      <c r="BW89" s="78" t="e">
        <f>BU89/'Alternative 2'!$M90</f>
        <v>#VALUE!</v>
      </c>
      <c r="BX89" s="78" t="e">
        <f t="shared" si="29"/>
        <v>#VALUE!</v>
      </c>
    </row>
    <row r="90" spans="1:76" ht="15" customHeight="1" x14ac:dyDescent="0.25">
      <c r="A90" s="13" t="str">
        <f>IF('Alternative 2'!F91&gt;0,'Alternative 2'!F91,"x")</f>
        <v>x</v>
      </c>
      <c r="B90" s="13" t="e">
        <f t="shared" si="35"/>
        <v>#VALUE!</v>
      </c>
      <c r="C90" s="13">
        <f t="shared" si="30"/>
        <v>0</v>
      </c>
      <c r="D90" s="13" t="str">
        <f t="shared" si="31"/>
        <v>x</v>
      </c>
      <c r="E90" s="74">
        <f>IF($A90&lt;='Alternative 2'!$B$27, IF($A90='Alternative 2'!$B$27,0,E91+1),0)</f>
        <v>0</v>
      </c>
      <c r="F90" s="74">
        <f>IF($A90&lt;=('Alternative 2'!$B$28), IF($A90=ROUNDDOWN('Alternative 2'!$B$28,0),0,F91+1),0)</f>
        <v>0</v>
      </c>
      <c r="G90" s="74">
        <f>IF($A90&lt;=('Alternative 2'!$B$29), IF($A90=ROUNDDOWN('Alternative 2'!$B$29,0),0,G91+1),0)</f>
        <v>0</v>
      </c>
      <c r="H90" s="13" t="e">
        <f t="shared" si="32"/>
        <v>#VALUE!</v>
      </c>
      <c r="J90" s="77">
        <f t="shared" si="33"/>
        <v>87</v>
      </c>
      <c r="K90" s="77">
        <f t="shared" si="34"/>
        <v>1.5184364492350666</v>
      </c>
      <c r="L90" s="78">
        <f>'Alternative 2'!$B$27*SIN(K90)+'Alternative 2'!$B$28*SIN(K90)+'Alternative 2'!$B$29*SIN(K90)</f>
        <v>67.906808363311015</v>
      </c>
      <c r="M90" s="77">
        <f>(('Alternative 2'!$B$27)*(((('Alternative 2'!$B$28-'Alternative 2'!$B$27)/2)+'Alternative 2'!$B$27)*'Alternative 2'!$B$39)*COS('Alternative 2-Tilt Up'!K90))+(('Alternative 2'!$B$28)*((('Alternative 2'!$B$28-'Alternative 2'!$B$27)/2)+(('Alternative 2'!$B$29-'Alternative 2'!$B$28)/2))*('Alternative 2'!$B$39)*COS('Alternative 2-Tilt Up'!K90))+(('Alternative 2'!$B$29)*((('Alternative 2'!$B$12-'Alternative 2'!$B$29+(('Alternative 2'!$B$29-'Alternative 2'!$B$28)/2)*('Alternative 2'!$B$39)*COS('Alternative 2-Tilt Up'!K90)))))</f>
        <v>248577.72466913908</v>
      </c>
      <c r="N90" s="77">
        <f t="shared" si="18"/>
        <v>10981.714381533577</v>
      </c>
      <c r="O90" s="77">
        <f>(((('Alternative 2'!$B$28-'Alternative 2'!$B$27)/2)+'Alternative 2'!$B$27)*('Alternative 2'!$B$39)*COS('Alternative 2-Tilt Up'!K90))+(((('Alternative 2'!$B$28-'Alternative 2'!$B$27)/2)+(('Alternative 2'!$B$29-'Alternative 2'!$B$28)/2))*('Alternative 2'!$B$39)*COS('Alternative 2-Tilt Up'!K90))+(((('Alternative 2'!$B$12-'Alternative 2'!$B$29)+(('Alternative 2'!$B$29-'Alternative 2'!$B$28)/2))*('Alternative 2'!$B$39)*COS('Alternative 2-Tilt Up'!K90)))</f>
        <v>16021.078038220698</v>
      </c>
      <c r="P90" s="77">
        <f t="shared" si="19"/>
        <v>574.73852334444973</v>
      </c>
      <c r="R90" s="78" t="e">
        <f>'Alternative 2'!$B$39*$B90*$C90*COS($K$5)-($N$5/3)*$E90*SIN($K$5)-($N$5/3)*$F90*SIN($K$5)-($N$5/3)*$G90*SIN($K$5)</f>
        <v>#VALUE!</v>
      </c>
      <c r="S90" s="79" t="e">
        <f>IF(($A90&lt;'Alternative 2'!$B$27),(($H90*'Alternative 2'!$B$39)+(3*($N$5/3)*COS($K$5))),IF(($A90&lt;'Alternative 2'!$B$28),(($H90*'Alternative 2'!$B$39)+(2*(($N$5/3)*COS($K$5)))),IF(($A90&lt;'Alternative 2'!$B$29),(($H$3*'Alternative 2'!$B$39+(($N$5/3)*COS($K$5)))),($H90*'Alternative 2'!$B$39))))</f>
        <v>#VALUE!</v>
      </c>
      <c r="T90" s="78" t="e">
        <f>R90*'Alternative 2'!$K91/'Alternative 2'!$L91</f>
        <v>#VALUE!</v>
      </c>
      <c r="U90" s="78" t="e">
        <f>S90/'Alternative 2'!$M91</f>
        <v>#VALUE!</v>
      </c>
      <c r="V90" s="78" t="e">
        <f t="shared" si="20"/>
        <v>#VALUE!</v>
      </c>
      <c r="X90" s="78" t="e">
        <f>'Alternative 2'!$B$39*$B90*$C90*COS($K$13)-($N$12/3)*$E90*SIN($K$13)-($N$12/3)*$F90*SIN($K$13)-($N$12/3)*$G90*SIN($K$13)</f>
        <v>#VALUE!</v>
      </c>
      <c r="Y90" s="79" t="e">
        <f>IF(($A90&lt;'Alternative 2'!$B$27),(($H90*'Alternative 2'!$B$39)+(3*($N$12/3)*COS($K$13))),IF(($A90&lt;'Alternative 2'!$B$28),(($H90*'Alternative 2'!$B$39)+(2*(($N$12/3)*COS($K$13)))),IF(($A90&lt;'Alternative 2'!$B$29),(($H$3*'Alternative 2'!$B$39+(($N$12/3)*COS($K$13)))),($H90*'Alternative 2'!$B$39))))</f>
        <v>#VALUE!</v>
      </c>
      <c r="Z90" s="78" t="e">
        <f>X90*'Alternative 2'!$K91/'Alternative 2'!$L91</f>
        <v>#VALUE!</v>
      </c>
      <c r="AA90" s="78" t="e">
        <f>Y90/'Alternative 2'!$M91</f>
        <v>#VALUE!</v>
      </c>
      <c r="AB90" s="78" t="e">
        <f t="shared" si="21"/>
        <v>#VALUE!</v>
      </c>
      <c r="AD90" s="78" t="e">
        <f>'Alternative 2'!$B$39*$B90*$C90*COS($K$23)-($N$22/3)*$E90*SIN($K$23)-($N$22/3)*$F90*SIN($K$23)-($N$22/3)*$G90*SIN($K$23)</f>
        <v>#VALUE!</v>
      </c>
      <c r="AE90" s="79" t="e">
        <f>IF(($A90&lt;'Alternative 2'!$B$27),(($H90*'Alternative 2'!$B$39)+(3*($N$22/3)*COS($K$23))),IF(($A90&lt;'Alternative 2'!$B$28),(($H90*'Alternative 2'!$B$39)+(2*(($N$22/3)*COS($K$23)))),IF(($A90&lt;'Alternative 2'!$B$29),(($H$3*'Alternative 2'!$B$39+(($N$22/3)*COS($K$23)))),($H90*'Alternative 2'!$B$39))))</f>
        <v>#VALUE!</v>
      </c>
      <c r="AF90" s="78" t="e">
        <f>AD90*'Alternative 2'!$K91/'Alternative 2'!$L91</f>
        <v>#VALUE!</v>
      </c>
      <c r="AG90" s="78" t="e">
        <f>AE90/'Alternative 2'!$M91</f>
        <v>#VALUE!</v>
      </c>
      <c r="AH90" s="78" t="e">
        <f t="shared" si="22"/>
        <v>#VALUE!</v>
      </c>
      <c r="AJ90" s="78" t="e">
        <f>'Alternative 2'!$B$39*$B90*$C90*COS($K$33)-($N$32/3)*$E90*SIN($K$33)-($N$32/3)*$F90*SIN($K$33)-($N$32/3)*$G90*SIN($K$33)</f>
        <v>#VALUE!</v>
      </c>
      <c r="AK90" s="79" t="e">
        <f>IF(($A90&lt;'Alternative 2'!$B$27),(($H90*'Alternative 2'!$B$39)+(3*($N$32/3)*COS($K$33))),IF(($A90&lt;'Alternative 2'!$B$28),(($H90*'Alternative 2'!$B$39)+(2*(($N$32/3)*COS($K$33)))),IF(($A90&lt;'Alternative 2'!$B$29),(($H$3*'Alternative 2'!$B$39+(($N$32/3)*COS($K$33)))),($H90*'Alternative 2'!$B$39))))</f>
        <v>#VALUE!</v>
      </c>
      <c r="AL90" s="78" t="e">
        <f>AJ90*'Alternative 2'!$K91/'Alternative 2'!$L91</f>
        <v>#VALUE!</v>
      </c>
      <c r="AM90" s="78" t="e">
        <f>AK90/'Alternative 2'!$M91</f>
        <v>#VALUE!</v>
      </c>
      <c r="AN90" s="78" t="e">
        <f t="shared" si="23"/>
        <v>#VALUE!</v>
      </c>
      <c r="AP90" s="78" t="e">
        <f>'Alternative 2'!$B$39*$B90*$C90*COS($K$43)-($N$42/3)*$E90*SIN($K$43)-($N$42/3)*$F90*SIN($K$43)-($N$42/3)*$G90*SIN($K$43)</f>
        <v>#VALUE!</v>
      </c>
      <c r="AQ90" s="79" t="e">
        <f>IF(($A90&lt;'Alternative 2'!$B$27),(($H90*'Alternative 2'!$B$39)+(3*($N$42/3)*COS($K$43))),IF(($A90&lt;'Alternative 2'!$B$28),(($H90*'Alternative 2'!$B$39)+(2*(($N$42/3)*COS($K$43)))),IF(($A90&lt;'Alternative 2'!$B$29),(($H$3*'Alternative 2'!$B$39+(($N$42/3)*COS($K$43)))),($H90*'Alternative 2'!$B$39))))</f>
        <v>#VALUE!</v>
      </c>
      <c r="AR90" s="78" t="e">
        <f>AP90*'Alternative 2'!$K91/'Alternative 2'!$L91</f>
        <v>#VALUE!</v>
      </c>
      <c r="AS90" s="78" t="e">
        <f>AQ90/'Alternative 2'!$M91</f>
        <v>#VALUE!</v>
      </c>
      <c r="AT90" s="78" t="e">
        <f t="shared" si="24"/>
        <v>#VALUE!</v>
      </c>
      <c r="AV90" s="78" t="e">
        <f>'Alternative 2'!$B$39*$B90*$C90*COS($K$53)-($N$52/3)*$E90*SIN($K$53)-($N$52/3)*$F90*SIN($K$53)-($N$52/3)*$G90*SIN($K$53)</f>
        <v>#VALUE!</v>
      </c>
      <c r="AW90" s="79" t="e">
        <f>IF(($A90&lt;'Alternative 2'!$B$27),(($H90*'Alternative 2'!$B$39)+(3*($N$52/3)*COS($K$53))),IF(($A90&lt;'Alternative 2'!$B$28),(($H90*'Alternative 2'!$B$39)+(2*(($N$52/3)*COS($K$53)))),IF(($A90&lt;'Alternative 2'!$B$29),(($H$3*'Alternative 2'!$B$39+(($N$52/3)*COS($K$53)))),($H90*'Alternative 2'!$B$39))))</f>
        <v>#VALUE!</v>
      </c>
      <c r="AX90" s="78" t="e">
        <f>AV90*'Alternative 2'!$K91/'Alternative 2'!$L91</f>
        <v>#VALUE!</v>
      </c>
      <c r="AY90" s="78" t="e">
        <f>AW90/'Alternative 2'!$M91</f>
        <v>#VALUE!</v>
      </c>
      <c r="AZ90" s="78" t="e">
        <f t="shared" si="25"/>
        <v>#VALUE!</v>
      </c>
      <c r="BB90" s="78" t="e">
        <f>'Alternative 2'!$B$39*$B90*$C90*COS($K$63)-($N$62/3)*$E90*SIN($K$63)-($N$62/3)*$F90*SIN($K$63)-($N$62/3)*$G90*SIN($K$63)</f>
        <v>#VALUE!</v>
      </c>
      <c r="BC90" s="79" t="e">
        <f>IF(($A90&lt;'Alternative 2'!$B$27),(($H90*'Alternative 2'!$B$39)+(3*($N$62/3)*COS($K$63))),IF(($A90&lt;'Alternative 2'!$B$28),(($H90*'Alternative 2'!$B$39)+(2*(($N$62/3)*COS($K$63)))),IF(($A90&lt;'Alternative 2'!$B$29),(($H$3*'Alternative 2'!$B$39+(($N$62/3)*COS($K$63)))),($H90*'Alternative 2'!$B$39))))</f>
        <v>#VALUE!</v>
      </c>
      <c r="BD90" s="78" t="e">
        <f>BB90*'Alternative 2'!$K91/'Alternative 2'!$L91</f>
        <v>#VALUE!</v>
      </c>
      <c r="BE90" s="78" t="e">
        <f>BC90/'Alternative 2'!$M91</f>
        <v>#VALUE!</v>
      </c>
      <c r="BF90" s="78" t="e">
        <f t="shared" si="26"/>
        <v>#VALUE!</v>
      </c>
      <c r="BH90" s="78" t="e">
        <f>'Alternative 2'!$B$39*$B90*$C90*COS($K$73)-($N$72/3)*$E90*SIN($K$73)-($N$72/3)*$F90*SIN($K$73)-($N$72/3)*$G90*SIN($K$73)</f>
        <v>#VALUE!</v>
      </c>
      <c r="BI90" s="79" t="e">
        <f>IF(($A90&lt;'Alternative 2'!$B$27),(($H90*'Alternative 2'!$B$39)+(3*($N$72/3)*COS($K$73))),IF(($A90&lt;'Alternative 2'!$B$28),(($H90*'Alternative 2'!$B$39)+(2*(($N$72/3)*COS($K$73)))),IF(($A90&lt;'Alternative 2'!$B$29),(($H$3*'Alternative 2'!$B$39+(($N$72/3)*COS($K$73)))),($H90*'Alternative 2'!$B$39))))</f>
        <v>#VALUE!</v>
      </c>
      <c r="BJ90" s="78" t="e">
        <f>BH90*'Alternative 2'!$K91/'Alternative 2'!$L91</f>
        <v>#VALUE!</v>
      </c>
      <c r="BK90" s="78" t="e">
        <f>BI90/'Alternative 2'!$M91</f>
        <v>#VALUE!</v>
      </c>
      <c r="BL90" s="78" t="e">
        <f t="shared" si="27"/>
        <v>#VALUE!</v>
      </c>
      <c r="BN90" s="78" t="e">
        <f>'Alternative 2'!$B$39*$B90*$C90*COS($K$83)-($N$82/3)*$E90*SIN($K$83)-($N$82/3)*$F90*SIN($K$83)-($N$82/3)*$G90*SIN($K$83)</f>
        <v>#VALUE!</v>
      </c>
      <c r="BO90" s="79" t="e">
        <f>IF(($A90&lt;'Alternative 2'!$B$27),(($H90*'Alternative 2'!$B$39)+(3*($N$82/3)*COS($K$83))),IF(($A90&lt;'Alternative 2'!$B$28),(($H90*'Alternative 2'!$B$39)+(2*(($N$82/3)*COS($K$83)))),IF(($A90&lt;'Alternative 2'!$B$29),(($H$3*'Alternative 2'!$B$39+(($N$82/3)*COS($K$83)))),($H90*'Alternative 2'!$B$39))))</f>
        <v>#VALUE!</v>
      </c>
      <c r="BP90" s="78" t="e">
        <f>BN90*'Alternative 2'!$K91/'Alternative 2'!$L91</f>
        <v>#VALUE!</v>
      </c>
      <c r="BQ90" s="78" t="e">
        <f>BO90/'Alternative 2'!$M91</f>
        <v>#VALUE!</v>
      </c>
      <c r="BR90" s="78" t="e">
        <f t="shared" si="28"/>
        <v>#VALUE!</v>
      </c>
      <c r="BT90" s="78" t="e">
        <f>'Alternative 2'!$B$39*$B90*$C90*COS($K$93)-($K$92/3)*$E90*SIN($K$93)-($K$92/3)*$F90*SIN($K$93)-($K$92/3)*$G90*SIN($K$93)</f>
        <v>#VALUE!</v>
      </c>
      <c r="BU90" s="79" t="e">
        <f>IF(($A90&lt;'Alternative 2'!$B$27),(($H90*'Alternative 2'!$B$39)+(3*($N$92/3)*COS($K$93))),IF(($A90&lt;'Alternative 2'!$B$28),(($H90*'Alternative 2'!$B$39)+(2*(($N$92/3)*COS($K$93)))),IF(($A90&lt;'Alternative 2'!$B$29),(($H$3*'Alternative 2'!$B$39+(($N$92/3)*COS($K$93)))),($H90*'Alternative 2'!$B$39))))</f>
        <v>#VALUE!</v>
      </c>
      <c r="BV90" s="78" t="e">
        <f>BT90*'Alternative 2'!$K91/'Alternative 2'!$L91</f>
        <v>#VALUE!</v>
      </c>
      <c r="BW90" s="78" t="e">
        <f>BU90/'Alternative 2'!$M91</f>
        <v>#VALUE!</v>
      </c>
      <c r="BX90" s="78" t="e">
        <f t="shared" si="29"/>
        <v>#VALUE!</v>
      </c>
    </row>
    <row r="91" spans="1:76" ht="15" customHeight="1" x14ac:dyDescent="0.25">
      <c r="A91" s="13" t="str">
        <f>IF('Alternative 2'!F92&gt;0,'Alternative 2'!F92,"x")</f>
        <v>x</v>
      </c>
      <c r="B91" s="13" t="e">
        <f t="shared" si="35"/>
        <v>#VALUE!</v>
      </c>
      <c r="C91" s="13">
        <f t="shared" si="30"/>
        <v>0</v>
      </c>
      <c r="D91" s="13" t="str">
        <f t="shared" si="31"/>
        <v>x</v>
      </c>
      <c r="E91" s="74">
        <f>IF($A91&lt;='Alternative 2'!$B$27, IF($A91='Alternative 2'!$B$27,0,E92+1),0)</f>
        <v>0</v>
      </c>
      <c r="F91" s="74">
        <f>IF($A91&lt;=('Alternative 2'!$B$28), IF($A91=ROUNDDOWN('Alternative 2'!$B$28,0),0,F92+1),0)</f>
        <v>0</v>
      </c>
      <c r="G91" s="74">
        <f>IF($A91&lt;=('Alternative 2'!$B$29), IF($A91=ROUNDDOWN('Alternative 2'!$B$29,0),0,G92+1),0)</f>
        <v>0</v>
      </c>
      <c r="H91" s="13" t="e">
        <f t="shared" si="32"/>
        <v>#VALUE!</v>
      </c>
      <c r="J91" s="77">
        <f t="shared" si="33"/>
        <v>88</v>
      </c>
      <c r="K91" s="77">
        <f t="shared" si="34"/>
        <v>1.5358897417550099</v>
      </c>
      <c r="L91" s="78">
        <f>'Alternative 2'!$B$27*SIN(K91)+'Alternative 2'!$B$28*SIN(K91)+'Alternative 2'!$B$29*SIN(K91)</f>
        <v>67.958576237298516</v>
      </c>
      <c r="M91" s="77">
        <f>(('Alternative 2'!$B$27)*(((('Alternative 2'!$B$28-'Alternative 2'!$B$27)/2)+'Alternative 2'!$B$27)*'Alternative 2'!$B$39)*COS('Alternative 2-Tilt Up'!K91))+(('Alternative 2'!$B$28)*((('Alternative 2'!$B$28-'Alternative 2'!$B$27)/2)+(('Alternative 2'!$B$29-'Alternative 2'!$B$28)/2))*('Alternative 2'!$B$39)*COS('Alternative 2-Tilt Up'!K91))+(('Alternative 2'!$B$29)*((('Alternative 2'!$B$12-'Alternative 2'!$B$29+(('Alternative 2'!$B$29-'Alternative 2'!$B$28)/2)*('Alternative 2'!$B$39)*COS('Alternative 2-Tilt Up'!K91)))))</f>
        <v>165825.73853966629</v>
      </c>
      <c r="N91" s="77">
        <f t="shared" si="18"/>
        <v>7320.3007355819573</v>
      </c>
      <c r="O91" s="77">
        <f>(((('Alternative 2'!$B$28-'Alternative 2'!$B$27)/2)+'Alternative 2'!$B$27)*('Alternative 2'!$B$39)*COS('Alternative 2-Tilt Up'!K91))+(((('Alternative 2'!$B$28-'Alternative 2'!$B$27)/2)+(('Alternative 2'!$B$29-'Alternative 2'!$B$28)/2))*('Alternative 2'!$B$39)*COS('Alternative 2-Tilt Up'!K91))+(((('Alternative 2'!$B$12-'Alternative 2'!$B$29)+(('Alternative 2'!$B$29-'Alternative 2'!$B$28)/2))*('Alternative 2'!$B$39)*COS('Alternative 2-Tilt Up'!K91)))</f>
        <v>10683.43067182953</v>
      </c>
      <c r="P91" s="77">
        <f t="shared" si="19"/>
        <v>255.47481138275876</v>
      </c>
      <c r="R91" s="78" t="e">
        <f>'Alternative 2'!$B$39*$B91*$C91*COS($K$5)-($N$5/3)*$E91*SIN($K$5)-($N$5/3)*$F91*SIN($K$5)-($N$5/3)*$G91*SIN($K$5)</f>
        <v>#VALUE!</v>
      </c>
      <c r="S91" s="79" t="e">
        <f>IF(($A91&lt;'Alternative 2'!$B$27),(($H91*'Alternative 2'!$B$39)+(3*($N$5/3)*COS($K$5))),IF(($A91&lt;'Alternative 2'!$B$28),(($H91*'Alternative 2'!$B$39)+(2*(($N$5/3)*COS($K$5)))),IF(($A91&lt;'Alternative 2'!$B$29),(($H$3*'Alternative 2'!$B$39+(($N$5/3)*COS($K$5)))),($H91*'Alternative 2'!$B$39))))</f>
        <v>#VALUE!</v>
      </c>
      <c r="T91" s="78" t="e">
        <f>R91*'Alternative 2'!$K92/'Alternative 2'!$L92</f>
        <v>#VALUE!</v>
      </c>
      <c r="U91" s="78" t="e">
        <f>S91/'Alternative 2'!$M92</f>
        <v>#VALUE!</v>
      </c>
      <c r="V91" s="78" t="e">
        <f t="shared" si="20"/>
        <v>#VALUE!</v>
      </c>
      <c r="X91" s="78" t="e">
        <f>'Alternative 2'!$B$39*$B91*$C91*COS($K$13)-($N$12/3)*$E91*SIN($K$13)-($N$12/3)*$F91*SIN($K$13)-($N$12/3)*$G91*SIN($K$13)</f>
        <v>#VALUE!</v>
      </c>
      <c r="Y91" s="79" t="e">
        <f>IF(($A91&lt;'Alternative 2'!$B$27),(($H91*'Alternative 2'!$B$39)+(3*($N$12/3)*COS($K$13))),IF(($A91&lt;'Alternative 2'!$B$28),(($H91*'Alternative 2'!$B$39)+(2*(($N$12/3)*COS($K$13)))),IF(($A91&lt;'Alternative 2'!$B$29),(($H$3*'Alternative 2'!$B$39+(($N$12/3)*COS($K$13)))),($H91*'Alternative 2'!$B$39))))</f>
        <v>#VALUE!</v>
      </c>
      <c r="Z91" s="78" t="e">
        <f>X91*'Alternative 2'!$K92/'Alternative 2'!$L92</f>
        <v>#VALUE!</v>
      </c>
      <c r="AA91" s="78" t="e">
        <f>Y91/'Alternative 2'!$M92</f>
        <v>#VALUE!</v>
      </c>
      <c r="AB91" s="78" t="e">
        <f t="shared" si="21"/>
        <v>#VALUE!</v>
      </c>
      <c r="AD91" s="78" t="e">
        <f>'Alternative 2'!$B$39*$B91*$C91*COS($K$23)-($N$22/3)*$E91*SIN($K$23)-($N$22/3)*$F91*SIN($K$23)-($N$22/3)*$G91*SIN($K$23)</f>
        <v>#VALUE!</v>
      </c>
      <c r="AE91" s="79" t="e">
        <f>IF(($A91&lt;'Alternative 2'!$B$27),(($H91*'Alternative 2'!$B$39)+(3*($N$22/3)*COS($K$23))),IF(($A91&lt;'Alternative 2'!$B$28),(($H91*'Alternative 2'!$B$39)+(2*(($N$22/3)*COS($K$23)))),IF(($A91&lt;'Alternative 2'!$B$29),(($H$3*'Alternative 2'!$B$39+(($N$22/3)*COS($K$23)))),($H91*'Alternative 2'!$B$39))))</f>
        <v>#VALUE!</v>
      </c>
      <c r="AF91" s="78" t="e">
        <f>AD91*'Alternative 2'!$K92/'Alternative 2'!$L92</f>
        <v>#VALUE!</v>
      </c>
      <c r="AG91" s="78" t="e">
        <f>AE91/'Alternative 2'!$M92</f>
        <v>#VALUE!</v>
      </c>
      <c r="AH91" s="78" t="e">
        <f t="shared" si="22"/>
        <v>#VALUE!</v>
      </c>
      <c r="AJ91" s="78" t="e">
        <f>'Alternative 2'!$B$39*$B91*$C91*COS($K$33)-($N$32/3)*$E91*SIN($K$33)-($N$32/3)*$F91*SIN($K$33)-($N$32/3)*$G91*SIN($K$33)</f>
        <v>#VALUE!</v>
      </c>
      <c r="AK91" s="79" t="e">
        <f>IF(($A91&lt;'Alternative 2'!$B$27),(($H91*'Alternative 2'!$B$39)+(3*($N$32/3)*COS($K$33))),IF(($A91&lt;'Alternative 2'!$B$28),(($H91*'Alternative 2'!$B$39)+(2*(($N$32/3)*COS($K$33)))),IF(($A91&lt;'Alternative 2'!$B$29),(($H$3*'Alternative 2'!$B$39+(($N$32/3)*COS($K$33)))),($H91*'Alternative 2'!$B$39))))</f>
        <v>#VALUE!</v>
      </c>
      <c r="AL91" s="78" t="e">
        <f>AJ91*'Alternative 2'!$K92/'Alternative 2'!$L92</f>
        <v>#VALUE!</v>
      </c>
      <c r="AM91" s="78" t="e">
        <f>AK91/'Alternative 2'!$M92</f>
        <v>#VALUE!</v>
      </c>
      <c r="AN91" s="78" t="e">
        <f t="shared" si="23"/>
        <v>#VALUE!</v>
      </c>
      <c r="AP91" s="78" t="e">
        <f>'Alternative 2'!$B$39*$B91*$C91*COS($K$43)-($N$42/3)*$E91*SIN($K$43)-($N$42/3)*$F91*SIN($K$43)-($N$42/3)*$G91*SIN($K$43)</f>
        <v>#VALUE!</v>
      </c>
      <c r="AQ91" s="79" t="e">
        <f>IF(($A91&lt;'Alternative 2'!$B$27),(($H91*'Alternative 2'!$B$39)+(3*($N$42/3)*COS($K$43))),IF(($A91&lt;'Alternative 2'!$B$28),(($H91*'Alternative 2'!$B$39)+(2*(($N$42/3)*COS($K$43)))),IF(($A91&lt;'Alternative 2'!$B$29),(($H$3*'Alternative 2'!$B$39+(($N$42/3)*COS($K$43)))),($H91*'Alternative 2'!$B$39))))</f>
        <v>#VALUE!</v>
      </c>
      <c r="AR91" s="78" t="e">
        <f>AP91*'Alternative 2'!$K92/'Alternative 2'!$L92</f>
        <v>#VALUE!</v>
      </c>
      <c r="AS91" s="78" t="e">
        <f>AQ91/'Alternative 2'!$M92</f>
        <v>#VALUE!</v>
      </c>
      <c r="AT91" s="78" t="e">
        <f t="shared" si="24"/>
        <v>#VALUE!</v>
      </c>
      <c r="AV91" s="78" t="e">
        <f>'Alternative 2'!$B$39*$B91*$C91*COS($K$53)-($N$52/3)*$E91*SIN($K$53)-($N$52/3)*$F91*SIN($K$53)-($N$52/3)*$G91*SIN($K$53)</f>
        <v>#VALUE!</v>
      </c>
      <c r="AW91" s="79" t="e">
        <f>IF(($A91&lt;'Alternative 2'!$B$27),(($H91*'Alternative 2'!$B$39)+(3*($N$52/3)*COS($K$53))),IF(($A91&lt;'Alternative 2'!$B$28),(($H91*'Alternative 2'!$B$39)+(2*(($N$52/3)*COS($K$53)))),IF(($A91&lt;'Alternative 2'!$B$29),(($H$3*'Alternative 2'!$B$39+(($N$52/3)*COS($K$53)))),($H91*'Alternative 2'!$B$39))))</f>
        <v>#VALUE!</v>
      </c>
      <c r="AX91" s="78" t="e">
        <f>AV91*'Alternative 2'!$K92/'Alternative 2'!$L92</f>
        <v>#VALUE!</v>
      </c>
      <c r="AY91" s="78" t="e">
        <f>AW91/'Alternative 2'!$M92</f>
        <v>#VALUE!</v>
      </c>
      <c r="AZ91" s="78" t="e">
        <f t="shared" si="25"/>
        <v>#VALUE!</v>
      </c>
      <c r="BB91" s="78" t="e">
        <f>'Alternative 2'!$B$39*$B91*$C91*COS($K$63)-($N$62/3)*$E91*SIN($K$63)-($N$62/3)*$F91*SIN($K$63)-($N$62/3)*$G91*SIN($K$63)</f>
        <v>#VALUE!</v>
      </c>
      <c r="BC91" s="79" t="e">
        <f>IF(($A91&lt;'Alternative 2'!$B$27),(($H91*'Alternative 2'!$B$39)+(3*($N$62/3)*COS($K$63))),IF(($A91&lt;'Alternative 2'!$B$28),(($H91*'Alternative 2'!$B$39)+(2*(($N$62/3)*COS($K$63)))),IF(($A91&lt;'Alternative 2'!$B$29),(($H$3*'Alternative 2'!$B$39+(($N$62/3)*COS($K$63)))),($H91*'Alternative 2'!$B$39))))</f>
        <v>#VALUE!</v>
      </c>
      <c r="BD91" s="78" t="e">
        <f>BB91*'Alternative 2'!$K92/'Alternative 2'!$L92</f>
        <v>#VALUE!</v>
      </c>
      <c r="BE91" s="78" t="e">
        <f>BC91/'Alternative 2'!$M92</f>
        <v>#VALUE!</v>
      </c>
      <c r="BF91" s="78" t="e">
        <f t="shared" si="26"/>
        <v>#VALUE!</v>
      </c>
      <c r="BH91" s="78" t="e">
        <f>'Alternative 2'!$B$39*$B91*$C91*COS($K$73)-($N$72/3)*$E91*SIN($K$73)-($N$72/3)*$F91*SIN($K$73)-($N$72/3)*$G91*SIN($K$73)</f>
        <v>#VALUE!</v>
      </c>
      <c r="BI91" s="79" t="e">
        <f>IF(($A91&lt;'Alternative 2'!$B$27),(($H91*'Alternative 2'!$B$39)+(3*($N$72/3)*COS($K$73))),IF(($A91&lt;'Alternative 2'!$B$28),(($H91*'Alternative 2'!$B$39)+(2*(($N$72/3)*COS($K$73)))),IF(($A91&lt;'Alternative 2'!$B$29),(($H$3*'Alternative 2'!$B$39+(($N$72/3)*COS($K$73)))),($H91*'Alternative 2'!$B$39))))</f>
        <v>#VALUE!</v>
      </c>
      <c r="BJ91" s="78" t="e">
        <f>BH91*'Alternative 2'!$K92/'Alternative 2'!$L92</f>
        <v>#VALUE!</v>
      </c>
      <c r="BK91" s="78" t="e">
        <f>BI91/'Alternative 2'!$M92</f>
        <v>#VALUE!</v>
      </c>
      <c r="BL91" s="78" t="e">
        <f t="shared" si="27"/>
        <v>#VALUE!</v>
      </c>
      <c r="BN91" s="78" t="e">
        <f>'Alternative 2'!$B$39*$B91*$C91*COS($K$83)-($N$82/3)*$E91*SIN($K$83)-($N$82/3)*$F91*SIN($K$83)-($N$82/3)*$G91*SIN($K$83)</f>
        <v>#VALUE!</v>
      </c>
      <c r="BO91" s="79" t="e">
        <f>IF(($A91&lt;'Alternative 2'!$B$27),(($H91*'Alternative 2'!$B$39)+(3*($N$82/3)*COS($K$83))),IF(($A91&lt;'Alternative 2'!$B$28),(($H91*'Alternative 2'!$B$39)+(2*(($N$82/3)*COS($K$83)))),IF(($A91&lt;'Alternative 2'!$B$29),(($H$3*'Alternative 2'!$B$39+(($N$82/3)*COS($K$83)))),($H91*'Alternative 2'!$B$39))))</f>
        <v>#VALUE!</v>
      </c>
      <c r="BP91" s="78" t="e">
        <f>BN91*'Alternative 2'!$K92/'Alternative 2'!$L92</f>
        <v>#VALUE!</v>
      </c>
      <c r="BQ91" s="78" t="e">
        <f>BO91/'Alternative 2'!$M92</f>
        <v>#VALUE!</v>
      </c>
      <c r="BR91" s="78" t="e">
        <f t="shared" si="28"/>
        <v>#VALUE!</v>
      </c>
      <c r="BT91" s="78" t="e">
        <f>'Alternative 2'!$B$39*$B91*$C91*COS($K$93)-($K$92/3)*$E91*SIN($K$93)-($K$92/3)*$F91*SIN($K$93)-($K$92/3)*$G91*SIN($K$93)</f>
        <v>#VALUE!</v>
      </c>
      <c r="BU91" s="79" t="e">
        <f>IF(($A91&lt;'Alternative 2'!$B$27),(($H91*'Alternative 2'!$B$39)+(3*($N$92/3)*COS($K$93))),IF(($A91&lt;'Alternative 2'!$B$28),(($H91*'Alternative 2'!$B$39)+(2*(($N$92/3)*COS($K$93)))),IF(($A91&lt;'Alternative 2'!$B$29),(($H$3*'Alternative 2'!$B$39+(($N$92/3)*COS($K$93)))),($H91*'Alternative 2'!$B$39))))</f>
        <v>#VALUE!</v>
      </c>
      <c r="BV91" s="78" t="e">
        <f>BT91*'Alternative 2'!$K92/'Alternative 2'!$L92</f>
        <v>#VALUE!</v>
      </c>
      <c r="BW91" s="78" t="e">
        <f>BU91/'Alternative 2'!$M92</f>
        <v>#VALUE!</v>
      </c>
      <c r="BX91" s="78" t="e">
        <f t="shared" si="29"/>
        <v>#VALUE!</v>
      </c>
    </row>
    <row r="92" spans="1:76" ht="15" customHeight="1" x14ac:dyDescent="0.25">
      <c r="A92" s="13" t="str">
        <f>IF('Alternative 2'!F93&gt;0,'Alternative 2'!F93,"x")</f>
        <v>x</v>
      </c>
      <c r="B92" s="13" t="e">
        <f t="shared" si="35"/>
        <v>#VALUE!</v>
      </c>
      <c r="C92" s="13">
        <f t="shared" si="30"/>
        <v>0</v>
      </c>
      <c r="D92" s="13" t="str">
        <f t="shared" si="31"/>
        <v>x</v>
      </c>
      <c r="E92" s="74">
        <f>IF($A92&lt;='Alternative 2'!$B$27, IF($A92='Alternative 2'!$B$27,0,E93+1),0)</f>
        <v>0</v>
      </c>
      <c r="F92" s="74">
        <f>IF($A92&lt;=('Alternative 2'!$B$28), IF($A92=ROUNDDOWN('Alternative 2'!$B$28,0),0,F93+1),0)</f>
        <v>0</v>
      </c>
      <c r="G92" s="74">
        <f>IF($A92&lt;=('Alternative 2'!$B$29), IF($A92=ROUNDDOWN('Alternative 2'!$B$29,0),0,G93+1),0)</f>
        <v>0</v>
      </c>
      <c r="H92" s="13" t="e">
        <f t="shared" si="32"/>
        <v>#VALUE!</v>
      </c>
      <c r="J92" s="77">
        <f t="shared" si="33"/>
        <v>89</v>
      </c>
      <c r="K92" s="77">
        <f t="shared" si="34"/>
        <v>1.5533430342749535</v>
      </c>
      <c r="L92" s="78">
        <f>'Alternative 2'!$B$27*SIN(K92)+'Alternative 2'!$B$28*SIN(K92)+'Alternative 2'!$B$29*SIN(K92)</f>
        <v>67.989643270634616</v>
      </c>
      <c r="M92" s="77">
        <f>(('Alternative 2'!$B$27)*(((('Alternative 2'!$B$28-'Alternative 2'!$B$27)/2)+'Alternative 2'!$B$27)*'Alternative 2'!$B$39)*COS('Alternative 2-Tilt Up'!K92))+(('Alternative 2'!$B$28)*((('Alternative 2'!$B$28-'Alternative 2'!$B$27)/2)+(('Alternative 2'!$B$29-'Alternative 2'!$B$28)/2))*('Alternative 2'!$B$39)*COS('Alternative 2-Tilt Up'!K92))+(('Alternative 2'!$B$29)*((('Alternative 2'!$B$12-'Alternative 2'!$B$29+(('Alternative 2'!$B$29-'Alternative 2'!$B$28)/2)*('Alternative 2'!$B$39)*COS('Alternative 2-Tilt Up'!K92)))))</f>
        <v>83023.29987497149</v>
      </c>
      <c r="N92" s="82">
        <f t="shared" si="18"/>
        <v>3663.3505875811848</v>
      </c>
      <c r="O92" s="77">
        <f>(((('Alternative 2'!$B$28-'Alternative 2'!$B$27)/2)+'Alternative 2'!$B$27)*('Alternative 2'!$B$39)*COS('Alternative 2-Tilt Up'!K92))+(((('Alternative 2'!$B$28-'Alternative 2'!$B$27)/2)+(('Alternative 2'!$B$29-'Alternative 2'!$B$28)/2))*('Alternative 2'!$B$39)*COS('Alternative 2-Tilt Up'!K92))+(((('Alternative 2'!$B$12-'Alternative 2'!$B$29)+(('Alternative 2'!$B$29-'Alternative 2'!$B$28)/2))*('Alternative 2'!$B$39)*COS('Alternative 2-Tilt Up'!K92)))</f>
        <v>5342.5290289629374</v>
      </c>
      <c r="P92" s="77">
        <f t="shared" si="19"/>
        <v>63.934283376727706</v>
      </c>
      <c r="R92" s="78" t="e">
        <f>'Alternative 2'!$B$39*$B92*$C92*COS($K$5)-($N$5/3)*$E92*SIN($K$5)-($N$5/3)*$F92*SIN($K$5)-($N$5/3)*$G92*SIN($K$5)</f>
        <v>#VALUE!</v>
      </c>
      <c r="S92" s="79" t="e">
        <f>IF(($A92&lt;'Alternative 2'!$B$27),(($H92*'Alternative 2'!$B$39)+(3*($N$5/3)*COS($K$5))),IF(($A92&lt;'Alternative 2'!$B$28),(($H92*'Alternative 2'!$B$39)+(2*(($N$5/3)*COS($K$5)))),IF(($A92&lt;'Alternative 2'!$B$29),(($H$3*'Alternative 2'!$B$39+(($N$5/3)*COS($K$5)))),($H92*'Alternative 2'!$B$39))))</f>
        <v>#VALUE!</v>
      </c>
      <c r="T92" s="78" t="e">
        <f>R92*'Alternative 2'!$K93/'Alternative 2'!$L93</f>
        <v>#VALUE!</v>
      </c>
      <c r="U92" s="78" t="e">
        <f>S92/'Alternative 2'!$M93</f>
        <v>#VALUE!</v>
      </c>
      <c r="V92" s="78" t="e">
        <f t="shared" si="20"/>
        <v>#VALUE!</v>
      </c>
      <c r="X92" s="78" t="e">
        <f>'Alternative 2'!$B$39*$B92*$C92*COS($K$13)-($N$12/3)*$E92*SIN($K$13)-($N$12/3)*$F92*SIN($K$13)-($N$12/3)*$G92*SIN($K$13)</f>
        <v>#VALUE!</v>
      </c>
      <c r="Y92" s="79" t="e">
        <f>IF(($A92&lt;'Alternative 2'!$B$27),(($H92*'Alternative 2'!$B$39)+(3*($N$12/3)*COS($K$13))),IF(($A92&lt;'Alternative 2'!$B$28),(($H92*'Alternative 2'!$B$39)+(2*(($N$12/3)*COS($K$13)))),IF(($A92&lt;'Alternative 2'!$B$29),(($H$3*'Alternative 2'!$B$39+(($N$12/3)*COS($K$13)))),($H92*'Alternative 2'!$B$39))))</f>
        <v>#VALUE!</v>
      </c>
      <c r="Z92" s="78" t="e">
        <f>X92*'Alternative 2'!$K93/'Alternative 2'!$L93</f>
        <v>#VALUE!</v>
      </c>
      <c r="AA92" s="78" t="e">
        <f>Y92/'Alternative 2'!$M93</f>
        <v>#VALUE!</v>
      </c>
      <c r="AB92" s="78" t="e">
        <f t="shared" si="21"/>
        <v>#VALUE!</v>
      </c>
      <c r="AD92" s="78" t="e">
        <f>'Alternative 2'!$B$39*$B92*$C92*COS($K$23)-($N$22/3)*$E92*SIN($K$23)-($N$22/3)*$F92*SIN($K$23)-($N$22/3)*$G92*SIN($K$23)</f>
        <v>#VALUE!</v>
      </c>
      <c r="AE92" s="79" t="e">
        <f>IF(($A92&lt;'Alternative 2'!$B$27),(($H92*'Alternative 2'!$B$39)+(3*($N$22/3)*COS($K$23))),IF(($A92&lt;'Alternative 2'!$B$28),(($H92*'Alternative 2'!$B$39)+(2*(($N$22/3)*COS($K$23)))),IF(($A92&lt;'Alternative 2'!$B$29),(($H$3*'Alternative 2'!$B$39+(($N$22/3)*COS($K$23)))),($H92*'Alternative 2'!$B$39))))</f>
        <v>#VALUE!</v>
      </c>
      <c r="AF92" s="78" t="e">
        <f>AD92*'Alternative 2'!$K93/'Alternative 2'!$L93</f>
        <v>#VALUE!</v>
      </c>
      <c r="AG92" s="78" t="e">
        <f>AE92/'Alternative 2'!$M93</f>
        <v>#VALUE!</v>
      </c>
      <c r="AH92" s="78" t="e">
        <f t="shared" si="22"/>
        <v>#VALUE!</v>
      </c>
      <c r="AJ92" s="78" t="e">
        <f>'Alternative 2'!$B$39*$B92*$C92*COS($K$33)-($N$32/3)*$E92*SIN($K$33)-($N$32/3)*$F92*SIN($K$33)-($N$32/3)*$G92*SIN($K$33)</f>
        <v>#VALUE!</v>
      </c>
      <c r="AK92" s="79" t="e">
        <f>IF(($A92&lt;'Alternative 2'!$B$27),(($H92*'Alternative 2'!$B$39)+(3*($N$32/3)*COS($K$33))),IF(($A92&lt;'Alternative 2'!$B$28),(($H92*'Alternative 2'!$B$39)+(2*(($N$32/3)*COS($K$33)))),IF(($A92&lt;'Alternative 2'!$B$29),(($H$3*'Alternative 2'!$B$39+(($N$32/3)*COS($K$33)))),($H92*'Alternative 2'!$B$39))))</f>
        <v>#VALUE!</v>
      </c>
      <c r="AL92" s="78" t="e">
        <f>AJ92*'Alternative 2'!$K93/'Alternative 2'!$L93</f>
        <v>#VALUE!</v>
      </c>
      <c r="AM92" s="78" t="e">
        <f>AK92/'Alternative 2'!$M93</f>
        <v>#VALUE!</v>
      </c>
      <c r="AN92" s="78" t="e">
        <f t="shared" si="23"/>
        <v>#VALUE!</v>
      </c>
      <c r="AP92" s="78" t="e">
        <f>'Alternative 2'!$B$39*$B92*$C92*COS($K$43)-($N$42/3)*$E92*SIN($K$43)-($N$42/3)*$F92*SIN($K$43)-($N$42/3)*$G92*SIN($K$43)</f>
        <v>#VALUE!</v>
      </c>
      <c r="AQ92" s="79" t="e">
        <f>IF(($A92&lt;'Alternative 2'!$B$27),(($H92*'Alternative 2'!$B$39)+(3*($N$42/3)*COS($K$43))),IF(($A92&lt;'Alternative 2'!$B$28),(($H92*'Alternative 2'!$B$39)+(2*(($N$42/3)*COS($K$43)))),IF(($A92&lt;'Alternative 2'!$B$29),(($H$3*'Alternative 2'!$B$39+(($N$42/3)*COS($K$43)))),($H92*'Alternative 2'!$B$39))))</f>
        <v>#VALUE!</v>
      </c>
      <c r="AR92" s="78" t="e">
        <f>AP92*'Alternative 2'!$K93/'Alternative 2'!$L93</f>
        <v>#VALUE!</v>
      </c>
      <c r="AS92" s="78" t="e">
        <f>AQ92/'Alternative 2'!$M93</f>
        <v>#VALUE!</v>
      </c>
      <c r="AT92" s="78" t="e">
        <f t="shared" si="24"/>
        <v>#VALUE!</v>
      </c>
      <c r="AV92" s="78" t="e">
        <f>'Alternative 2'!$B$39*$B92*$C92*COS($K$53)-($N$52/3)*$E92*SIN($K$53)-($N$52/3)*$F92*SIN($K$53)-($N$52/3)*$G92*SIN($K$53)</f>
        <v>#VALUE!</v>
      </c>
      <c r="AW92" s="79" t="e">
        <f>IF(($A92&lt;'Alternative 2'!$B$27),(($H92*'Alternative 2'!$B$39)+(3*($N$52/3)*COS($K$53))),IF(($A92&lt;'Alternative 2'!$B$28),(($H92*'Alternative 2'!$B$39)+(2*(($N$52/3)*COS($K$53)))),IF(($A92&lt;'Alternative 2'!$B$29),(($H$3*'Alternative 2'!$B$39+(($N$52/3)*COS($K$53)))),($H92*'Alternative 2'!$B$39))))</f>
        <v>#VALUE!</v>
      </c>
      <c r="AX92" s="78" t="e">
        <f>AV92*'Alternative 2'!$K93/'Alternative 2'!$L93</f>
        <v>#VALUE!</v>
      </c>
      <c r="AY92" s="78" t="e">
        <f>AW92/'Alternative 2'!$M93</f>
        <v>#VALUE!</v>
      </c>
      <c r="AZ92" s="78" t="e">
        <f t="shared" si="25"/>
        <v>#VALUE!</v>
      </c>
      <c r="BB92" s="78" t="e">
        <f>'Alternative 2'!$B$39*$B92*$C92*COS($K$63)-($N$62/3)*$E92*SIN($K$63)-($N$62/3)*$F92*SIN($K$63)-($N$62/3)*$G92*SIN($K$63)</f>
        <v>#VALUE!</v>
      </c>
      <c r="BC92" s="79" t="e">
        <f>IF(($A92&lt;'Alternative 2'!$B$27),(($H92*'Alternative 2'!$B$39)+(3*($N$62/3)*COS($K$63))),IF(($A92&lt;'Alternative 2'!$B$28),(($H92*'Alternative 2'!$B$39)+(2*(($N$62/3)*COS($K$63)))),IF(($A92&lt;'Alternative 2'!$B$29),(($H$3*'Alternative 2'!$B$39+(($N$62/3)*COS($K$63)))),($H92*'Alternative 2'!$B$39))))</f>
        <v>#VALUE!</v>
      </c>
      <c r="BD92" s="78" t="e">
        <f>BB92*'Alternative 2'!$K93/'Alternative 2'!$L93</f>
        <v>#VALUE!</v>
      </c>
      <c r="BE92" s="78" t="e">
        <f>BC92/'Alternative 2'!$M93</f>
        <v>#VALUE!</v>
      </c>
      <c r="BF92" s="78" t="e">
        <f t="shared" si="26"/>
        <v>#VALUE!</v>
      </c>
      <c r="BH92" s="78" t="e">
        <f>'Alternative 2'!$B$39*$B92*$C92*COS($K$73)-($N$72/3)*$E92*SIN($K$73)-($N$72/3)*$F92*SIN($K$73)-($N$72/3)*$G92*SIN($K$73)</f>
        <v>#VALUE!</v>
      </c>
      <c r="BI92" s="79" t="e">
        <f>IF(($A92&lt;'Alternative 2'!$B$27),(($H92*'Alternative 2'!$B$39)+(3*($N$72/3)*COS($K$73))),IF(($A92&lt;'Alternative 2'!$B$28),(($H92*'Alternative 2'!$B$39)+(2*(($N$72/3)*COS($K$73)))),IF(($A92&lt;'Alternative 2'!$B$29),(($H$3*'Alternative 2'!$B$39+(($N$72/3)*COS($K$73)))),($H92*'Alternative 2'!$B$39))))</f>
        <v>#VALUE!</v>
      </c>
      <c r="BJ92" s="78" t="e">
        <f>BH92*'Alternative 2'!$K93/'Alternative 2'!$L93</f>
        <v>#VALUE!</v>
      </c>
      <c r="BK92" s="78" t="e">
        <f>BI92/'Alternative 2'!$M93</f>
        <v>#VALUE!</v>
      </c>
      <c r="BL92" s="78" t="e">
        <f t="shared" si="27"/>
        <v>#VALUE!</v>
      </c>
      <c r="BN92" s="78" t="e">
        <f>'Alternative 2'!$B$39*$B92*$C92*COS($K$83)-($N$82/3)*$E92*SIN($K$83)-($N$82/3)*$F92*SIN($K$83)-($N$82/3)*$G92*SIN($K$83)</f>
        <v>#VALUE!</v>
      </c>
      <c r="BO92" s="79" t="e">
        <f>IF(($A92&lt;'Alternative 2'!$B$27),(($H92*'Alternative 2'!$B$39)+(3*($N$82/3)*COS($K$83))),IF(($A92&lt;'Alternative 2'!$B$28),(($H92*'Alternative 2'!$B$39)+(2*(($N$82/3)*COS($K$83)))),IF(($A92&lt;'Alternative 2'!$B$29),(($H$3*'Alternative 2'!$B$39+(($N$82/3)*COS($K$83)))),($H92*'Alternative 2'!$B$39))))</f>
        <v>#VALUE!</v>
      </c>
      <c r="BP92" s="78" t="e">
        <f>BN92*'Alternative 2'!$K93/'Alternative 2'!$L93</f>
        <v>#VALUE!</v>
      </c>
      <c r="BQ92" s="78" t="e">
        <f>BO92/'Alternative 2'!$M93</f>
        <v>#VALUE!</v>
      </c>
      <c r="BR92" s="78" t="e">
        <f t="shared" si="28"/>
        <v>#VALUE!</v>
      </c>
      <c r="BT92" s="78" t="e">
        <f>'Alternative 2'!$B$39*$B92*$C92*COS($K$93)-($K$92/3)*$E92*SIN($K$93)-($K$92/3)*$F92*SIN($K$93)-($K$92/3)*$G92*SIN($K$93)</f>
        <v>#VALUE!</v>
      </c>
      <c r="BU92" s="79" t="e">
        <f>IF(($A92&lt;'Alternative 2'!$B$27),(($H92*'Alternative 2'!$B$39)+(3*($N$92/3)*COS($K$93))),IF(($A92&lt;'Alternative 2'!$B$28),(($H92*'Alternative 2'!$B$39)+(2*(($N$92/3)*COS($K$93)))),IF(($A92&lt;'Alternative 2'!$B$29),(($H$3*'Alternative 2'!$B$39+(($N$92/3)*COS($K$93)))),($H92*'Alternative 2'!$B$39))))</f>
        <v>#VALUE!</v>
      </c>
      <c r="BV92" s="78" t="e">
        <f>BT92*'Alternative 2'!$K93/'Alternative 2'!$L93</f>
        <v>#VALUE!</v>
      </c>
      <c r="BW92" s="78" t="e">
        <f>BU92/'Alternative 2'!$M93</f>
        <v>#VALUE!</v>
      </c>
      <c r="BX92" s="78" t="e">
        <f t="shared" si="29"/>
        <v>#VALUE!</v>
      </c>
    </row>
    <row r="93" spans="1:76" ht="15" customHeight="1" x14ac:dyDescent="0.25">
      <c r="J93" s="77">
        <f t="shared" si="33"/>
        <v>90</v>
      </c>
      <c r="K93" s="82">
        <f t="shared" si="34"/>
        <v>1.5707963267948966</v>
      </c>
      <c r="L93" s="78">
        <f>'Alternative 2'!$B$27*SIN(K93)+'Alternative 2'!$B$28*SIN(K93)+'Alternative 2'!$B$29*SIN(K93)</f>
        <v>68</v>
      </c>
      <c r="M93" s="77">
        <f>(('Alternative 2'!$B$27)*(((('Alternative 2'!$B$28-'Alternative 2'!$B$27)/2)+'Alternative 2'!$B$27)*'Alternative 2'!$B$39)*COS('Alternative 2-Tilt Up'!K93))+(('Alternative 2'!$B$28)*((('Alternative 2'!$B$28-'Alternative 2'!$B$27)/2)+(('Alternative 2'!$B$29-'Alternative 2'!$B$28)/2))*('Alternative 2'!$B$39)*COS('Alternative 2-Tilt Up'!K93))+(('Alternative 2'!$B$29)*((('Alternative 2'!$B$12-'Alternative 2'!$B$29+(('Alternative 2'!$B$29-'Alternative 2'!$B$28)/2)*('Alternative 2'!$B$39)*COS('Alternative 2-Tilt Up'!K93)))))</f>
        <v>195.63110000029076</v>
      </c>
      <c r="N93" s="77">
        <f t="shared" si="18"/>
        <v>8.6307838235422398</v>
      </c>
      <c r="O93" s="77">
        <f>(((('Alternative 2'!$B$28-'Alternative 2'!$B$27)/2)+'Alternative 2'!$B$27)*('Alternative 2'!$B$39)*COS('Alternative 2-Tilt Up'!K93))+(((('Alternative 2'!$B$28-'Alternative 2'!$B$27)/2)+(('Alternative 2'!$B$29-'Alternative 2'!$B$28)/2))*('Alternative 2'!$B$39)*COS('Alternative 2-Tilt Up'!K93))+(((('Alternative 2'!$B$12-'Alternative 2'!$B$29)+(('Alternative 2'!$B$29-'Alternative 2'!$B$28)/2))*('Alternative 2'!$B$39)*COS('Alternative 2-Tilt Up'!K93)))</f>
        <v>1.8752116530920196E-11</v>
      </c>
      <c r="P93" s="82">
        <f t="shared" si="19"/>
        <v>5.2869957330315435E-16</v>
      </c>
      <c r="R93" s="78">
        <f>'Alternative 2'!$B$39*$B93*$C93*COS($K$5)-($N$5/3)*$E93*SIN($K$5)-($N$5/3)*$F93*SIN($K$5)-($N$5/3)*$G93*SIN($K$5)</f>
        <v>0</v>
      </c>
      <c r="S93" s="79">
        <f>IF(($A93&lt;'Alternative 2'!$B$27),(($H93*'Alternative 2'!$B$39)+(3*($N$5/3)*COS($K$5))),IF(($A93&lt;'Alternative 2'!$B$28),(($H93*'Alternative 2'!$B$39)+(2*(($N$5/3)*COS($K$5)))),IF(($A93&lt;'Alternative 2'!$B$29),(($H$3*'Alternative 2'!$B$39+(($N$5/3)*COS($K$5)))),($H93*'Alternative 2'!$B$39))))</f>
        <v>5992415.6312237764</v>
      </c>
      <c r="T93" s="78" t="e">
        <f>R93*'Alternative 2'!$K94/'Alternative 2'!$L94</f>
        <v>#DIV/0!</v>
      </c>
      <c r="U93" s="78" t="e">
        <f>S93/'Alternative 2'!$M94</f>
        <v>#DIV/0!</v>
      </c>
      <c r="V93" s="78" t="e">
        <f t="shared" si="20"/>
        <v>#DIV/0!</v>
      </c>
      <c r="X93" s="78">
        <f>'Alternative 2'!$B$39*$B93*$C93*COS($K$13)-($N$12/3)*$E93*SIN($K$13)-($N$12/3)*$F93*SIN($K$13)-($N$12/3)*$G93*SIN($K$13)</f>
        <v>0</v>
      </c>
      <c r="Y93" s="79">
        <f>IF(($A93&lt;'Alternative 2'!$B$27),(($H93*'Alternative 2'!$B$39)+(3*($N$12/3)*COS($K$13))),IF(($A93&lt;'Alternative 2'!$B$28),(($H93*'Alternative 2'!$B$39)+(2*(($N$12/3)*COS($K$13)))),IF(($A93&lt;'Alternative 2'!$B$29),(($H$3*'Alternative 2'!$B$39+(($N$12/3)*COS($K$13)))),($H93*'Alternative 2'!$B$39))))</f>
        <v>1301935.6860266996</v>
      </c>
      <c r="Z93" s="78" t="e">
        <f>X93*'Alternative 2'!$K94/'Alternative 2'!$L94</f>
        <v>#DIV/0!</v>
      </c>
      <c r="AA93" s="78" t="e">
        <f>Y93/'Alternative 2'!$M94</f>
        <v>#DIV/0!</v>
      </c>
      <c r="AB93" s="78" t="e">
        <f t="shared" si="21"/>
        <v>#DIV/0!</v>
      </c>
      <c r="AD93" s="78">
        <f>'Alternative 2'!$B$39*$B93*$C93*COS($K$23)-($N$22/3)*$E93*SIN($K$23)-($N$22/3)*$F93*SIN($K$23)-($N$22/3)*$G93*SIN($K$23)</f>
        <v>0</v>
      </c>
      <c r="AE93" s="79">
        <f>IF(($A93&lt;'Alternative 2'!$B$27),(($H93*'Alternative 2'!$B$39)+(3*($N$22/3)*COS($K$23))),IF(($A93&lt;'Alternative 2'!$B$28),(($H93*'Alternative 2'!$B$39)+(2*(($N$22/3)*COS($K$23)))),IF(($A93&lt;'Alternative 2'!$B$29),(($H$3*'Alternative 2'!$B$39+(($N$22/3)*COS($K$23)))),($H93*'Alternative 2'!$B$39))))</f>
        <v>571433.05515821197</v>
      </c>
      <c r="AF93" s="78" t="e">
        <f>AD93*'Alternative 2'!$K94/'Alternative 2'!$L94</f>
        <v>#DIV/0!</v>
      </c>
      <c r="AG93" s="78" t="e">
        <f>AE93/'Alternative 2'!$M94</f>
        <v>#DIV/0!</v>
      </c>
      <c r="AH93" s="78" t="e">
        <f t="shared" si="22"/>
        <v>#DIV/0!</v>
      </c>
      <c r="AJ93" s="78">
        <f>'Alternative 2'!$B$39*$B93*$C93*COS($K$33)-($N$32/3)*$E93*SIN($K$33)-($N$32/3)*$F93*SIN($K$33)-($N$32/3)*$G93*SIN($K$33)</f>
        <v>0</v>
      </c>
      <c r="AK93" s="79">
        <f>IF(($A93&lt;'Alternative 2'!$B$27),(($H93*'Alternative 2'!$B$39)+(3*($N$32/3)*COS($K$33))),IF(($A93&lt;'Alternative 2'!$B$28),(($H93*'Alternative 2'!$B$39)+(2*(($N$32/3)*COS($K$33)))),IF(($A93&lt;'Alternative 2'!$B$29),(($H$3*'Alternative 2'!$B$39+(($N$32/3)*COS($K$33)))),($H93*'Alternative 2'!$B$39))))</f>
        <v>327138.44944458187</v>
      </c>
      <c r="AL93" s="78" t="e">
        <f>AJ93*'Alternative 2'!$K94/'Alternative 2'!$L94</f>
        <v>#DIV/0!</v>
      </c>
      <c r="AM93" s="78" t="e">
        <f>AK93/'Alternative 2'!$M94</f>
        <v>#DIV/0!</v>
      </c>
      <c r="AN93" s="78" t="e">
        <f t="shared" si="23"/>
        <v>#DIV/0!</v>
      </c>
      <c r="AP93" s="78">
        <f>'Alternative 2'!$B$39*$B93*$C93*COS($K$43)-($N$42/3)*$E93*SIN($K$43)-($N$42/3)*$F93*SIN($K$43)-($N$42/3)*$G93*SIN($K$43)</f>
        <v>0</v>
      </c>
      <c r="AQ93" s="79">
        <f>IF(($A93&lt;'Alternative 2'!$B$27),(($H93*'Alternative 2'!$B$39)+(3*($N$42/3)*COS($K$43))),IF(($A93&lt;'Alternative 2'!$B$28),(($H93*'Alternative 2'!$B$39)+(2*(($N$42/3)*COS($K$43)))),IF(($A93&lt;'Alternative 2'!$B$29),(($H$3*'Alternative 2'!$B$39+(($N$42/3)*COS($K$43)))),($H93*'Alternative 2'!$B$39))))</f>
        <v>198079.82965620476</v>
      </c>
      <c r="AR93" s="78" t="e">
        <f>AP93*'Alternative 2'!$K94/'Alternative 2'!$L94</f>
        <v>#DIV/0!</v>
      </c>
      <c r="AS93" s="78" t="e">
        <f>AQ93/'Alternative 2'!$M94</f>
        <v>#DIV/0!</v>
      </c>
      <c r="AT93" s="78" t="e">
        <f t="shared" si="24"/>
        <v>#DIV/0!</v>
      </c>
      <c r="AV93" s="78">
        <f>'Alternative 2'!$B$39*$B93*$C93*COS($K$53)-($N$52/3)*$E93*SIN($K$53)-($N$52/3)*$F93*SIN($K$53)-($N$52/3)*$G93*SIN($K$53)</f>
        <v>0</v>
      </c>
      <c r="AW93" s="79">
        <f>IF(($A93&lt;'Alternative 2'!$B$27),(($H93*'Alternative 2'!$B$39)+(3*($N$52/3)*COS($K$53))),IF(($A93&lt;'Alternative 2'!$B$28),(($H93*'Alternative 2'!$B$39)+(2*(($N$52/3)*COS($K$53)))),IF(($A93&lt;'Alternative 2'!$B$29),(($H$3*'Alternative 2'!$B$39+(($N$52/3)*COS($K$53)))),($H93*'Alternative 2'!$B$39))))</f>
        <v>117001.19533406357</v>
      </c>
      <c r="AX93" s="78" t="e">
        <f>AV93*'Alternative 2'!$K94/'Alternative 2'!$L94</f>
        <v>#DIV/0!</v>
      </c>
      <c r="AY93" s="78" t="e">
        <f>AW93/'Alternative 2'!$M94</f>
        <v>#DIV/0!</v>
      </c>
      <c r="AZ93" s="78" t="e">
        <f t="shared" si="25"/>
        <v>#DIV/0!</v>
      </c>
      <c r="BB93" s="78">
        <f>'Alternative 2'!$B$39*$B93*$C93*COS($K$63)-($N$62/3)*$E93*SIN($K$63)-($N$62/3)*$F93*SIN($K$63)-($N$62/3)*$G93*SIN($K$63)</f>
        <v>0</v>
      </c>
      <c r="BC93" s="79">
        <f>IF(($A93&lt;'Alternative 2'!$B$27),(($H93*'Alternative 2'!$B$39)+(3*($N$62/3)*COS($K$63))),IF(($A93&lt;'Alternative 2'!$B$28),(($H93*'Alternative 2'!$B$39)+(2*(($N$62/3)*COS($K$63)))),IF(($A93&lt;'Alternative 2'!$B$29),(($H$3*'Alternative 2'!$B$39+(($N$62/3)*COS($K$63)))),($H93*'Alternative 2'!$B$39))))</f>
        <v>62908.736721801004</v>
      </c>
      <c r="BD93" s="78" t="e">
        <f>BB93*'Alternative 2'!$K94/'Alternative 2'!$L94</f>
        <v>#DIV/0!</v>
      </c>
      <c r="BE93" s="78" t="e">
        <f>BC93/'Alternative 2'!$M94</f>
        <v>#DIV/0!</v>
      </c>
      <c r="BF93" s="78" t="e">
        <f t="shared" si="26"/>
        <v>#DIV/0!</v>
      </c>
      <c r="BH93" s="78">
        <f>'Alternative 2'!$B$39*$B93*$C93*COS($K$73)-($N$72/3)*$E93*SIN($K$73)-($N$72/3)*$F93*SIN($K$73)-($N$72/3)*$G93*SIN($K$73)</f>
        <v>0</v>
      </c>
      <c r="BI93" s="79">
        <f>IF(($A93&lt;'Alternative 2'!$B$27),(($H93*'Alternative 2'!$B$39)+(3*($N$72/3)*COS($K$73))),IF(($A93&lt;'Alternative 2'!$B$28),(($H93*'Alternative 2'!$B$39)+(2*(($N$72/3)*COS($K$73)))),IF(($A93&lt;'Alternative 2'!$B$29),(($H$3*'Alternative 2'!$B$39+(($N$72/3)*COS($K$73)))),($H93*'Alternative 2'!$B$39))))</f>
        <v>27492.328331770146</v>
      </c>
      <c r="BJ93" s="78" t="e">
        <f>BH93*'Alternative 2'!$K94/'Alternative 2'!$L94</f>
        <v>#DIV/0!</v>
      </c>
      <c r="BK93" s="78" t="e">
        <f>BI93/'Alternative 2'!$M94</f>
        <v>#DIV/0!</v>
      </c>
      <c r="BL93" s="78" t="e">
        <f t="shared" si="27"/>
        <v>#DIV/0!</v>
      </c>
      <c r="BN93" s="78">
        <f>'Alternative 2'!$B$39*$B93*$C93*COS($K$83)-($N$82/3)*$E93*SIN($K$83)-($N$82/3)*$F93*SIN($K$83)-($N$82/3)*$G93*SIN($K$83)</f>
        <v>0</v>
      </c>
      <c r="BO93" s="79">
        <f>IF(($A93&lt;'Alternative 2'!$B$27),(($H93*'Alternative 2'!$B$39)+(3*($N$82/3)*COS($K$83))),IF(($A93&lt;'Alternative 2'!$B$28),(($H93*'Alternative 2'!$B$39)+(2*(($N$82/3)*COS($K$83)))),IF(($A93&lt;'Alternative 2'!$B$29),(($H$3*'Alternative 2'!$B$39+(($N$82/3)*COS($K$83)))),($H93*'Alternative 2'!$B$39))))</f>
        <v>7068.8500919483859</v>
      </c>
      <c r="BP93" s="78" t="e">
        <f>BN93*'Alternative 2'!$K94/'Alternative 2'!$L94</f>
        <v>#DIV/0!</v>
      </c>
      <c r="BQ93" s="78" t="e">
        <f>BO93/'Alternative 2'!$M94</f>
        <v>#DIV/0!</v>
      </c>
      <c r="BR93" s="78" t="e">
        <f t="shared" si="28"/>
        <v>#DIV/0!</v>
      </c>
      <c r="BT93" s="78">
        <f>'Alternative 2'!$B$39*$B93*$C93*COS($K$93)-($K$92/3)*$E93*SIN($K$93)-($K$92/3)*$F93*SIN($K$93)-($K$92/3)*$G93*SIN($K$93)</f>
        <v>0</v>
      </c>
      <c r="BU93" s="79">
        <f>IF(($A93&lt;'Alternative 2'!$B$27),(($H93*'Alternative 2'!$B$39)+(3*($N$92/3)*COS($K$93))),IF(($A93&lt;'Alternative 2'!$B$28),(($H93*'Alternative 2'!$B$39)+(2*(($N$92/3)*COS($K$93)))),IF(($A93&lt;'Alternative 2'!$B$29),(($H$3*'Alternative 2'!$B$39+(($N$92/3)*COS($K$93)))),($H93*'Alternative 2'!$B$39))))</f>
        <v>2.2440741560818368E-13</v>
      </c>
      <c r="BV93" s="78" t="e">
        <f>BT93*'Alternative 2'!$K94/'Alternative 2'!$L94</f>
        <v>#DIV/0!</v>
      </c>
      <c r="BW93" s="78" t="e">
        <f>BU93/'Alternative 2'!$M94</f>
        <v>#DIV/0!</v>
      </c>
      <c r="BX93" s="78" t="e">
        <f t="shared" si="29"/>
        <v>#DIV/0!</v>
      </c>
    </row>
    <row r="94" spans="1:76" ht="15" customHeight="1" x14ac:dyDescent="0.25">
      <c r="BT94" s="78"/>
      <c r="BU94" s="79"/>
      <c r="BV94" s="78"/>
      <c r="BW94" s="78"/>
      <c r="BX94" s="78"/>
    </row>
    <row r="95" spans="1:76" ht="15" customHeight="1" x14ac:dyDescent="0.25"/>
    <row r="96" spans="1:76" ht="15" customHeight="1" x14ac:dyDescent="0.25"/>
  </sheetData>
  <mergeCells count="25">
    <mergeCell ref="AJ1:AN1"/>
    <mergeCell ref="AP1:AT1"/>
    <mergeCell ref="AV1:AZ1"/>
    <mergeCell ref="BB1:BF1"/>
    <mergeCell ref="BZ1:CA1"/>
    <mergeCell ref="BT1:BX1"/>
    <mergeCell ref="BN1:BR1"/>
    <mergeCell ref="BH1:BL1"/>
    <mergeCell ref="AO1:AO1048576"/>
    <mergeCell ref="BY1:BY1048576"/>
    <mergeCell ref="AU1:AU1048576"/>
    <mergeCell ref="BA1:BA1048576"/>
    <mergeCell ref="BG1:BG1048576"/>
    <mergeCell ref="BM1:BM1048576"/>
    <mergeCell ref="BS1:BS1048576"/>
    <mergeCell ref="AI1:AI1048576"/>
    <mergeCell ref="A1:H1"/>
    <mergeCell ref="R1:V1"/>
    <mergeCell ref="X1:AB1"/>
    <mergeCell ref="AD1:AH1"/>
    <mergeCell ref="I1:I1048576"/>
    <mergeCell ref="K1:P1"/>
    <mergeCell ref="Q1:Q1048576"/>
    <mergeCell ref="W1:W1048576"/>
    <mergeCell ref="AC1:AC10485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A96"/>
  <sheetViews>
    <sheetView topLeftCell="BR1" zoomScale="70" zoomScaleNormal="70" workbookViewId="0">
      <selection activeCell="BZ1" sqref="BZ1:CA1"/>
    </sheetView>
  </sheetViews>
  <sheetFormatPr defaultColWidth="9.140625" defaultRowHeight="15" x14ac:dyDescent="0.25"/>
  <cols>
    <col min="1" max="4" width="9.140625" style="13"/>
    <col min="5" max="5" width="13.42578125" style="74" customWidth="1"/>
    <col min="6" max="7" width="13.85546875" style="74" customWidth="1"/>
    <col min="8" max="8" width="8.7109375" style="13" customWidth="1"/>
    <col min="9" max="9" width="1.28515625" style="244" customWidth="1"/>
    <col min="10" max="10" width="0" style="13" hidden="1" customWidth="1"/>
    <col min="11" max="11" width="11.42578125" style="13" customWidth="1"/>
    <col min="12" max="12" width="12.42578125" style="13" bestFit="1" customWidth="1"/>
    <col min="13" max="13" width="24.42578125" style="13" bestFit="1" customWidth="1"/>
    <col min="14" max="14" width="20.7109375" style="13" bestFit="1" customWidth="1"/>
    <col min="15" max="15" width="15.42578125" style="13" bestFit="1" customWidth="1"/>
    <col min="16" max="16" width="21.42578125" style="13" bestFit="1" customWidth="1"/>
    <col min="17" max="17" width="1.28515625" style="244" customWidth="1"/>
    <col min="18" max="18" width="22" style="13" bestFit="1" customWidth="1"/>
    <col min="19" max="19" width="21.42578125" style="13" bestFit="1" customWidth="1"/>
    <col min="20" max="20" width="24.5703125" style="13" bestFit="1" customWidth="1"/>
    <col min="21" max="21" width="20.7109375" style="13" bestFit="1" customWidth="1"/>
    <col min="22" max="22" width="18.85546875" style="13" customWidth="1"/>
    <col min="23" max="23" width="1.28515625" style="244" customWidth="1"/>
    <col min="24" max="24" width="22" style="13" bestFit="1" customWidth="1"/>
    <col min="25" max="25" width="20" style="13" bestFit="1" customWidth="1"/>
    <col min="26" max="26" width="24.5703125" style="13" bestFit="1" customWidth="1"/>
    <col min="27" max="27" width="20" style="13" bestFit="1" customWidth="1"/>
    <col min="28" max="28" width="18.7109375" style="13" customWidth="1"/>
    <col min="29" max="29" width="1.28515625" style="244" customWidth="1"/>
    <col min="30" max="30" width="22" style="13" bestFit="1" customWidth="1"/>
    <col min="31" max="31" width="20" style="13" bestFit="1" customWidth="1"/>
    <col min="32" max="32" width="24.5703125" style="13" bestFit="1" customWidth="1"/>
    <col min="33" max="33" width="20" style="13" bestFit="1" customWidth="1"/>
    <col min="34" max="34" width="18.28515625" style="13" customWidth="1"/>
    <col min="35" max="35" width="1.28515625" style="244" customWidth="1"/>
    <col min="36" max="36" width="22" style="13" bestFit="1" customWidth="1"/>
    <col min="37" max="37" width="19.7109375" style="13" customWidth="1"/>
    <col min="38" max="38" width="24.5703125" style="13" bestFit="1" customWidth="1"/>
    <col min="39" max="40" width="19.7109375" style="13" customWidth="1"/>
    <col min="41" max="41" width="1.28515625" style="244" customWidth="1"/>
    <col min="42" max="42" width="22" style="13" bestFit="1" customWidth="1"/>
    <col min="43" max="43" width="20.85546875" style="13" customWidth="1"/>
    <col min="44" max="44" width="24.5703125" style="13" bestFit="1" customWidth="1"/>
    <col min="45" max="46" width="20.85546875" style="13" customWidth="1"/>
    <col min="47" max="47" width="1.28515625" style="244" customWidth="1"/>
    <col min="48" max="48" width="22" style="13" bestFit="1" customWidth="1"/>
    <col min="49" max="49" width="20.5703125" style="13" customWidth="1"/>
    <col min="50" max="50" width="23.140625" style="13" bestFit="1" customWidth="1"/>
    <col min="51" max="52" width="20.5703125" style="13" customWidth="1"/>
    <col min="53" max="53" width="1.28515625" style="244" customWidth="1"/>
    <col min="54" max="54" width="22" style="13" bestFit="1" customWidth="1"/>
    <col min="55" max="55" width="19.42578125" style="13" customWidth="1"/>
    <col min="56" max="56" width="23.140625" style="13" bestFit="1" customWidth="1"/>
    <col min="57" max="58" width="19.42578125" style="13" customWidth="1"/>
    <col min="59" max="59" width="1.28515625" style="244" customWidth="1"/>
    <col min="60" max="60" width="21.5703125" style="13" bestFit="1" customWidth="1"/>
    <col min="61" max="61" width="18.42578125" style="13" customWidth="1"/>
    <col min="62" max="62" width="23.140625" style="13" bestFit="1" customWidth="1"/>
    <col min="63" max="64" width="18.42578125" style="13" customWidth="1"/>
    <col min="65" max="65" width="1.28515625" style="244" customWidth="1"/>
    <col min="66" max="66" width="20.5703125" style="13" bestFit="1" customWidth="1"/>
    <col min="67" max="67" width="17.7109375" style="13" customWidth="1"/>
    <col min="68" max="68" width="23.140625" style="13" bestFit="1" customWidth="1"/>
    <col min="69" max="70" width="17.7109375" style="13" customWidth="1"/>
    <col min="71" max="71" width="1.28515625" style="244" customWidth="1"/>
    <col min="72" max="73" width="18.5703125" style="13" customWidth="1"/>
    <col min="74" max="74" width="17.28515625" style="13" bestFit="1" customWidth="1"/>
    <col min="75" max="76" width="17.28515625" style="13" customWidth="1"/>
    <col min="77" max="77" width="4.5703125" style="244" customWidth="1"/>
    <col min="78" max="78" width="19.28515625" style="13" customWidth="1"/>
    <col min="79" max="79" width="18.5703125" style="13" customWidth="1"/>
    <col min="80" max="16384" width="9.140625" style="13"/>
  </cols>
  <sheetData>
    <row r="1" spans="1:79" ht="45" customHeight="1" x14ac:dyDescent="0.25">
      <c r="A1" s="245" t="s">
        <v>105</v>
      </c>
      <c r="B1" s="245"/>
      <c r="C1" s="245"/>
      <c r="D1" s="245"/>
      <c r="E1" s="245"/>
      <c r="F1" s="245"/>
      <c r="G1" s="245"/>
      <c r="H1" s="245"/>
      <c r="K1" s="245" t="s">
        <v>106</v>
      </c>
      <c r="L1" s="245"/>
      <c r="M1" s="245"/>
      <c r="N1" s="245"/>
      <c r="O1" s="245"/>
      <c r="P1" s="245"/>
      <c r="R1" s="245" t="s">
        <v>107</v>
      </c>
      <c r="S1" s="245"/>
      <c r="T1" s="245"/>
      <c r="U1" s="245"/>
      <c r="V1" s="245"/>
      <c r="X1" s="245" t="s">
        <v>108</v>
      </c>
      <c r="Y1" s="245"/>
      <c r="Z1" s="245"/>
      <c r="AA1" s="245"/>
      <c r="AB1" s="245"/>
      <c r="AD1" s="245" t="s">
        <v>109</v>
      </c>
      <c r="AE1" s="245"/>
      <c r="AF1" s="245"/>
      <c r="AG1" s="245"/>
      <c r="AH1" s="245"/>
      <c r="AJ1" s="245" t="s">
        <v>110</v>
      </c>
      <c r="AK1" s="245"/>
      <c r="AL1" s="245"/>
      <c r="AM1" s="245"/>
      <c r="AN1" s="245"/>
      <c r="AP1" s="245" t="s">
        <v>111</v>
      </c>
      <c r="AQ1" s="245"/>
      <c r="AR1" s="245"/>
      <c r="AS1" s="245"/>
      <c r="AT1" s="245"/>
      <c r="AV1" s="245" t="s">
        <v>112</v>
      </c>
      <c r="AW1" s="245"/>
      <c r="AX1" s="245"/>
      <c r="AY1" s="245"/>
      <c r="AZ1" s="245"/>
      <c r="BB1" s="245" t="s">
        <v>113</v>
      </c>
      <c r="BC1" s="245"/>
      <c r="BD1" s="245"/>
      <c r="BE1" s="245"/>
      <c r="BF1" s="245"/>
      <c r="BH1" s="245" t="s">
        <v>114</v>
      </c>
      <c r="BI1" s="245"/>
      <c r="BJ1" s="245"/>
      <c r="BK1" s="245"/>
      <c r="BL1" s="245"/>
      <c r="BN1" s="245" t="s">
        <v>115</v>
      </c>
      <c r="BO1" s="245"/>
      <c r="BP1" s="245"/>
      <c r="BQ1" s="245"/>
      <c r="BR1" s="245"/>
      <c r="BT1" s="245" t="s">
        <v>116</v>
      </c>
      <c r="BU1" s="245"/>
      <c r="BV1" s="245"/>
      <c r="BW1" s="245"/>
      <c r="BX1" s="245"/>
      <c r="BZ1" s="278" t="s">
        <v>227</v>
      </c>
      <c r="CA1" s="279"/>
    </row>
    <row r="2" spans="1:79" ht="60" x14ac:dyDescent="0.25">
      <c r="A2" s="73" t="s">
        <v>36</v>
      </c>
      <c r="B2" s="72" t="s">
        <v>95</v>
      </c>
      <c r="C2" s="72" t="s">
        <v>96</v>
      </c>
      <c r="D2" s="72" t="s">
        <v>97</v>
      </c>
      <c r="E2" s="83" t="s">
        <v>148</v>
      </c>
      <c r="F2" s="83" t="s">
        <v>147</v>
      </c>
      <c r="G2" s="83" t="s">
        <v>149</v>
      </c>
      <c r="H2" s="72" t="s">
        <v>127</v>
      </c>
      <c r="J2" s="13" t="s">
        <v>98</v>
      </c>
      <c r="K2" s="73" t="s">
        <v>99</v>
      </c>
      <c r="L2" s="72" t="s">
        <v>104</v>
      </c>
      <c r="M2" s="72" t="s">
        <v>100</v>
      </c>
      <c r="N2" s="72" t="s">
        <v>101</v>
      </c>
      <c r="O2" s="73" t="s">
        <v>102</v>
      </c>
      <c r="P2" s="73" t="s">
        <v>103</v>
      </c>
      <c r="R2" s="72" t="s">
        <v>94</v>
      </c>
      <c r="S2" s="72" t="s">
        <v>126</v>
      </c>
      <c r="T2" s="73" t="s">
        <v>123</v>
      </c>
      <c r="U2" s="73" t="s">
        <v>124</v>
      </c>
      <c r="V2" s="73" t="s">
        <v>125</v>
      </c>
      <c r="X2" s="72" t="s">
        <v>94</v>
      </c>
      <c r="Y2" s="72" t="s">
        <v>126</v>
      </c>
      <c r="Z2" s="73" t="s">
        <v>123</v>
      </c>
      <c r="AA2" s="73" t="s">
        <v>124</v>
      </c>
      <c r="AB2" s="73" t="s">
        <v>125</v>
      </c>
      <c r="AD2" s="72" t="s">
        <v>94</v>
      </c>
      <c r="AE2" s="72" t="s">
        <v>126</v>
      </c>
      <c r="AF2" s="73" t="s">
        <v>123</v>
      </c>
      <c r="AG2" s="73" t="s">
        <v>124</v>
      </c>
      <c r="AH2" s="73" t="s">
        <v>125</v>
      </c>
      <c r="AJ2" s="72" t="s">
        <v>94</v>
      </c>
      <c r="AK2" s="72" t="s">
        <v>126</v>
      </c>
      <c r="AL2" s="73" t="s">
        <v>123</v>
      </c>
      <c r="AM2" s="73" t="s">
        <v>124</v>
      </c>
      <c r="AN2" s="73" t="s">
        <v>125</v>
      </c>
      <c r="AP2" s="72" t="s">
        <v>94</v>
      </c>
      <c r="AQ2" s="72" t="s">
        <v>126</v>
      </c>
      <c r="AR2" s="73" t="s">
        <v>123</v>
      </c>
      <c r="AS2" s="73" t="s">
        <v>124</v>
      </c>
      <c r="AT2" s="73" t="s">
        <v>125</v>
      </c>
      <c r="AV2" s="72" t="s">
        <v>94</v>
      </c>
      <c r="AW2" s="72" t="s">
        <v>126</v>
      </c>
      <c r="AX2" s="73" t="s">
        <v>123</v>
      </c>
      <c r="AY2" s="73" t="s">
        <v>124</v>
      </c>
      <c r="AZ2" s="73" t="s">
        <v>125</v>
      </c>
      <c r="BB2" s="72" t="s">
        <v>94</v>
      </c>
      <c r="BC2" s="72" t="s">
        <v>126</v>
      </c>
      <c r="BD2" s="73" t="s">
        <v>123</v>
      </c>
      <c r="BE2" s="73" t="s">
        <v>124</v>
      </c>
      <c r="BF2" s="73" t="s">
        <v>125</v>
      </c>
      <c r="BH2" s="72" t="s">
        <v>94</v>
      </c>
      <c r="BI2" s="72" t="s">
        <v>126</v>
      </c>
      <c r="BJ2" s="73" t="s">
        <v>123</v>
      </c>
      <c r="BK2" s="73" t="s">
        <v>124</v>
      </c>
      <c r="BL2" s="73" t="s">
        <v>125</v>
      </c>
      <c r="BN2" s="72" t="s">
        <v>94</v>
      </c>
      <c r="BO2" s="72" t="s">
        <v>126</v>
      </c>
      <c r="BP2" s="73" t="s">
        <v>123</v>
      </c>
      <c r="BQ2" s="73" t="s">
        <v>124</v>
      </c>
      <c r="BR2" s="73" t="s">
        <v>125</v>
      </c>
      <c r="BT2" s="72" t="s">
        <v>94</v>
      </c>
      <c r="BU2" s="72" t="s">
        <v>126</v>
      </c>
      <c r="BV2" s="73" t="s">
        <v>123</v>
      </c>
      <c r="BW2" s="73" t="s">
        <v>124</v>
      </c>
      <c r="BX2" s="73" t="s">
        <v>125</v>
      </c>
      <c r="BZ2" s="72" t="s">
        <v>155</v>
      </c>
      <c r="CA2" s="72" t="s">
        <v>154</v>
      </c>
    </row>
    <row r="3" spans="1:79" ht="15" customHeight="1" x14ac:dyDescent="0.25">
      <c r="A3" s="13">
        <f>IF('Alternative 3'!F4&gt;0,'Alternative 3'!F4,"x")</f>
        <v>1</v>
      </c>
      <c r="B3" s="13">
        <f>IF('Alternative 3'!B12&gt;0,'Alternative 3'!B12,"x")</f>
        <v>36</v>
      </c>
      <c r="C3" s="13">
        <f>IF((A3="x"),0,C4+0.5)</f>
        <v>18</v>
      </c>
      <c r="D3" s="13">
        <f>A3</f>
        <v>1</v>
      </c>
      <c r="E3" s="74">
        <f>IF($A3&lt;='Alternative 3'!$B$27, IF($A3='Alternative 3'!$B$27,0,E4+1),0)</f>
        <v>15</v>
      </c>
      <c r="F3" s="74">
        <f>IF($A3&lt;=('Alternative 3'!$B$28), IF($A3=ROUNDDOWN('Alternative 3'!$B$28,0),0,F4+1),0)</f>
        <v>21</v>
      </c>
      <c r="G3" s="74">
        <f>IF($A3&lt;=('Alternative 3'!$B$29), IF($A3=ROUNDDOWN('Alternative 3'!$B$29,0),0,G4+1),0)</f>
        <v>28</v>
      </c>
      <c r="H3" s="13">
        <f>B3</f>
        <v>36</v>
      </c>
      <c r="J3" s="76">
        <v>0</v>
      </c>
      <c r="K3" s="76"/>
      <c r="L3" s="13">
        <f>'Alternative 3'!$B$27*SIN(K3)+'Alternative 3'!$B$28*SIN(K3)+'Alternative 3'!$B$29*SIN(K3)</f>
        <v>0</v>
      </c>
      <c r="M3" s="77">
        <f>(('Alternative 3'!$B$27)*(((('Alternative 3'!$B$28-'Alternative 3'!$B$27)/2)+'Alternative 3'!$B$27)*'Alternative 3'!$B$39)*COS('Alternative 3-Tilt Up'!K3))+(('Alternative 3'!$B$28)*((('Alternative 3'!$B$28-'Alternative 3'!$B$27)/2)+(('Alternative 3'!$B$29-'Alternative 3'!$B$28)/2))*('Alternative 3'!$B$39)*COS('Alternative 3-Tilt Up'!K3))+(('Alternative 3'!$B$29)*((('Alternative 3'!$B$12-'Alternative 3'!$B$29+(('Alternative 3'!$B$29-'Alternative 3'!$B$28)/2)*('Alternative 3'!$B$39)*COS('Alternative 3-Tilt Up'!K3)))))</f>
        <v>4746112.4232982202</v>
      </c>
      <c r="N3" s="77" t="e">
        <f t="shared" ref="N3:N66" si="0">M3*3/L3</f>
        <v>#DIV/0!</v>
      </c>
      <c r="O3" s="77">
        <f>(((('Alternative 3'!$B$28-'Alternative 3'!$B$27)/2)+'Alternative 3'!$B$27)*('Alternative 3'!$B$39)*COS('Alternative 3-Tilt Up'!K3))+(((('Alternative 3'!$B$28-'Alternative 3'!$B$27)/2)+(('Alternative 3'!$B$29-'Alternative 3'!$B$28)/2))*('Alternative 3'!$B$39)*COS('Alternative 3-Tilt Up'!K3))+(((('Alternative 3'!$B$12-'Alternative 3'!$B$29)+(('Alternative 3'!$B$29-'Alternative 3'!$B$28)/2))*('Alternative 3'!$B$39)*COS('Alternative 3-Tilt Up'!K3)))</f>
        <v>306119.90662501159</v>
      </c>
      <c r="P3" s="77" t="e">
        <f t="shared" ref="P3:P66" si="1">N3*COS(K3)</f>
        <v>#DIV/0!</v>
      </c>
      <c r="R3" s="78">
        <f>'Alternative 3'!$B$39*$B3*$C3*COS($K$5)-($N$5/3)*$E3*SIN($K$5)-($N$5/3)*$F3*SIN($K$5)-($N$5/3)*$G3*SIN($K$5)</f>
        <v>1042593.360605106</v>
      </c>
      <c r="S3" s="79">
        <f>IF(($A3&lt;'Alternative 3'!$B$27),(($H3*'Alternative 3'!$B$39)+(3*($N$5/3)*COS($K$5))),IF(($A3&lt;'Alternative 3'!$B$28),(($H3*'Alternative 3'!$B$39)+(2*(($N$5/3)*COS($K$5)))),IF(($A3&lt;'Alternative 3'!$B$29),(($H$3*'Alternative 3'!$B$39+(($N$5/3)*COS($K$5)))),($H3*'Alternative 3'!$B$39))))</f>
        <v>6298535.5378487883</v>
      </c>
      <c r="T3" s="78">
        <f>R3*'Alternative 3'!$K4/'Alternative 3'!$L4</f>
        <v>15106603.988169821</v>
      </c>
      <c r="U3" s="78">
        <f>S3/'Alternative 3'!$M4</f>
        <v>1825244.5260042725</v>
      </c>
      <c r="V3" s="78">
        <f t="shared" ref="V3:V66" si="2">(T3+U3)/1000000</f>
        <v>16.931848514174092</v>
      </c>
      <c r="X3" s="78">
        <f>'Alternative 3'!$B$39*$B3*$C3*COS($K$13)-($N$12/3)*$E3*SIN($K$13)-($N$12/3)*$F3*SIN($K$13)-($N$12/3)*$G3*SIN($K$13)</f>
        <v>529030.34312356031</v>
      </c>
      <c r="Y3" s="79">
        <f>IF(($A3&lt;'Alternative 3'!$B$27),(($H3*'Alternative 3'!$B$39)+(3*($N$12/3)*COS($K$13))),IF(($A3&lt;'Alternative 3'!$B$28),(($H3*'Alternative 3'!$B$39)+(2*(($N$12/3)*COS($K$13)))),IF(($A3&lt;'Alternative 3'!$B$29),(($H$3*'Alternative 3'!$B$39+(($N$12/3)*COS($K$13)))),($H3*'Alternative 3'!$B$39))))</f>
        <v>1608055.5926517113</v>
      </c>
      <c r="Z3" s="78">
        <f>X3*'Alternative 3'!$K4/'Alternative 3'!$L4</f>
        <v>7665358.5120232012</v>
      </c>
      <c r="AA3" s="78">
        <f>Y3/'Alternative 3'!$M4</f>
        <v>465996.36540282972</v>
      </c>
      <c r="AB3" s="78">
        <f t="shared" ref="AB3:AB66" si="3">(Z3+AA3)/1000000</f>
        <v>8.1313548774260305</v>
      </c>
      <c r="AD3" s="78">
        <f>'Alternative 3'!$B$39*$B3*$C3*COS($K$23)-($N$22/3)*$E3*SIN($K$23)-($N$22/3)*$F3*SIN($K$23)-($N$22/3)*$G3*SIN($K$23)</f>
        <v>740849.82228926686</v>
      </c>
      <c r="AE3" s="79">
        <f>IF(($A3&lt;'Alternative 3'!$B$27),(($H3*'Alternative 3'!$B$39)+(3*($N$22/3)*COS($K$23))),IF(($A3&lt;'Alternative 3'!$B$28),(($H3*'Alternative 3'!$B$39)+(2*(($N$22/3)*COS($K$23)))),IF(($A3&lt;'Alternative 3'!$B$29),(($H$3*'Alternative 3'!$B$39+(($N$22/3)*COS($K$23)))),($H3*'Alternative 3'!$B$39))))</f>
        <v>877552.96178322355</v>
      </c>
      <c r="AF3" s="78">
        <f>AD3*'Alternative 3'!$K4/'Alternative 3'!$L4</f>
        <v>10734506.18708566</v>
      </c>
      <c r="AG3" s="78">
        <f>AE3/'Alternative 3'!$M4</f>
        <v>254304.94599078331</v>
      </c>
      <c r="AH3" s="78">
        <f t="shared" ref="AH3:AH66" si="4">(AF3+AG3)/1000000</f>
        <v>10.988811133076444</v>
      </c>
      <c r="AJ3" s="78">
        <f>'Alternative 3'!$B$39*$B3*$C3*COS($K$33)-($N$32/3)*$E3*SIN($K$33)-($N$32/3)*$F3*SIN($K$33)-($N$32/3)*$G3*SIN($K$33)</f>
        <v>742636.35056391661</v>
      </c>
      <c r="AK3" s="79">
        <f>IF(($A3&lt;'Alternative 3'!$B$27),(($H3*'Alternative 3'!$B$39)+(3*($N$32/3)*COS($K$33))),IF(($A3&lt;'Alternative 3'!$B$28),(($H3*'Alternative 3'!$B$39)+(2*(($N$32/3)*COS($K$33)))),IF(($A3&lt;'Alternative 3'!$B$29),(($H$3*'Alternative 3'!$B$39+(($N$32/3)*COS($K$33)))),($H3*'Alternative 3'!$B$39))))</f>
        <v>633258.35606959346</v>
      </c>
      <c r="AL3" s="78">
        <f>AJ3*'Alternative 3'!$K4/'Alternative 3'!$L4</f>
        <v>10760391.998542523</v>
      </c>
      <c r="AM3" s="78">
        <f>AK3/'Alternative 3'!$M4</f>
        <v>183511.12588264624</v>
      </c>
      <c r="AN3" s="78">
        <f t="shared" ref="AN3:AN66" si="5">(AL3+AM3)/1000000</f>
        <v>10.943903124425169</v>
      </c>
      <c r="AP3" s="78">
        <f>'Alternative 3'!$B$39*$B3*$C3*COS($K$43)-($N$42/3)*$E3*SIN($K$43)-($N$42/3)*$F3*SIN($K$43)-($N$42/3)*$G3*SIN($K$43)</f>
        <v>675240.30499292654</v>
      </c>
      <c r="AQ3" s="79">
        <f>IF(($A3&lt;'Alternative 3'!$B$27),(($H3*'Alternative 3'!$B$39)+(3*($N$42/3)*COS($K$43))),IF(($A3&lt;'Alternative 3'!$B$28),(($H3*'Alternative 3'!$B$39)+(2*(($N$42/3)*COS($K$43)))),IF(($A3&lt;'Alternative 3'!$B$29),(($H$3*'Alternative 3'!$B$39+(($N$42/3)*COS($K$43)))),($H3*'Alternative 3'!$B$39))))</f>
        <v>504199.73628121638</v>
      </c>
      <c r="AR3" s="78">
        <f>AP3*'Alternative 3'!$K4/'Alternative 3'!$L4</f>
        <v>9783860.3906501736</v>
      </c>
      <c r="AS3" s="78">
        <f>AQ3/'Alternative 3'!$M4</f>
        <v>146111.39416931901</v>
      </c>
      <c r="AT3" s="78">
        <f t="shared" ref="AT3:AT66" si="6">(AR3+AS3)/1000000</f>
        <v>9.9299717848194931</v>
      </c>
      <c r="AV3" s="78">
        <f>'Alternative 3'!$B$39*$B3*$C3*COS($K$53)-($N$52/3)*$E3*SIN($K$53)-($N$52/3)*$F3*SIN($K$53)-($N$52/3)*$G3*SIN($K$53)</f>
        <v>567214.13764524809</v>
      </c>
      <c r="AW3" s="79">
        <f>IF(($A3&lt;'Alternative 3'!$B$27),(($H3*'Alternative 3'!$B$39)+(3*($N$52/3)*COS($K$53))),IF(($A3&lt;'Alternative 3'!$B$28),(($H3*'Alternative 3'!$B$39)+(2*(($N$52/3)*COS($K$53)))),IF(($A3&lt;'Alternative 3'!$B$29),(($H$3*'Alternative 3'!$B$39+(($N$52/3)*COS($K$53)))),($H3*'Alternative 3'!$B$39))))</f>
        <v>423121.10195907514</v>
      </c>
      <c r="AX3" s="78">
        <f>AV3*'Alternative 3'!$K4/'Alternative 3'!$L4</f>
        <v>8218620.6796146035</v>
      </c>
      <c r="AY3" s="78">
        <f>AW3/'Alternative 3'!$M4</f>
        <v>122615.72083650892</v>
      </c>
      <c r="AZ3" s="78">
        <f t="shared" ref="AZ3:AZ66" si="7">(AX3+AY3)/1000000</f>
        <v>8.3412364004511126</v>
      </c>
      <c r="BB3" s="78">
        <f>'Alternative 3'!$B$39*$B3*$C3*COS($K$63)-($N$62/3)*$E3*SIN($K$63)-($N$62/3)*$F3*SIN($K$63)-($N$62/3)*$G3*SIN($K$63)</f>
        <v>430575.0904595945</v>
      </c>
      <c r="BC3" s="79">
        <f>IF(($A3&lt;'Alternative 3'!$B$27),(($H3*'Alternative 3'!$B$39)+(3*($N$62/3)*COS($K$63))),IF(($A3&lt;'Alternative 3'!$B$28),(($H3*'Alternative 3'!$B$39)+(2*(($N$62/3)*COS($K$63)))),IF(($A3&lt;'Alternative 3'!$B$29),(($H$3*'Alternative 3'!$B$39+(($N$62/3)*COS($K$63)))),($H3*'Alternative 3'!$B$39))))</f>
        <v>369028.64334681258</v>
      </c>
      <c r="BD3" s="78">
        <f>BB3*'Alternative 3'!$K4/'Alternative 3'!$L4</f>
        <v>6238796.0872572195</v>
      </c>
      <c r="BE3" s="78">
        <f>BC3/'Alternative 3'!$M4</f>
        <v>106940.33671160392</v>
      </c>
      <c r="BF3" s="78">
        <f t="shared" ref="BF3:BF66" si="8">(BD3+BE3)/1000000</f>
        <v>6.3457364239688232</v>
      </c>
      <c r="BH3" s="78">
        <f>'Alternative 3'!$B$39*$B3*$C3*COS($K$73)-($N$72/3)*$E3*SIN($K$73)-($N$72/3)*$F3*SIN($K$73)-($N$72/3)*$G3*SIN($K$73)</f>
        <v>273181.37703530118</v>
      </c>
      <c r="BI3" s="79">
        <f>IF(($A3&lt;'Alternative 3'!$B$27),(($H3*'Alternative 3'!$B$39)+(3*($N$72/3)*COS($K$73))),IF(($A3&lt;'Alternative 3'!$B$28),(($H3*'Alternative 3'!$B$39)+(2*(($N$72/3)*COS($K$73)))),IF(($A3&lt;'Alternative 3'!$B$29),(($H$3*'Alternative 3'!$B$39+(($N$72/3)*COS($K$73)))),($H3*'Alternative 3'!$B$39))))</f>
        <v>333612.23495678173</v>
      </c>
      <c r="BJ3" s="78">
        <f>BH3*'Alternative 3'!$K4/'Alternative 3'!$L4</f>
        <v>3958247.8037458868</v>
      </c>
      <c r="BK3" s="78">
        <f>BI3/'Alternative 3'!$M4</f>
        <v>96677.06119998965</v>
      </c>
      <c r="BL3" s="78">
        <f t="shared" ref="BL3:BL66" si="9">(BJ3+BK3)/1000000</f>
        <v>4.0549248649458765</v>
      </c>
      <c r="BN3" s="78">
        <f>'Alternative 3'!$B$39*$B3*$C3*COS($K$83)-($N$82/3)*$E3*SIN($K$83)-($N$82/3)*$F3*SIN($K$83)-($N$82/3)*$G3*SIN($K$83)</f>
        <v>101587.54253658489</v>
      </c>
      <c r="BO3" s="79">
        <f>IF(($A3&lt;'Alternative 3'!$B$27),(($H3*'Alternative 3'!$B$39)+(3*($N$82/3)*COS($K$83))),IF(($A3&lt;'Alternative 3'!$B$28),(($H3*'Alternative 3'!$B$39)+(2*(($N$82/3)*COS($K$83)))),IF(($A3&lt;'Alternative 3'!$B$29),(($H$3*'Alternative 3'!$B$39+(($N$82/3)*COS($K$83)))),($H3*'Alternative 3'!$B$39))))</f>
        <v>313188.75671695999</v>
      </c>
      <c r="BP3" s="78">
        <f>BN3*'Alternative 3'!$K4/'Alternative 3'!$L4</f>
        <v>1471947.5811172058</v>
      </c>
      <c r="BQ3" s="78">
        <f>BO3/'Alternative 3'!$M4</f>
        <v>90758.567665231589</v>
      </c>
      <c r="BR3" s="78">
        <f t="shared" ref="BR3:BR66" si="10">(BP3+BQ3)/1000000</f>
        <v>1.5627061487824374</v>
      </c>
      <c r="BT3" s="78">
        <f>'Alternative 3'!$B$39*$B3*$C3*COS($K$93)-($K$92/3)*$E3*SIN($K$93)-($K$92/3)*$F3*SIN($K$93)-($K$92/3)*$G3*SIN($K$93)</f>
        <v>-33.137984730861469</v>
      </c>
      <c r="BU3" s="79">
        <f>IF(($A3&lt;'Alternative 3'!$B$27),(($H3*'Alternative 3'!$B$39)+(3*($N$92/3)*COS($K$93))),IF(($A3&lt;'Alternative 3'!$B$28),(($H3*'Alternative 3'!$B$39)+(2*(($N$92/3)*COS($K$93)))),IF(($A3&lt;'Alternative 3'!$B$29),(($H$3*'Alternative 3'!$B$39+(($N$92/3)*COS($K$93)))),($H3*'Alternative 3'!$B$39))))</f>
        <v>306119.90662501159</v>
      </c>
      <c r="BV3" s="78">
        <f>BT3*'Alternative 3'!$K4/'Alternative 3'!$L4</f>
        <v>-480.15116075993438</v>
      </c>
      <c r="BW3" s="78">
        <f>BU3/'Alternative 3'!$M4</f>
        <v>88710.094673701824</v>
      </c>
      <c r="BX3" s="78">
        <f t="shared" ref="BX3:BX66" si="11">(BV3+BW3)/1000000</f>
        <v>8.8229943512941889E-2</v>
      </c>
      <c r="BZ3" s="77">
        <v>150</v>
      </c>
      <c r="CA3" s="77">
        <v>-150</v>
      </c>
    </row>
    <row r="4" spans="1:79" ht="15" customHeight="1" x14ac:dyDescent="0.25">
      <c r="A4" s="13">
        <f>IF('Alternative 3'!F5&gt;0,'Alternative 3'!F5,"x")</f>
        <v>2</v>
      </c>
      <c r="B4" s="13">
        <f>IF(B3-1&gt;0,B3-1,"x")</f>
        <v>35</v>
      </c>
      <c r="C4" s="13">
        <f t="shared" ref="C4:C67" si="12">IF((A4="x"),0,C5+0.5)</f>
        <v>17.5</v>
      </c>
      <c r="D4" s="13">
        <f t="shared" ref="D4:D67" si="13">A4</f>
        <v>2</v>
      </c>
      <c r="E4" s="74">
        <f>IF($A4&lt;='Alternative 3'!$B$27, IF($A4='Alternative 3'!$B$27,0,E5+1),0)</f>
        <v>14</v>
      </c>
      <c r="F4" s="74">
        <f>IF($A4&lt;=('Alternative 3'!$B$28), IF($A4=ROUNDDOWN('Alternative 3'!$B$28,0),0,F5+1),0)</f>
        <v>20</v>
      </c>
      <c r="G4" s="74">
        <f>IF($A4&lt;=('Alternative 3'!$B$29), IF($A4=ROUNDDOWN('Alternative 3'!$B$29,0),0,G5+1),0)</f>
        <v>27</v>
      </c>
      <c r="H4" s="13">
        <f t="shared" ref="H4:H67" si="14">B4</f>
        <v>35</v>
      </c>
      <c r="J4" s="77">
        <f t="shared" ref="J4:J67" si="15">J3+1</f>
        <v>1</v>
      </c>
      <c r="K4" s="77">
        <f t="shared" ref="K4:K67" si="16">J4*PI()/180</f>
        <v>1.7453292519943295E-2</v>
      </c>
      <c r="L4" s="78">
        <f>'Alternative 3'!$B$27*SIN(K4)+'Alternative 3'!$B$28*SIN(K4)+'Alternative 3'!$B$29*SIN(K4)</f>
        <v>1.1867636377352788</v>
      </c>
      <c r="M4" s="77">
        <f>(('Alternative 3'!$B$27)*(((('Alternative 3'!$B$28-'Alternative 3'!$B$27)/2)+'Alternative 3'!$B$27)*'Alternative 3'!$B$39)*COS('Alternative 3-Tilt Up'!K4))+(('Alternative 3'!$B$28)*((('Alternative 3'!$B$28-'Alternative 3'!$B$27)/2)+(('Alternative 3'!$B$29-'Alternative 3'!$B$28)/2))*('Alternative 3'!$B$39)*COS('Alternative 3-Tilt Up'!K4))+(('Alternative 3'!$B$29)*((('Alternative 3'!$B$12-'Alternative 3'!$B$29+(('Alternative 3'!$B$29-'Alternative 3'!$B$28)/2)*('Alternative 3'!$B$39)*COS('Alternative 3-Tilt Up'!K4)))))</f>
        <v>4745389.5971834045</v>
      </c>
      <c r="N4" s="77">
        <f t="shared" si="0"/>
        <v>11995791.191173784</v>
      </c>
      <c r="O4" s="77">
        <f>(((('Alternative 3'!$B$28-'Alternative 3'!$B$27)/2)+'Alternative 3'!$B$27)*('Alternative 3'!$B$39)*COS('Alternative 3-Tilt Up'!K4))+(((('Alternative 3'!$B$28-'Alternative 3'!$B$27)/2)+(('Alternative 3'!$B$29-'Alternative 3'!$B$28)/2))*('Alternative 3'!$B$39)*COS('Alternative 3-Tilt Up'!K4))+(((('Alternative 3'!$B$12-'Alternative 3'!$B$29)+(('Alternative 3'!$B$29-'Alternative 3'!$B$28)/2))*('Alternative 3'!$B$39)*COS('Alternative 3-Tilt Up'!K4)))</f>
        <v>306073.28308050754</v>
      </c>
      <c r="P4" s="77">
        <f t="shared" si="1"/>
        <v>11993964.17407245</v>
      </c>
      <c r="R4" s="78">
        <f>'Alternative 3'!$B$39*$B4*$C4*COS($K$5)-($N$5/3)*$E4*SIN($K$5)-($N$5/3)*$F4*SIN($K$5)-($N$5/3)*$G4*SIN($K$5)</f>
        <v>950168.77428296232</v>
      </c>
      <c r="S4" s="79">
        <f>IF(($A4&lt;'Alternative 3'!$B$27),(($H4*'Alternative 3'!$B$39)+(3*($N$5/3)*COS($K$5))),IF(($A4&lt;'Alternative 3'!$B$28),(($H4*'Alternative 3'!$B$39)+(2*(($N$5/3)*COS($K$5)))),IF(($A4&lt;'Alternative 3'!$B$29),(($H$3*'Alternative 3'!$B$39+(($N$5/3)*COS($K$5)))),($H4*'Alternative 3'!$B$39))))</f>
        <v>6290032.2071092045</v>
      </c>
      <c r="T4" s="78">
        <f>R4*'Alternative 3'!$K5/'Alternative 3'!$L5</f>
        <v>14032452.267589455</v>
      </c>
      <c r="U4" s="78">
        <f>S4/'Alternative 3'!$M5</f>
        <v>1857869.7766197508</v>
      </c>
      <c r="V4" s="78">
        <f t="shared" si="2"/>
        <v>15.890322044209206</v>
      </c>
      <c r="X4" s="78">
        <f>'Alternative 3'!$B$39*$B4*$C4*COS($K$13)-($N$12/3)*$E4*SIN($K$13)-($N$12/3)*$F4*SIN($K$13)-($N$12/3)*$G4*SIN($K$13)</f>
        <v>461314.54734095233</v>
      </c>
      <c r="Y4" s="79">
        <f>IF(($A4&lt;'Alternative 3'!$B$27),(($H4*'Alternative 3'!$B$39)+(3*($N$12/3)*COS($K$13))),IF(($A4&lt;'Alternative 3'!$B$28),(($H4*'Alternative 3'!$B$39)+(2*(($N$12/3)*COS($K$13)))),IF(($A4&lt;'Alternative 3'!$B$29),(($H$3*'Alternative 3'!$B$39+(($N$12/3)*COS($K$13)))),($H4*'Alternative 3'!$B$39))))</f>
        <v>1599552.2619121275</v>
      </c>
      <c r="Z4" s="78">
        <f>X4*'Alternative 3'!$K5/'Alternative 3'!$L5</f>
        <v>6812867.9252710994</v>
      </c>
      <c r="AA4" s="78">
        <f>Y4/'Alternative 3'!$M5</f>
        <v>472455.41925389814</v>
      </c>
      <c r="AB4" s="78">
        <f t="shared" si="3"/>
        <v>7.285323344524997</v>
      </c>
      <c r="AD4" s="78">
        <f>'Alternative 3'!$B$39*$B4*$C4*COS($K$23)-($N$22/3)*$E4*SIN($K$23)-($N$22/3)*$F4*SIN($K$23)-($N$22/3)*$G4*SIN($K$23)</f>
        <v>665171.08648550231</v>
      </c>
      <c r="AE4" s="79">
        <f>IF(($A4&lt;'Alternative 3'!$B$27),(($H4*'Alternative 3'!$B$39)+(3*($N$22/3)*COS($K$23))),IF(($A4&lt;'Alternative 3'!$B$28),(($H4*'Alternative 3'!$B$39)+(2*(($N$22/3)*COS($K$23)))),IF(($A4&lt;'Alternative 3'!$B$29),(($H$3*'Alternative 3'!$B$39+(($N$22/3)*COS($K$23)))),($H4*'Alternative 3'!$B$39))))</f>
        <v>869049.63104363985</v>
      </c>
      <c r="AF4" s="78">
        <f>AD4*'Alternative 3'!$K5/'Alternative 3'!$L5</f>
        <v>9823498.4915519319</v>
      </c>
      <c r="AG4" s="78">
        <f>AE4/'Alternative 3'!$M5</f>
        <v>256688.83572228305</v>
      </c>
      <c r="AH4" s="78">
        <f t="shared" si="4"/>
        <v>10.080187327274215</v>
      </c>
      <c r="AJ4" s="78">
        <f>'Alternative 3'!$B$39*$B4*$C4*COS($K$33)-($N$32/3)*$E4*SIN($K$33)-($N$32/3)*$F4*SIN($K$33)-($N$32/3)*$G4*SIN($K$33)</f>
        <v>670084.25689027156</v>
      </c>
      <c r="AK4" s="79">
        <f>IF(($A4&lt;'Alternative 3'!$B$27),(($H4*'Alternative 3'!$B$39)+(3*($N$32/3)*COS($K$33))),IF(($A4&lt;'Alternative 3'!$B$28),(($H4*'Alternative 3'!$B$39)+(2*(($N$32/3)*COS($K$33)))),IF(($A4&lt;'Alternative 3'!$B$29),(($H$3*'Alternative 3'!$B$39+(($N$32/3)*COS($K$33)))),($H4*'Alternative 3'!$B$39))))</f>
        <v>624755.02533000975</v>
      </c>
      <c r="AL4" s="78">
        <f>AJ4*'Alternative 3'!$K5/'Alternative 3'!$L5</f>
        <v>9896058.052604109</v>
      </c>
      <c r="AM4" s="78">
        <f>AK4/'Alternative 3'!$M5</f>
        <v>184532.19969844588</v>
      </c>
      <c r="AN4" s="78">
        <f t="shared" si="5"/>
        <v>10.080590252302555</v>
      </c>
      <c r="AP4" s="78">
        <f>'Alternative 3'!$B$39*$B4*$C4*COS($K$43)-($N$42/3)*$E4*SIN($K$43)-($N$42/3)*$F4*SIN($K$43)-($N$42/3)*$G4*SIN($K$43)</f>
        <v>610204.52823344618</v>
      </c>
      <c r="AQ4" s="79">
        <f>IF(($A4&lt;'Alternative 3'!$B$27),(($H4*'Alternative 3'!$B$39)+(3*($N$42/3)*COS($K$43))),IF(($A4&lt;'Alternative 3'!$B$28),(($H4*'Alternative 3'!$B$39)+(2*(($N$42/3)*COS($K$43)))),IF(($A4&lt;'Alternative 3'!$B$29),(($H$3*'Alternative 3'!$B$39+(($N$42/3)*COS($K$43)))),($H4*'Alternative 3'!$B$39))))</f>
        <v>495696.40554163267</v>
      </c>
      <c r="AR4" s="78">
        <f>AP4*'Alternative 3'!$K5/'Alternative 3'!$L5</f>
        <v>9011731.5446032491</v>
      </c>
      <c r="AS4" s="78">
        <f>AQ4/'Alternative 3'!$M5</f>
        <v>146412.50472357997</v>
      </c>
      <c r="AT4" s="78">
        <f t="shared" si="6"/>
        <v>9.1581440493268289</v>
      </c>
      <c r="AV4" s="78">
        <f>'Alternative 3'!$B$39*$B4*$C4*COS($K$53)-($N$52/3)*$E4*SIN($K$53)-($N$52/3)*$F4*SIN($K$53)-($N$52/3)*$G4*SIN($K$53)</f>
        <v>512613.56728571281</v>
      </c>
      <c r="AW4" s="79">
        <f>IF(($A4&lt;'Alternative 3'!$B$27),(($H4*'Alternative 3'!$B$39)+(3*($N$52/3)*COS($K$53))),IF(($A4&lt;'Alternative 3'!$B$28),(($H4*'Alternative 3'!$B$39)+(2*(($N$52/3)*COS($K$53)))),IF(($A4&lt;'Alternative 3'!$B$29),(($H$3*'Alternative 3'!$B$39+(($N$52/3)*COS($K$53)))),($H4*'Alternative 3'!$B$39))))</f>
        <v>414617.77121949143</v>
      </c>
      <c r="AX4" s="78">
        <f>AV4*'Alternative 3'!$K5/'Alternative 3'!$L5</f>
        <v>7570471.2776778359</v>
      </c>
      <c r="AY4" s="78">
        <f>AW4/'Alternative 3'!$M5</f>
        <v>122464.52810329177</v>
      </c>
      <c r="AZ4" s="78">
        <f t="shared" si="7"/>
        <v>7.6929358057811275</v>
      </c>
      <c r="BB4" s="78">
        <f>'Alternative 3'!$B$39*$B4*$C4*COS($K$63)-($N$62/3)*$E4*SIN($K$63)-($N$62/3)*$F4*SIN($K$63)-($N$62/3)*$G4*SIN($K$63)</f>
        <v>388602.09807411768</v>
      </c>
      <c r="BC4" s="79">
        <f>IF(($A4&lt;'Alternative 3'!$B$27),(($H4*'Alternative 3'!$B$39)+(3*($N$62/3)*COS($K$63))),IF(($A4&lt;'Alternative 3'!$B$28),(($H4*'Alternative 3'!$B$39)+(2*(($N$62/3)*COS($K$63)))),IF(($A4&lt;'Alternative 3'!$B$29),(($H$3*'Alternative 3'!$B$39+(($N$62/3)*COS($K$63)))),($H4*'Alternative 3'!$B$39))))</f>
        <v>360525.31260722887</v>
      </c>
      <c r="BD4" s="78">
        <f>BB4*'Alternative 3'!$K5/'Alternative 3'!$L5</f>
        <v>5739022.939819579</v>
      </c>
      <c r="BE4" s="78">
        <f>BC4/'Alternative 3'!$M5</f>
        <v>106487.38511105199</v>
      </c>
      <c r="BF4" s="78">
        <f t="shared" si="8"/>
        <v>5.8455103249306308</v>
      </c>
      <c r="BH4" s="78">
        <f>'Alternative 3'!$B$39*$B4*$C4*COS($K$73)-($N$72/3)*$E4*SIN($K$73)-($N$72/3)*$F4*SIN($K$73)-($N$72/3)*$G4*SIN($K$73)</f>
        <v>245470.90919549437</v>
      </c>
      <c r="BI4" s="79">
        <f>IF(($A4&lt;'Alternative 3'!$B$27),(($H4*'Alternative 3'!$B$39)+(3*($N$72/3)*COS($K$73))),IF(($A4&lt;'Alternative 3'!$B$28),(($H4*'Alternative 3'!$B$39)+(2*(($N$72/3)*COS($K$73)))),IF(($A4&lt;'Alternative 3'!$B$29),(($H$3*'Alternative 3'!$B$39+(($N$72/3)*COS($K$73)))),($H4*'Alternative 3'!$B$39))))</f>
        <v>325108.90421719803</v>
      </c>
      <c r="BJ4" s="78">
        <f>BH4*'Alternative 3'!$K5/'Alternative 3'!$L5</f>
        <v>3625207.3416819773</v>
      </c>
      <c r="BK4" s="78">
        <f>BI4/'Alternative 3'!$M5</f>
        <v>96026.536489340288</v>
      </c>
      <c r="BL4" s="78">
        <f t="shared" si="9"/>
        <v>3.7212338781713177</v>
      </c>
      <c r="BN4" s="78">
        <f>'Alternative 3'!$B$39*$B4*$C4*COS($K$83)-($N$82/3)*$E4*SIN($K$83)-($N$82/3)*$F4*SIN($K$83)-($N$82/3)*$G4*SIN($K$83)</f>
        <v>89258.113559164514</v>
      </c>
      <c r="BO4" s="79">
        <f>IF(($A4&lt;'Alternative 3'!$B$27),(($H4*'Alternative 3'!$B$39)+(3*($N$82/3)*COS($K$83))),IF(($A4&lt;'Alternative 3'!$B$28),(($H4*'Alternative 3'!$B$39)+(2*(($N$82/3)*COS($K$83)))),IF(($A4&lt;'Alternative 3'!$B$29),(($H$3*'Alternative 3'!$B$39+(($N$82/3)*COS($K$83)))),($H4*'Alternative 3'!$B$39))))</f>
        <v>304685.42597737629</v>
      </c>
      <c r="BP4" s="78">
        <f>BN4*'Alternative 3'!$K5/'Alternative 3'!$L5</f>
        <v>1318197.6212165598</v>
      </c>
      <c r="BQ4" s="78">
        <f>BO4/'Alternative 3'!$M5</f>
        <v>89994.109038121489</v>
      </c>
      <c r="BR4" s="78">
        <f t="shared" si="10"/>
        <v>1.4081917302546814</v>
      </c>
      <c r="BT4" s="78">
        <f>'Alternative 3'!$B$39*$B4*$C4*COS($K$93)-($K$92/3)*$E4*SIN($K$93)-($K$92/3)*$F4*SIN($K$93)-($K$92/3)*$G4*SIN($K$93)</f>
        <v>-31.584641696605004</v>
      </c>
      <c r="BU4" s="79">
        <f>IF(($A4&lt;'Alternative 3'!$B$27),(($H4*'Alternative 3'!$B$39)+(3*($N$92/3)*COS($K$93))),IF(($A4&lt;'Alternative 3'!$B$28),(($H4*'Alternative 3'!$B$39)+(2*(($N$92/3)*COS($K$93)))),IF(($A4&lt;'Alternative 3'!$B$29),(($H$3*'Alternative 3'!$B$39+(($N$92/3)*COS($K$93)))),($H4*'Alternative 3'!$B$39))))</f>
        <v>297616.57588542788</v>
      </c>
      <c r="BV4" s="78">
        <f>BT4*'Alternative 3'!$K5/'Alternative 3'!$L5</f>
        <v>-466.45394901657386</v>
      </c>
      <c r="BW4" s="78">
        <f>BU4/'Alternative 3'!$M5</f>
        <v>87906.201932265452</v>
      </c>
      <c r="BX4" s="78">
        <f t="shared" si="11"/>
        <v>8.7439747983248869E-2</v>
      </c>
      <c r="BZ4" s="77">
        <v>150</v>
      </c>
      <c r="CA4" s="77">
        <v>-150</v>
      </c>
    </row>
    <row r="5" spans="1:79" ht="15" customHeight="1" x14ac:dyDescent="0.25">
      <c r="A5" s="13">
        <f>IF('Alternative 3'!F6&gt;0,'Alternative 3'!F6,"x")</f>
        <v>3</v>
      </c>
      <c r="B5" s="13">
        <f t="shared" ref="B5:B68" si="17">IF(B4-1&gt;0,B4-1,"x")</f>
        <v>34</v>
      </c>
      <c r="C5" s="13">
        <f t="shared" si="12"/>
        <v>17</v>
      </c>
      <c r="D5" s="13">
        <f t="shared" si="13"/>
        <v>3</v>
      </c>
      <c r="E5" s="74">
        <f>IF($A5&lt;='Alternative 3'!$B$27, IF($A5='Alternative 3'!$B$27,0,E6+1),0)</f>
        <v>13</v>
      </c>
      <c r="F5" s="74">
        <f>IF($A5&lt;=('Alternative 3'!$B$28), IF($A5=ROUNDDOWN('Alternative 3'!$B$28,0),0,F6+1),0)</f>
        <v>19</v>
      </c>
      <c r="G5" s="74">
        <f>IF($A5&lt;=('Alternative 3'!$B$29), IF($A5=ROUNDDOWN('Alternative 3'!$B$29,0),0,G6+1),0)</f>
        <v>26</v>
      </c>
      <c r="H5" s="13">
        <f t="shared" si="14"/>
        <v>34</v>
      </c>
      <c r="J5" s="77">
        <f t="shared" si="15"/>
        <v>2</v>
      </c>
      <c r="K5" s="77">
        <f t="shared" si="16"/>
        <v>3.4906585039886591E-2</v>
      </c>
      <c r="L5" s="78">
        <f>'Alternative 3'!$B$27*SIN(K5)+'Alternative 3'!$B$28*SIN(K5)+'Alternative 3'!$B$29*SIN(K5)</f>
        <v>2.3731657757700662</v>
      </c>
      <c r="M5" s="77">
        <f>(('Alternative 3'!$B$27)*(((('Alternative 3'!$B$28-'Alternative 3'!$B$27)/2)+'Alternative 3'!$B$27)*'Alternative 3'!$B$39)*COS('Alternative 3-Tilt Up'!K5))+(('Alternative 3'!$B$28)*((('Alternative 3'!$B$28-'Alternative 3'!$B$27)/2)+(('Alternative 3'!$B$29-'Alternative 3'!$B$28)/2))*('Alternative 3'!$B$39)*COS('Alternative 3-Tilt Up'!K5))+(('Alternative 3'!$B$29)*((('Alternative 3'!$B$12-'Alternative 3'!$B$29+(('Alternative 3'!$B$29-'Alternative 3'!$B$28)/2)*('Alternative 3'!$B$39)*COS('Alternative 3-Tilt Up'!K5)))))</f>
        <v>4743221.3390187928</v>
      </c>
      <c r="N5" s="81">
        <f t="shared" si="0"/>
        <v>5996068.2740079593</v>
      </c>
      <c r="O5" s="77">
        <f>(((('Alternative 3'!$B$28-'Alternative 3'!$B$27)/2)+'Alternative 3'!$B$27)*('Alternative 3'!$B$39)*COS('Alternative 3-Tilt Up'!K5))+(((('Alternative 3'!$B$28-'Alternative 3'!$B$27)/2)+(('Alternative 3'!$B$29-'Alternative 3'!$B$28)/2))*('Alternative 3'!$B$39)*COS('Alternative 3-Tilt Up'!K5))+(((('Alternative 3'!$B$12-'Alternative 3'!$B$29)+(('Alternative 3'!$B$29-'Alternative 3'!$B$28)/2))*('Alternative 3'!$B$39)*COS('Alternative 3-Tilt Up'!K5)))</f>
        <v>305933.42664897867</v>
      </c>
      <c r="P5" s="77">
        <f t="shared" si="1"/>
        <v>5992415.6312237764</v>
      </c>
      <c r="R5" s="78">
        <f>'Alternative 3'!$B$39*$B5*$C5*COS($K$5)-($N$5/3)*$E5*SIN($K$5)-($N$5/3)*$F5*SIN($K$5)-($N$5/3)*$G5*SIN($K$5)</f>
        <v>866242.33870106982</v>
      </c>
      <c r="S5" s="79">
        <f>IF(($A5&lt;'Alternative 3'!$B$27),(($H5*'Alternative 3'!$B$39)+(3*($N$5/3)*COS($K$5))),IF(($A5&lt;'Alternative 3'!$B$28),(($H5*'Alternative 3'!$B$39)+(2*(($N$5/3)*COS($K$5)))),IF(($A5&lt;'Alternative 3'!$B$29),(($H$3*'Alternative 3'!$B$39+(($N$5/3)*COS($K$5)))),($H5*'Alternative 3'!$B$39))))</f>
        <v>6281528.8763696207</v>
      </c>
      <c r="T5" s="78">
        <f>R5*'Alternative 3'!$K6/'Alternative 3'!$L6</f>
        <v>13041659.745748181</v>
      </c>
      <c r="U5" s="78">
        <f>S5/'Alternative 3'!$M6</f>
        <v>1891421.843504552</v>
      </c>
      <c r="V5" s="78">
        <f t="shared" si="2"/>
        <v>14.933081589252733</v>
      </c>
      <c r="X5" s="78">
        <f>'Alternative 3'!$B$39*$B5*$C5*COS($K$13)-($N$12/3)*$E5*SIN($K$13)-($N$12/3)*$F5*SIN($K$13)-($N$12/3)*$G5*SIN($K$13)</f>
        <v>401972.89759711362</v>
      </c>
      <c r="Y5" s="79">
        <f>IF(($A5&lt;'Alternative 3'!$B$27),(($H5*'Alternative 3'!$B$39)+(3*($N$12/3)*COS($K$13))),IF(($A5&lt;'Alternative 3'!$B$28),(($H5*'Alternative 3'!$B$39)+(2*(($N$12/3)*COS($K$13)))),IF(($A5&lt;'Alternative 3'!$B$29),(($H$3*'Alternative 3'!$B$39+(($N$12/3)*COS($K$13)))),($H5*'Alternative 3'!$B$39))))</f>
        <v>1591048.9311725439</v>
      </c>
      <c r="Z5" s="78">
        <f>X5*'Alternative 3'!$K6/'Alternative 3'!$L6</f>
        <v>6051878.9295556722</v>
      </c>
      <c r="AA5" s="78">
        <f>Y5/'Alternative 3'!$M6</f>
        <v>479078.38389872311</v>
      </c>
      <c r="AB5" s="78">
        <f t="shared" si="3"/>
        <v>6.5309573134543948</v>
      </c>
      <c r="AD5" s="78">
        <f>'Alternative 3'!$B$39*$B5*$C5*COS($K$23)-($N$22/3)*$E5*SIN($K$23)-($N$22/3)*$F5*SIN($K$23)-($N$22/3)*$G5*SIN($K$23)</f>
        <v>597482.86782982736</v>
      </c>
      <c r="AE5" s="79">
        <f>IF(($A5&lt;'Alternative 3'!$B$27),(($H5*'Alternative 3'!$B$39)+(3*($N$22/3)*COS($K$23))),IF(($A5&lt;'Alternative 3'!$B$28),(($H5*'Alternative 3'!$B$39)+(2*(($N$22/3)*COS($K$23)))),IF(($A5&lt;'Alternative 3'!$B$29),(($H$3*'Alternative 3'!$B$39+(($N$22/3)*COS($K$23)))),($H5*'Alternative 3'!$B$39))))</f>
        <v>860546.30030405615</v>
      </c>
      <c r="AF5" s="78">
        <f>AD5*'Alternative 3'!$K6/'Alternative 3'!$L6</f>
        <v>8995367.5986731313</v>
      </c>
      <c r="AG5" s="78">
        <f>AE5/'Alternative 3'!$M6</f>
        <v>259117.82016400053</v>
      </c>
      <c r="AH5" s="78">
        <f t="shared" si="4"/>
        <v>9.254485418837131</v>
      </c>
      <c r="AJ5" s="78">
        <f>'Alternative 3'!$B$39*$B5*$C5*COS($K$33)-($N$32/3)*$E5*SIN($K$33)-($N$32/3)*$F5*SIN($K$33)-($N$32/3)*$G5*SIN($K$33)</f>
        <v>604896.26365388813</v>
      </c>
      <c r="AK5" s="79">
        <f>IF(($A5&lt;'Alternative 3'!$B$27),(($H5*'Alternative 3'!$B$39)+(3*($N$32/3)*COS($K$33))),IF(($A5&lt;'Alternative 3'!$B$28),(($H5*'Alternative 3'!$B$39)+(2*(($N$32/3)*COS($K$33)))),IF(($A5&lt;'Alternative 3'!$B$29),(($H$3*'Alternative 3'!$B$39+(($N$32/3)*COS($K$33)))),($H5*'Alternative 3'!$B$39))))</f>
        <v>616251.69459042605</v>
      </c>
      <c r="AL5" s="78">
        <f>AJ5*'Alternative 3'!$K6/'Alternative 3'!$L6</f>
        <v>9106979.536324352</v>
      </c>
      <c r="AM5" s="78">
        <f>AK5/'Alternative 3'!$M6</f>
        <v>185558.6337634853</v>
      </c>
      <c r="AN5" s="78">
        <f t="shared" si="5"/>
        <v>9.2925381700878376</v>
      </c>
      <c r="AP5" s="78">
        <f>'Alternative 3'!$B$39*$B5*$C5*COS($K$43)-($N$42/3)*$E5*SIN($K$43)-($N$42/3)*$F5*SIN($K$43)-($N$42/3)*$G5*SIN($K$43)</f>
        <v>551682.68073502649</v>
      </c>
      <c r="AQ5" s="79">
        <f>IF(($A5&lt;'Alternative 3'!$B$27),(($H5*'Alternative 3'!$B$39)+(3*($N$42/3)*COS($K$43))),IF(($A5&lt;'Alternative 3'!$B$28),(($H5*'Alternative 3'!$B$39)+(2*(($N$42/3)*COS($K$43)))),IF(($A5&lt;'Alternative 3'!$B$29),(($H$3*'Alternative 3'!$B$39+(($N$42/3)*COS($K$43)))),($H5*'Alternative 3'!$B$39))))</f>
        <v>487193.07480204897</v>
      </c>
      <c r="AR5" s="78">
        <f>AP5*'Alternative 3'!$K6/'Alternative 3'!$L6</f>
        <v>8305825.6198342005</v>
      </c>
      <c r="AS5" s="78">
        <f>AQ5/'Alternative 3'!$M6</f>
        <v>146697.98417249526</v>
      </c>
      <c r="AT5" s="78">
        <f t="shared" si="6"/>
        <v>8.4525236040066964</v>
      </c>
      <c r="AV5" s="78">
        <f>'Alternative 3'!$B$39*$B5*$C5*COS($K$53)-($N$52/3)*$E5*SIN($K$53)-($N$52/3)*$F5*SIN($K$53)-($N$52/3)*$G5*SIN($K$53)</f>
        <v>463478.83256664872</v>
      </c>
      <c r="AW5" s="79">
        <f>IF(($A5&lt;'Alternative 3'!$B$27),(($H5*'Alternative 3'!$B$39)+(3*($N$52/3)*COS($K$53))),IF(($A5&lt;'Alternative 3'!$B$28),(($H5*'Alternative 3'!$B$39)+(2*(($N$52/3)*COS($K$53)))),IF(($A5&lt;'Alternative 3'!$B$29),(($H$3*'Alternative 3'!$B$39+(($N$52/3)*COS($K$53)))),($H5*'Alternative 3'!$B$39))))</f>
        <v>406114.44047990779</v>
      </c>
      <c r="AX5" s="78">
        <f>AV5*'Alternative 3'!$K6/'Alternative 3'!$L6</f>
        <v>6977877.8566222005</v>
      </c>
      <c r="AY5" s="78">
        <f>AW5/'Alternative 3'!$M6</f>
        <v>122284.51684365512</v>
      </c>
      <c r="AZ5" s="78">
        <f t="shared" si="7"/>
        <v>7.1001623734658557</v>
      </c>
      <c r="BB5" s="78">
        <f>'Alternative 3'!$B$39*$B5*$C5*COS($K$63)-($N$62/3)*$E5*SIN($K$63)-($N$62/3)*$F5*SIN($K$63)-($N$62/3)*$G5*SIN($K$63)</f>
        <v>350880.77105843287</v>
      </c>
      <c r="BC5" s="79">
        <f>IF(($A5&lt;'Alternative 3'!$B$27),(($H5*'Alternative 3'!$B$39)+(3*($N$62/3)*COS($K$63))),IF(($A5&lt;'Alternative 3'!$B$28),(($H5*'Alternative 3'!$B$39)+(2*(($N$62/3)*COS($K$63)))),IF(($A5&lt;'Alternative 3'!$B$29),(($H$3*'Alternative 3'!$B$39+(($N$62/3)*COS($K$63)))),($H5*'Alternative 3'!$B$39))))</f>
        <v>352021.98186764523</v>
      </c>
      <c r="BD5" s="78">
        <f>BB5*'Alternative 3'!$K6/'Alternative 3'!$L6</f>
        <v>5282664.4727752041</v>
      </c>
      <c r="BE5" s="78">
        <f>BC5/'Alternative 3'!$M6</f>
        <v>105996.81685822898</v>
      </c>
      <c r="BF5" s="78">
        <f t="shared" si="8"/>
        <v>5.3886612896334336</v>
      </c>
      <c r="BH5" s="78">
        <f>'Alternative 3'!$B$39*$B5*$C5*COS($K$73)-($N$72/3)*$E5*SIN($K$73)-($N$72/3)*$F5*SIN($K$73)-($N$72/3)*$G5*SIN($K$73)</f>
        <v>220668.7517539853</v>
      </c>
      <c r="BI5" s="79">
        <f>IF(($A5&lt;'Alternative 3'!$B$27),(($H5*'Alternative 3'!$B$39)+(3*($N$72/3)*COS($K$73))),IF(($A5&lt;'Alternative 3'!$B$28),(($H5*'Alternative 3'!$B$39)+(2*(($N$72/3)*COS($K$73)))),IF(($A5&lt;'Alternative 3'!$B$29),(($H$3*'Alternative 3'!$B$39+(($N$72/3)*COS($K$73)))),($H5*'Alternative 3'!$B$39))))</f>
        <v>316605.57347761438</v>
      </c>
      <c r="BJ5" s="78">
        <f>BH5*'Alternative 3'!$K6/'Alternative 3'!$L6</f>
        <v>3322265.2003016137</v>
      </c>
      <c r="BK5" s="78">
        <f>BI5/'Alternative 3'!$M6</f>
        <v>95332.634655806745</v>
      </c>
      <c r="BL5" s="78">
        <f t="shared" si="9"/>
        <v>3.4175978349574203</v>
      </c>
      <c r="BN5" s="78">
        <f>'Alternative 3'!$B$39*$B5*$C5*COS($K$83)-($N$82/3)*$E5*SIN($K$83)-($N$82/3)*$F5*SIN($K$83)-($N$82/3)*$G5*SIN($K$83)</f>
        <v>78405.272468772193</v>
      </c>
      <c r="BO5" s="79">
        <f>IF(($A5&lt;'Alternative 3'!$B$27),(($H5*'Alternative 3'!$B$39)+(3*($N$82/3)*COS($K$83))),IF(($A5&lt;'Alternative 3'!$B$28),(($H5*'Alternative 3'!$B$39)+(2*(($N$82/3)*COS($K$83)))),IF(($A5&lt;'Alternative 3'!$B$29),(($H$3*'Alternative 3'!$B$39+(($N$82/3)*COS($K$83)))),($H5*'Alternative 3'!$B$39))))</f>
        <v>296182.09523779264</v>
      </c>
      <c r="BP5" s="78">
        <f>BN5*'Alternative 3'!$K6/'Alternative 3'!$L6</f>
        <v>1180425.8925322159</v>
      </c>
      <c r="BQ5" s="78">
        <f>BO5/'Alternative 3'!$M6</f>
        <v>89182.95141412683</v>
      </c>
      <c r="BR5" s="78">
        <f t="shared" si="10"/>
        <v>1.2696088439463429</v>
      </c>
      <c r="BT5" s="78">
        <f>'Alternative 3'!$B$39*$B5*$C5*COS($K$93)-($K$92/3)*$E5*SIN($K$93)-($K$92/3)*$F5*SIN($K$93)-($K$92/3)*$G5*SIN($K$93)</f>
        <v>-30.031298662348021</v>
      </c>
      <c r="BU5" s="79">
        <f>IF(($A5&lt;'Alternative 3'!$B$27),(($H5*'Alternative 3'!$B$39)+(3*($N$92/3)*COS($K$93))),IF(($A5&lt;'Alternative 3'!$B$28),(($H5*'Alternative 3'!$B$39)+(2*(($N$92/3)*COS($K$93)))),IF(($A5&lt;'Alternative 3'!$B$29),(($H$3*'Alternative 3'!$B$39+(($N$92/3)*COS($K$93)))),($H5*'Alternative 3'!$B$39))))</f>
        <v>289113.24514584424</v>
      </c>
      <c r="BV5" s="78">
        <f>BT5*'Alternative 3'!$K6/'Alternative 3'!$L6</f>
        <v>-452.1344217191882</v>
      </c>
      <c r="BW5" s="78">
        <f>BU5/'Alternative 3'!$M6</f>
        <v>87054.460447115998</v>
      </c>
      <c r="BX5" s="78">
        <f t="shared" si="11"/>
        <v>8.6602326025396803E-2</v>
      </c>
      <c r="BZ5" s="77">
        <v>150</v>
      </c>
      <c r="CA5" s="77">
        <v>-150</v>
      </c>
    </row>
    <row r="6" spans="1:79" ht="15" customHeight="1" x14ac:dyDescent="0.25">
      <c r="A6" s="13">
        <f>IF('Alternative 3'!F7&gt;0,'Alternative 3'!F7,"x")</f>
        <v>4</v>
      </c>
      <c r="B6" s="13">
        <f t="shared" si="17"/>
        <v>33</v>
      </c>
      <c r="C6" s="13">
        <f t="shared" si="12"/>
        <v>16.5</v>
      </c>
      <c r="D6" s="13">
        <f t="shared" si="13"/>
        <v>4</v>
      </c>
      <c r="E6" s="74">
        <f>IF($A6&lt;='Alternative 3'!$B$27, IF($A6='Alternative 3'!$B$27,0,E7+1),0)</f>
        <v>12</v>
      </c>
      <c r="F6" s="74">
        <f>IF($A6&lt;=('Alternative 3'!$B$28), IF($A6=ROUNDDOWN('Alternative 3'!$B$28,0),0,F7+1),0)</f>
        <v>18</v>
      </c>
      <c r="G6" s="74">
        <f>IF($A6&lt;=('Alternative 3'!$B$29), IF($A6=ROUNDDOWN('Alternative 3'!$B$29,0),0,G7+1),0)</f>
        <v>25</v>
      </c>
      <c r="H6" s="13">
        <f t="shared" si="14"/>
        <v>33</v>
      </c>
      <c r="J6" s="77">
        <f t="shared" si="15"/>
        <v>3</v>
      </c>
      <c r="K6" s="77">
        <f t="shared" si="16"/>
        <v>5.2359877559829883E-2</v>
      </c>
      <c r="L6" s="78">
        <f>'Alternative 3'!$B$27*SIN(K6)+'Alternative 3'!$B$28*SIN(K6)+'Alternative 3'!$B$29*SIN(K6)</f>
        <v>3.5588450245201804</v>
      </c>
      <c r="M6" s="77">
        <f>(('Alternative 3'!$B$27)*(((('Alternative 3'!$B$28-'Alternative 3'!$B$27)/2)+'Alternative 3'!$B$27)*'Alternative 3'!$B$39)*COS('Alternative 3-Tilt Up'!K6))+(('Alternative 3'!$B$28)*((('Alternative 3'!$B$28-'Alternative 3'!$B$27)/2)+(('Alternative 3'!$B$29-'Alternative 3'!$B$28)/2))*('Alternative 3'!$B$39)*COS('Alternative 3-Tilt Up'!K6))+(('Alternative 3'!$B$29)*((('Alternative 3'!$B$12-'Alternative 3'!$B$29+(('Alternative 3'!$B$29-'Alternative 3'!$B$28)/2)*('Alternative 3'!$B$39)*COS('Alternative 3-Tilt Up'!K6)))))</f>
        <v>4739608.3092768276</v>
      </c>
      <c r="N6" s="77">
        <f t="shared" si="0"/>
        <v>3995348.1620761305</v>
      </c>
      <c r="O6" s="77">
        <f>(((('Alternative 3'!$B$28-'Alternative 3'!$B$27)/2)+'Alternative 3'!$B$27)*('Alternative 3'!$B$39)*COS('Alternative 3-Tilt Up'!K6))+(((('Alternative 3'!$B$28-'Alternative 3'!$B$27)/2)+(('Alternative 3'!$B$29-'Alternative 3'!$B$28)/2))*('Alternative 3'!$B$39)*COS('Alternative 3-Tilt Up'!K6))+(((('Alternative 3'!$B$12-'Alternative 3'!$B$29)+(('Alternative 3'!$B$29-'Alternative 3'!$B$28)/2))*('Alternative 3'!$B$39)*COS('Alternative 3-Tilt Up'!K6)))</f>
        <v>305700.37993204885</v>
      </c>
      <c r="P6" s="77">
        <f t="shared" si="1"/>
        <v>3989872.6762766279</v>
      </c>
      <c r="R6" s="78">
        <f>'Alternative 3'!$B$39*$B6*$C6*COS($K$5)-($N$5/3)*$E6*SIN($K$5)-($N$5/3)*$F6*SIN($K$5)-($N$5/3)*$G6*SIN($K$5)</f>
        <v>790814.05385942617</v>
      </c>
      <c r="S6" s="79">
        <f>IF(($A6&lt;'Alternative 3'!$B$27),(($H6*'Alternative 3'!$B$39)+(3*($N$5/3)*COS($K$5))),IF(($A6&lt;'Alternative 3'!$B$28),(($H6*'Alternative 3'!$B$39)+(2*(($N$5/3)*COS($K$5)))),IF(($A6&lt;'Alternative 3'!$B$29),(($H$3*'Alternative 3'!$B$39+(($N$5/3)*COS($K$5)))),($H6*'Alternative 3'!$B$39))))</f>
        <v>6273025.5456300369</v>
      </c>
      <c r="T6" s="78">
        <f>R6*'Alternative 3'!$K7/'Alternative 3'!$L7</f>
        <v>12139749.772374228</v>
      </c>
      <c r="U6" s="78">
        <f>S6/'Alternative 3'!$M7</f>
        <v>1925936.6306730884</v>
      </c>
      <c r="V6" s="78">
        <f t="shared" si="2"/>
        <v>14.065686403047316</v>
      </c>
      <c r="X6" s="78">
        <f>'Alternative 3'!$B$39*$B6*$C6*COS($K$13)-($N$12/3)*$E6*SIN($K$13)-($N$12/3)*$F6*SIN($K$13)-($N$12/3)*$G6*SIN($K$13)</f>
        <v>351005.39389204257</v>
      </c>
      <c r="Y6" s="79">
        <f>IF(($A6&lt;'Alternative 3'!$B$27),(($H6*'Alternative 3'!$B$39)+(3*($N$12/3)*COS($K$13))),IF(($A6&lt;'Alternative 3'!$B$28),(($H6*'Alternative 3'!$B$39)+(2*(($N$12/3)*COS($K$13)))),IF(($A6&lt;'Alternative 3'!$B$29),(($H$3*'Alternative 3'!$B$39+(($N$12/3)*COS($K$13)))),($H6*'Alternative 3'!$B$39))))</f>
        <v>1582545.6004329603</v>
      </c>
      <c r="Z6" s="78">
        <f>X6*'Alternative 3'!$K7/'Alternative 3'!$L7</f>
        <v>5388267.4818529468</v>
      </c>
      <c r="AA6" s="78">
        <f>Y6/'Alternative 3'!$M7</f>
        <v>485871.21468166419</v>
      </c>
      <c r="AB6" s="78">
        <f t="shared" si="3"/>
        <v>5.8741386965346116</v>
      </c>
      <c r="AD6" s="78">
        <f>'Alternative 3'!$B$39*$B6*$C6*COS($K$23)-($N$22/3)*$E6*SIN($K$23)-($N$22/3)*$F6*SIN($K$23)-($N$22/3)*$G6*SIN($K$23)</f>
        <v>537785.16632224014</v>
      </c>
      <c r="AE6" s="79">
        <f>IF(($A6&lt;'Alternative 3'!$B$27),(($H6*'Alternative 3'!$B$39)+(3*($N$22/3)*COS($K$23))),IF(($A6&lt;'Alternative 3'!$B$28),(($H6*'Alternative 3'!$B$39)+(2*(($N$22/3)*COS($K$23)))),IF(($A6&lt;'Alternative 3'!$B$29),(($H$3*'Alternative 3'!$B$39+(($N$22/3)*COS($K$23)))),($H6*'Alternative 3'!$B$39))))</f>
        <v>852042.96956447256</v>
      </c>
      <c r="AF6" s="78">
        <f>AD6*'Alternative 3'!$K7/'Alternative 3'!$L7</f>
        <v>8255515.0842161952</v>
      </c>
      <c r="AG6" s="78">
        <f>AE6/'Alternative 3'!$M7</f>
        <v>261593.19040791181</v>
      </c>
      <c r="AH6" s="78">
        <f t="shared" si="4"/>
        <v>8.5171082746241069</v>
      </c>
      <c r="AJ6" s="78">
        <f>'Alternative 3'!$B$39*$B6*$C6*COS($K$33)-($N$32/3)*$E6*SIN($K$33)-($N$32/3)*$F6*SIN($K$33)-($N$32/3)*$G6*SIN($K$33)</f>
        <v>547072.37085476564</v>
      </c>
      <c r="AK6" s="79">
        <f>IF(($A6&lt;'Alternative 3'!$B$27),(($H6*'Alternative 3'!$B$39)+(3*($N$32/3)*COS($K$33))),IF(($A6&lt;'Alternative 3'!$B$28),(($H6*'Alternative 3'!$B$39)+(2*(($N$32/3)*COS($K$33)))),IF(($A6&lt;'Alternative 3'!$B$29),(($H$3*'Alternative 3'!$B$39+(($N$32/3)*COS($K$33)))),($H6*'Alternative 3'!$B$39))))</f>
        <v>607748.36385084246</v>
      </c>
      <c r="AL6" s="78">
        <f>AJ6*'Alternative 3'!$K7/'Alternative 3'!$L7</f>
        <v>8398082.5291920286</v>
      </c>
      <c r="AM6" s="78">
        <f>AK6/'Alternative 3'!$M7</f>
        <v>186590.15935099544</v>
      </c>
      <c r="AN6" s="78">
        <f t="shared" si="5"/>
        <v>8.5846726885430229</v>
      </c>
      <c r="AP6" s="78">
        <f>'Alternative 3'!$B$39*$B6*$C6*COS($K$43)-($N$42/3)*$E6*SIN($K$43)-($N$42/3)*$F6*SIN($K$43)-($N$42/3)*$G6*SIN($K$43)</f>
        <v>499674.76249766792</v>
      </c>
      <c r="AQ6" s="79">
        <f>IF(($A6&lt;'Alternative 3'!$B$27),(($H6*'Alternative 3'!$B$39)+(3*($N$42/3)*COS($K$43))),IF(($A6&lt;'Alternative 3'!$B$28),(($H6*'Alternative 3'!$B$39)+(2*(($N$42/3)*COS($K$43)))),IF(($A6&lt;'Alternative 3'!$B$29),(($H$3*'Alternative 3'!$B$39+(($N$42/3)*COS($K$43)))),($H6*'Alternative 3'!$B$39))))</f>
        <v>478689.74406246538</v>
      </c>
      <c r="AR6" s="78">
        <f>AP6*'Alternative 3'!$K7/'Alternative 3'!$L7</f>
        <v>7670484.0470253956</v>
      </c>
      <c r="AS6" s="78">
        <f>AQ6/'Alternative 3'!$M7</f>
        <v>146966.73975123005</v>
      </c>
      <c r="AT6" s="78">
        <f t="shared" si="6"/>
        <v>7.8174507867766252</v>
      </c>
      <c r="AV6" s="78">
        <f>'Alternative 3'!$B$39*$B6*$C6*COS($K$53)-($N$52/3)*$E6*SIN($K$53)-($N$52/3)*$F6*SIN($K$53)-($N$52/3)*$G6*SIN($K$53)</f>
        <v>419809.93348805537</v>
      </c>
      <c r="AW6" s="79">
        <f>IF(($A6&lt;'Alternative 3'!$B$27),(($H6*'Alternative 3'!$B$39)+(3*($N$52/3)*COS($K$53))),IF(($A6&lt;'Alternative 3'!$B$28),(($H6*'Alternative 3'!$B$39)+(2*(($N$52/3)*COS($K$53)))),IF(($A6&lt;'Alternative 3'!$B$29),(($H$3*'Alternative 3'!$B$39+(($N$52/3)*COS($K$53)))),($H6*'Alternative 3'!$B$39))))</f>
        <v>397611.10974032414</v>
      </c>
      <c r="AX6" s="78">
        <f>AV6*'Alternative 3'!$K7/'Alternative 3'!$L7</f>
        <v>6444482.7701658243</v>
      </c>
      <c r="AY6" s="78">
        <f>AW6/'Alternative 3'!$M7</f>
        <v>122074.07660645136</v>
      </c>
      <c r="AZ6" s="78">
        <f t="shared" si="7"/>
        <v>6.5665568467722757</v>
      </c>
      <c r="BB6" s="78">
        <f>'Alternative 3'!$B$39*$B6*$C6*COS($K$63)-($N$62/3)*$E6*SIN($K$63)-($N$62/3)*$F6*SIN($K$63)-($N$62/3)*$G6*SIN($K$63)</f>
        <v>317411.1094125401</v>
      </c>
      <c r="BC6" s="79">
        <f>IF(($A6&lt;'Alternative 3'!$B$27),(($H6*'Alternative 3'!$B$39)+(3*($N$62/3)*COS($K$63))),IF(($A6&lt;'Alternative 3'!$B$28),(($H6*'Alternative 3'!$B$39)+(2*(($N$62/3)*COS($K$63)))),IF(($A6&lt;'Alternative 3'!$B$29),(($H$3*'Alternative 3'!$B$39+(($N$62/3)*COS($K$63)))),($H6*'Alternative 3'!$B$39))))</f>
        <v>343518.65112806158</v>
      </c>
      <c r="BD6" s="78">
        <f>BB6*'Alternative 3'!$K7/'Alternative 3'!$L7</f>
        <v>4872563.1827540714</v>
      </c>
      <c r="BE6" s="78">
        <f>BC6/'Alternative 3'!$M7</f>
        <v>105466.67612215107</v>
      </c>
      <c r="BF6" s="78">
        <f t="shared" si="8"/>
        <v>4.9780298588762228</v>
      </c>
      <c r="BH6" s="78">
        <f>'Alternative 3'!$B$39*$B6*$C6*COS($K$73)-($N$72/3)*$E6*SIN($K$73)-($N$72/3)*$F6*SIN($K$73)-($N$72/3)*$G6*SIN($K$73)</f>
        <v>198774.90471077431</v>
      </c>
      <c r="BI6" s="79">
        <f>IF(($A6&lt;'Alternative 3'!$B$27),(($H6*'Alternative 3'!$B$39)+(3*($N$72/3)*COS($K$73))),IF(($A6&lt;'Alternative 3'!$B$28),(($H6*'Alternative 3'!$B$39)+(2*(($N$72/3)*COS($K$73)))),IF(($A6&lt;'Alternative 3'!$B$29),(($H$3*'Alternative 3'!$B$39+(($N$72/3)*COS($K$73)))),($H6*'Alternative 3'!$B$39))))</f>
        <v>308102.24273803073</v>
      </c>
      <c r="BJ6" s="78">
        <f>BH6*'Alternative 3'!$K7/'Alternative 3'!$L7</f>
        <v>3051384.3202959518</v>
      </c>
      <c r="BK6" s="78">
        <f>BI6/'Alternative 3'!$M7</f>
        <v>94593.17373497285</v>
      </c>
      <c r="BL6" s="78">
        <f t="shared" si="9"/>
        <v>3.1459774940309244</v>
      </c>
      <c r="BN6" s="78">
        <f>'Alternative 3'!$B$39*$B6*$C6*COS($K$83)-($N$82/3)*$E6*SIN($K$83)-($N$82/3)*$F6*SIN($K$83)-($N$82/3)*$G6*SIN($K$83)</f>
        <v>69029.019265407464</v>
      </c>
      <c r="BO6" s="79">
        <f>IF(($A6&lt;'Alternative 3'!$B$27),(($H6*'Alternative 3'!$B$39)+(3*($N$82/3)*COS($K$83))),IF(($A6&lt;'Alternative 3'!$B$28),(($H6*'Alternative 3'!$B$39)+(2*(($N$82/3)*COS($K$83)))),IF(($A6&lt;'Alternative 3'!$B$29),(($H$3*'Alternative 3'!$B$39+(($N$82/3)*COS($K$83)))),($H6*'Alternative 3'!$B$39))))</f>
        <v>287678.764498209</v>
      </c>
      <c r="BP6" s="78">
        <f>BN6*'Alternative 3'!$K7/'Alternative 3'!$L7</f>
        <v>1059661.2652807091</v>
      </c>
      <c r="BQ6" s="78">
        <f>BO6/'Alternative 3'!$M7</f>
        <v>88322.782425116195</v>
      </c>
      <c r="BR6" s="78">
        <f t="shared" si="10"/>
        <v>1.1479840477058254</v>
      </c>
      <c r="BT6" s="78">
        <f>'Alternative 3'!$B$39*$B6*$C6*COS($K$93)-($K$92/3)*$E6*SIN($K$93)-($K$92/3)*$F6*SIN($K$93)-($K$92/3)*$G6*SIN($K$93)</f>
        <v>-28.47795562809052</v>
      </c>
      <c r="BU6" s="79">
        <f>IF(($A6&lt;'Alternative 3'!$B$27),(($H6*'Alternative 3'!$B$39)+(3*($N$92/3)*COS($K$93))),IF(($A6&lt;'Alternative 3'!$B$28),(($H6*'Alternative 3'!$B$39)+(2*(($N$92/3)*COS($K$93)))),IF(($A6&lt;'Alternative 3'!$B$29),(($H$3*'Alternative 3'!$B$39+(($N$92/3)*COS($K$93)))),($H6*'Alternative 3'!$B$39))))</f>
        <v>280609.91440626059</v>
      </c>
      <c r="BV6" s="78">
        <f>BT6*'Alternative 3'!$K7/'Alternative 3'!$L7</f>
        <v>-437.1637727814699</v>
      </c>
      <c r="BW6" s="78">
        <f>BU6/'Alternative 3'!$M7</f>
        <v>86152.512715581164</v>
      </c>
      <c r="BX6" s="78">
        <f t="shared" si="11"/>
        <v>8.5715348942799696E-2</v>
      </c>
      <c r="BZ6" s="77">
        <v>150</v>
      </c>
      <c r="CA6" s="77">
        <v>-150</v>
      </c>
    </row>
    <row r="7" spans="1:79" ht="15" customHeight="1" x14ac:dyDescent="0.25">
      <c r="A7" s="13">
        <f>IF('Alternative 3'!F8&gt;0,'Alternative 3'!F8,"x")</f>
        <v>5</v>
      </c>
      <c r="B7" s="13">
        <f t="shared" si="17"/>
        <v>32</v>
      </c>
      <c r="C7" s="13">
        <f t="shared" si="12"/>
        <v>16</v>
      </c>
      <c r="D7" s="13">
        <f t="shared" si="13"/>
        <v>5</v>
      </c>
      <c r="E7" s="74">
        <f>IF($A7&lt;='Alternative 3'!$B$27, IF($A7='Alternative 3'!$B$27,0,E8+1),0)</f>
        <v>11</v>
      </c>
      <c r="F7" s="74">
        <f>IF($A7&lt;=('Alternative 3'!$B$28), IF($A7=ROUNDDOWN('Alternative 3'!$B$28,0),0,F8+1),0)</f>
        <v>17</v>
      </c>
      <c r="G7" s="74">
        <f>IF($A7&lt;=('Alternative 3'!$B$29), IF($A7=ROUNDDOWN('Alternative 3'!$B$29,0),0,G8+1),0)</f>
        <v>24</v>
      </c>
      <c r="H7" s="13">
        <f t="shared" si="14"/>
        <v>32</v>
      </c>
      <c r="J7" s="77">
        <f t="shared" si="15"/>
        <v>4</v>
      </c>
      <c r="K7" s="77">
        <f t="shared" si="16"/>
        <v>6.9813170079773182E-2</v>
      </c>
      <c r="L7" s="78">
        <f>'Alternative 3'!$B$27*SIN(K7)+'Alternative 3'!$B$28*SIN(K7)+'Alternative 3'!$B$29*SIN(K7)</f>
        <v>4.7434402146005201</v>
      </c>
      <c r="M7" s="77">
        <f>(('Alternative 3'!$B$27)*(((('Alternative 3'!$B$28-'Alternative 3'!$B$27)/2)+'Alternative 3'!$B$27)*'Alternative 3'!$B$39)*COS('Alternative 3-Tilt Up'!K7))+(('Alternative 3'!$B$28)*((('Alternative 3'!$B$28-'Alternative 3'!$B$27)/2)+(('Alternative 3'!$B$29-'Alternative 3'!$B$28)/2))*('Alternative 3'!$B$39)*COS('Alternative 3-Tilt Up'!K7))+(('Alternative 3'!$B$29)*((('Alternative 3'!$B$12-'Alternative 3'!$B$29+(('Alternative 3'!$B$29-'Alternative 3'!$B$28)/2)*('Alternative 3'!$B$39)*COS('Alternative 3-Tilt Up'!K7)))))</f>
        <v>4734551.6085213693</v>
      </c>
      <c r="N7" s="77">
        <f t="shared" si="0"/>
        <v>2994378.3800298837</v>
      </c>
      <c r="O7" s="77">
        <f>(((('Alternative 3'!$B$28-'Alternative 3'!$B$27)/2)+'Alternative 3'!$B$27)*('Alternative 3'!$B$39)*COS('Alternative 3-Tilt Up'!K7))+(((('Alternative 3'!$B$28-'Alternative 3'!$B$27)/2)+(('Alternative 3'!$B$29-'Alternative 3'!$B$28)/2))*('Alternative 3'!$B$39)*COS('Alternative 3-Tilt Up'!K7))+(((('Alternative 3'!$B$12-'Alternative 3'!$B$29)+(('Alternative 3'!$B$29-'Alternative 3'!$B$28)/2))*('Alternative 3'!$B$39)*COS('Alternative 3-Tilt Up'!K7)))</f>
        <v>305374.2139180057</v>
      </c>
      <c r="P7" s="77">
        <f t="shared" si="1"/>
        <v>2987084.2247930621</v>
      </c>
      <c r="R7" s="78">
        <f>'Alternative 3'!$B$39*$B7*$C7*COS($K$5)-($N$5/3)*$E7*SIN($K$5)-($N$5/3)*$F7*SIN($K$5)-($N$5/3)*$G7*SIN($K$5)</f>
        <v>723883.91975803208</v>
      </c>
      <c r="S7" s="79">
        <f>IF(($A7&lt;'Alternative 3'!$B$27),(($H7*'Alternative 3'!$B$39)+(3*($N$5/3)*COS($K$5))),IF(($A7&lt;'Alternative 3'!$B$28),(($H7*'Alternative 3'!$B$39)+(2*(($N$5/3)*COS($K$5)))),IF(($A7&lt;'Alternative 3'!$B$29),(($H$3*'Alternative 3'!$B$39+(($N$5/3)*COS($K$5)))),($H7*'Alternative 3'!$B$39))))</f>
        <v>6264522.214890453</v>
      </c>
      <c r="T7" s="78">
        <f>R7*'Alternative 3'!$K8/'Alternative 3'!$L8</f>
        <v>11332586.34691924</v>
      </c>
      <c r="U7" s="78">
        <f>S7/'Alternative 3'!$M8</f>
        <v>1961451.807152404</v>
      </c>
      <c r="V7" s="78">
        <f t="shared" si="2"/>
        <v>13.294038154071645</v>
      </c>
      <c r="X7" s="78">
        <f>'Alternative 3'!$B$39*$B7*$C7*COS($K$13)-($N$12/3)*$E7*SIN($K$13)-($N$12/3)*$F7*SIN($K$13)-($N$12/3)*$G7*SIN($K$13)</f>
        <v>308412.03622574289</v>
      </c>
      <c r="Y7" s="79">
        <f>IF(($A7&lt;'Alternative 3'!$B$27),(($H7*'Alternative 3'!$B$39)+(3*($N$12/3)*COS($K$13))),IF(($A7&lt;'Alternative 3'!$B$28),(($H7*'Alternative 3'!$B$39)+(2*(($N$12/3)*COS($K$13)))),IF(($A7&lt;'Alternative 3'!$B$29),(($H$3*'Alternative 3'!$B$39+(($N$12/3)*COS($K$13)))),($H7*'Alternative 3'!$B$39))))</f>
        <v>1574042.2696933765</v>
      </c>
      <c r="Z7" s="78">
        <f>X7*'Alternative 3'!$K8/'Alternative 3'!$L8</f>
        <v>4828268.6430245638</v>
      </c>
      <c r="AA7" s="78">
        <f>Y7/'Alternative 3'!$M8</f>
        <v>492840.14782256371</v>
      </c>
      <c r="AB7" s="78">
        <f t="shared" si="3"/>
        <v>5.3211087908471271</v>
      </c>
      <c r="AD7" s="78">
        <f>'Alternative 3'!$B$39*$B7*$C7*COS($K$23)-($N$22/3)*$E7*SIN($K$23)-($N$22/3)*$F7*SIN($K$23)-($N$22/3)*$G7*SIN($K$23)</f>
        <v>486077.98196274252</v>
      </c>
      <c r="AE7" s="79">
        <f>IF(($A7&lt;'Alternative 3'!$B$27),(($H7*'Alternative 3'!$B$39)+(3*($N$22/3)*COS($K$23))),IF(($A7&lt;'Alternative 3'!$B$28),(($H7*'Alternative 3'!$B$39)+(2*(($N$22/3)*COS($K$23)))),IF(($A7&lt;'Alternative 3'!$B$29),(($H$3*'Alternative 3'!$B$39+(($N$22/3)*COS($K$23)))),($H7*'Alternative 3'!$B$39))))</f>
        <v>843539.63882488897</v>
      </c>
      <c r="AF7" s="78">
        <f>AD7*'Alternative 3'!$K8/'Alternative 3'!$L8</f>
        <v>7609674.081129374</v>
      </c>
      <c r="AG7" s="78">
        <f>AE7/'Alternative 3'!$M8</f>
        <v>264116.28727965133</v>
      </c>
      <c r="AH7" s="78">
        <f t="shared" si="4"/>
        <v>7.8737903684090256</v>
      </c>
      <c r="AJ7" s="78">
        <f>'Alternative 3'!$B$39*$B7*$C7*COS($K$33)-($N$32/3)*$E7*SIN($K$33)-($N$32/3)*$F7*SIN($K$33)-($N$32/3)*$G7*SIN($K$33)</f>
        <v>496612.57849290385</v>
      </c>
      <c r="AK7" s="79">
        <f>IF(($A7&lt;'Alternative 3'!$B$27),(($H7*'Alternative 3'!$B$39)+(3*($N$32/3)*COS($K$33))),IF(($A7&lt;'Alternative 3'!$B$28),(($H7*'Alternative 3'!$B$39)+(2*(($N$32/3)*COS($K$33)))),IF(($A7&lt;'Alternative 3'!$B$29),(($H$3*'Alternative 3'!$B$39+(($N$32/3)*COS($K$33)))),($H7*'Alternative 3'!$B$39))))</f>
        <v>599245.03311125888</v>
      </c>
      <c r="AL7" s="78">
        <f>AJ7*'Alternative 3'!$K8/'Alternative 3'!$L8</f>
        <v>7774595.8614721606</v>
      </c>
      <c r="AM7" s="78">
        <f>AK7/'Alternative 3'!$M8</f>
        <v>187626.48016944336</v>
      </c>
      <c r="AN7" s="78">
        <f t="shared" si="5"/>
        <v>7.9622223416416036</v>
      </c>
      <c r="AP7" s="78">
        <f>'Alternative 3'!$B$39*$B7*$C7*COS($K$43)-($N$42/3)*$E7*SIN($K$43)-($N$42/3)*$F7*SIN($K$43)-($N$42/3)*$G7*SIN($K$43)</f>
        <v>454180.77352137049</v>
      </c>
      <c r="AQ7" s="79">
        <f>IF(($A7&lt;'Alternative 3'!$B$27),(($H7*'Alternative 3'!$B$39)+(3*($N$42/3)*COS($K$43))),IF(($A7&lt;'Alternative 3'!$B$28),(($H7*'Alternative 3'!$B$39)+(2*(($N$42/3)*COS($K$43)))),IF(($A7&lt;'Alternative 3'!$B$29),(($H$3*'Alternative 3'!$B$39+(($N$42/3)*COS($K$43)))),($H7*'Alternative 3'!$B$39))))</f>
        <v>470186.41332288168</v>
      </c>
      <c r="AR7" s="78">
        <f>AP7*'Alternative 3'!$K8/'Alternative 3'!$L8</f>
        <v>7110315.1935768528</v>
      </c>
      <c r="AS7" s="78">
        <f>AQ7/'Alternative 3'!$M8</f>
        <v>147217.61029413171</v>
      </c>
      <c r="AT7" s="78">
        <f t="shared" si="6"/>
        <v>7.2575328038709843</v>
      </c>
      <c r="AV7" s="78">
        <f>'Alternative 3'!$B$39*$B7*$C7*COS($K$53)-($N$52/3)*$E7*SIN($K$53)-($N$52/3)*$F7*SIN($K$53)-($N$52/3)*$G7*SIN($K$53)</f>
        <v>381606.8700499339</v>
      </c>
      <c r="AW7" s="79">
        <f>IF(($A7&lt;'Alternative 3'!$B$27),(($H7*'Alternative 3'!$B$39)+(3*($N$52/3)*COS($K$53))),IF(($A7&lt;'Alternative 3'!$B$28),(($H7*'Alternative 3'!$B$39)+(2*(($N$52/3)*COS($K$53)))),IF(($A7&lt;'Alternative 3'!$B$29),(($H$3*'Alternative 3'!$B$39+(($N$52/3)*COS($K$53)))),($H7*'Alternative 3'!$B$39))))</f>
        <v>389107.7790007405</v>
      </c>
      <c r="AX7" s="78">
        <f>AV7*'Alternative 3'!$K8/'Alternative 3'!$L8</f>
        <v>5974152.3293734975</v>
      </c>
      <c r="AY7" s="78">
        <f>AW7/'Alternative 3'!$M8</f>
        <v>121831.50288523751</v>
      </c>
      <c r="AZ7" s="78">
        <f t="shared" si="7"/>
        <v>6.0959838322587352</v>
      </c>
      <c r="BB7" s="78">
        <f>'Alternative 3'!$B$39*$B7*$C7*COS($K$63)-($N$62/3)*$E7*SIN($K$63)-($N$62/3)*$F7*SIN($K$63)-($N$62/3)*$G7*SIN($K$63)</f>
        <v>288193.113136439</v>
      </c>
      <c r="BC7" s="79">
        <f>IF(($A7&lt;'Alternative 3'!$B$27),(($H7*'Alternative 3'!$B$39)+(3*($N$62/3)*COS($K$63))),IF(($A7&lt;'Alternative 3'!$B$28),(($H7*'Alternative 3'!$B$39)+(2*(($N$62/3)*COS($K$63)))),IF(($A7&lt;'Alternative 3'!$B$29),(($H$3*'Alternative 3'!$B$39+(($N$62/3)*COS($K$63)))),($H7*'Alternative 3'!$B$39))))</f>
        <v>335015.32038847794</v>
      </c>
      <c r="BD7" s="78">
        <f>BB7*'Alternative 3'!$K8/'Alternative 3'!$L8</f>
        <v>4511736.2743709739</v>
      </c>
      <c r="BE7" s="78">
        <f>BC7/'Alternative 3'!$M8</f>
        <v>104894.89590088597</v>
      </c>
      <c r="BF7" s="78">
        <f t="shared" si="8"/>
        <v>4.6166311702718597</v>
      </c>
      <c r="BH7" s="78">
        <f>'Alternative 3'!$B$39*$B7*$C7*COS($K$73)-($N$72/3)*$E7*SIN($K$73)-($N$72/3)*$F7*SIN($K$73)-($N$72/3)*$G7*SIN($K$73)</f>
        <v>179789.36806586164</v>
      </c>
      <c r="BI7" s="79">
        <f>IF(($A7&lt;'Alternative 3'!$B$27),(($H7*'Alternative 3'!$B$39)+(3*($N$72/3)*COS($K$73))),IF(($A7&lt;'Alternative 3'!$B$28),(($H7*'Alternative 3'!$B$39)+(2*(($N$72/3)*COS($K$73)))),IF(($A7&lt;'Alternative 3'!$B$29),(($H$3*'Alternative 3'!$B$39+(($N$72/3)*COS($K$73)))),($H7*'Alternative 3'!$B$39))))</f>
        <v>299598.91199844709</v>
      </c>
      <c r="BJ7" s="78">
        <f>BH7*'Alternative 3'!$K8/'Alternative 3'!$L8</f>
        <v>2814648.1531810737</v>
      </c>
      <c r="BK7" s="78">
        <f>BI7/'Alternative 3'!$M8</f>
        <v>93805.849385199166</v>
      </c>
      <c r="BL7" s="78">
        <f t="shared" si="9"/>
        <v>2.9084540025662728</v>
      </c>
      <c r="BN7" s="78">
        <f>'Alternative 3'!$B$39*$B7*$C7*COS($K$83)-($N$82/3)*$E7*SIN($K$83)-($N$82/3)*$F7*SIN($K$83)-($N$82/3)*$G7*SIN($K$83)</f>
        <v>61129.353949070792</v>
      </c>
      <c r="BO7" s="79">
        <f>IF(($A7&lt;'Alternative 3'!$B$27),(($H7*'Alternative 3'!$B$39)+(3*($N$82/3)*COS($K$83))),IF(($A7&lt;'Alternative 3'!$B$28),(($H7*'Alternative 3'!$B$39)+(2*(($N$82/3)*COS($K$83)))),IF(($A7&lt;'Alternative 3'!$B$29),(($H$3*'Alternative 3'!$B$39+(($N$82/3)*COS($K$83)))),($H7*'Alternative 3'!$B$39))))</f>
        <v>279175.43375862535</v>
      </c>
      <c r="BP7" s="78">
        <f>BN7*'Alternative 3'!$K8/'Alternative 3'!$L8</f>
        <v>956995.53899580415</v>
      </c>
      <c r="BQ7" s="78">
        <f>BO7/'Alternative 3'!$M8</f>
        <v>87411.160863444646</v>
      </c>
      <c r="BR7" s="78">
        <f t="shared" si="10"/>
        <v>1.0444066998592487</v>
      </c>
      <c r="BT7" s="78">
        <f>'Alternative 3'!$B$39*$B7*$C7*COS($K$93)-($K$92/3)*$E7*SIN($K$93)-($K$92/3)*$F7*SIN($K$93)-($K$92/3)*$G7*SIN($K$93)</f>
        <v>-26.924612593832496</v>
      </c>
      <c r="BU7" s="79">
        <f>IF(($A7&lt;'Alternative 3'!$B$27),(($H7*'Alternative 3'!$B$39)+(3*($N$92/3)*COS($K$93))),IF(($A7&lt;'Alternative 3'!$B$28),(($H7*'Alternative 3'!$B$39)+(2*(($N$92/3)*COS($K$93)))),IF(($A7&lt;'Alternative 3'!$B$29),(($H$3*'Alternative 3'!$B$39+(($N$92/3)*COS($K$93)))),($H7*'Alternative 3'!$B$39))))</f>
        <v>272106.58366667695</v>
      </c>
      <c r="BV7" s="78">
        <f>BT7*'Alternative 3'!$K8/'Alternative 3'!$L8</f>
        <v>-421.51163846677002</v>
      </c>
      <c r="BW7" s="78">
        <f>BU7/'Alternative 3'!$M8</f>
        <v>85197.870158786478</v>
      </c>
      <c r="BX7" s="78">
        <f t="shared" si="11"/>
        <v>8.4776358520319714E-2</v>
      </c>
      <c r="BZ7" s="77">
        <v>150</v>
      </c>
      <c r="CA7" s="77">
        <v>-150</v>
      </c>
    </row>
    <row r="8" spans="1:79" ht="15" customHeight="1" x14ac:dyDescent="0.25">
      <c r="A8" s="13">
        <f>IF('Alternative 3'!F9&gt;0,'Alternative 3'!F9,"x")</f>
        <v>6</v>
      </c>
      <c r="B8" s="13">
        <f t="shared" si="17"/>
        <v>31</v>
      </c>
      <c r="C8" s="13">
        <f t="shared" si="12"/>
        <v>15.5</v>
      </c>
      <c r="D8" s="13">
        <f t="shared" si="13"/>
        <v>6</v>
      </c>
      <c r="E8" s="74">
        <f>IF($A8&lt;='Alternative 3'!$B$27, IF($A8='Alternative 3'!$B$27,0,E9+1),0)</f>
        <v>10</v>
      </c>
      <c r="F8" s="74">
        <f>IF($A8&lt;=('Alternative 3'!$B$28), IF($A8=ROUNDDOWN('Alternative 3'!$B$28,0),0,F9+1),0)</f>
        <v>16</v>
      </c>
      <c r="G8" s="74">
        <f>IF($A8&lt;=('Alternative 3'!$B$29), IF($A8=ROUNDDOWN('Alternative 3'!$B$29,0),0,G9+1),0)</f>
        <v>23</v>
      </c>
      <c r="H8" s="13">
        <f t="shared" si="14"/>
        <v>31</v>
      </c>
      <c r="J8" s="77">
        <f t="shared" si="15"/>
        <v>5</v>
      </c>
      <c r="K8" s="77">
        <f t="shared" si="16"/>
        <v>8.7266462599716474E-2</v>
      </c>
      <c r="L8" s="78">
        <f>'Alternative 3'!$B$27*SIN(K8)+'Alternative 3'!$B$28*SIN(K8)+'Alternative 3'!$B$29*SIN(K8)</f>
        <v>5.9265905068407552</v>
      </c>
      <c r="M8" s="77">
        <f>(('Alternative 3'!$B$27)*(((('Alternative 3'!$B$28-'Alternative 3'!$B$27)/2)+'Alternative 3'!$B$27)*'Alternative 3'!$B$39)*COS('Alternative 3-Tilt Up'!K8))+(('Alternative 3'!$B$28)*((('Alternative 3'!$B$28-'Alternative 3'!$B$27)/2)+(('Alternative 3'!$B$29-'Alternative 3'!$B$28)/2))*('Alternative 3'!$B$39)*COS('Alternative 3-Tilt Up'!K8))+(('Alternative 3'!$B$29)*((('Alternative 3'!$B$12-'Alternative 3'!$B$29+(('Alternative 3'!$B$29-'Alternative 3'!$B$28)/2)*('Alternative 3'!$B$39)*COS('Alternative 3-Tilt Up'!K8)))))</f>
        <v>4728052.7770724511</v>
      </c>
      <c r="N8" s="77">
        <f t="shared" si="0"/>
        <v>2393308.3135818671</v>
      </c>
      <c r="O8" s="77">
        <f>(((('Alternative 3'!$B$28-'Alternative 3'!$B$27)/2)+'Alternative 3'!$B$27)*('Alternative 3'!$B$39)*COS('Alternative 3-Tilt Up'!K8))+(((('Alternative 3'!$B$28-'Alternative 3'!$B$27)/2)+(('Alternative 3'!$B$29-'Alternative 3'!$B$28)/2))*('Alternative 3'!$B$39)*COS('Alternative 3-Tilt Up'!K8))+(((('Alternative 3'!$B$12-'Alternative 3'!$B$29)+(('Alternative 3'!$B$29-'Alternative 3'!$B$28)/2))*('Alternative 3'!$B$39)*COS('Alternative 3-Tilt Up'!K8)))</f>
        <v>304955.0279601767</v>
      </c>
      <c r="P8" s="77">
        <f t="shared" si="1"/>
        <v>2384201.0528891529</v>
      </c>
      <c r="R8" s="78">
        <f>'Alternative 3'!$B$39*$B8*$C8*COS($K$5)-($N$5/3)*$E8*SIN($K$5)-($N$5/3)*$F8*SIN($K$5)-($N$5/3)*$G8*SIN($K$5)</f>
        <v>665451.93639688706</v>
      </c>
      <c r="S8" s="79">
        <f>IF(($A8&lt;'Alternative 3'!$B$27),(($H8*'Alternative 3'!$B$39)+(3*($N$5/3)*COS($K$5))),IF(($A8&lt;'Alternative 3'!$B$28),(($H8*'Alternative 3'!$B$39)+(2*(($N$5/3)*COS($K$5)))),IF(($A8&lt;'Alternative 3'!$B$29),(($H$3*'Alternative 3'!$B$39+(($N$5/3)*COS($K$5)))),($H8*'Alternative 3'!$B$39))))</f>
        <v>6256018.8841508701</v>
      </c>
      <c r="T8" s="78">
        <f>R8*'Alternative 3'!$K9/'Alternative 3'!$L9</f>
        <v>10626397.259030014</v>
      </c>
      <c r="U8" s="78">
        <f>S8/'Alternative 3'!$M9</f>
        <v>1998006.912421857</v>
      </c>
      <c r="V8" s="78">
        <f t="shared" si="2"/>
        <v>12.62440417145187</v>
      </c>
      <c r="X8" s="78">
        <f>'Alternative 3'!$B$39*$B8*$C8*COS($K$13)-($N$12/3)*$E8*SIN($K$13)-($N$12/3)*$F8*SIN($K$13)-($N$12/3)*$G8*SIN($K$13)</f>
        <v>274192.82459821063</v>
      </c>
      <c r="Y8" s="79">
        <f>IF(($A8&lt;'Alternative 3'!$B$27),(($H8*'Alternative 3'!$B$39)+(3*($N$12/3)*COS($K$13))),IF(($A8&lt;'Alternative 3'!$B$28),(($H8*'Alternative 3'!$B$39)+(2*(($N$12/3)*COS($K$13)))),IF(($A8&lt;'Alternative 3'!$B$29),(($H$3*'Alternative 3'!$B$39+(($N$12/3)*COS($K$13)))),($H8*'Alternative 3'!$B$39))))</f>
        <v>1565538.9389537929</v>
      </c>
      <c r="Z8" s="78">
        <f>X8*'Alternative 3'!$K9/'Alternative 3'!$L9</f>
        <v>4378500.8659413578</v>
      </c>
      <c r="AA8" s="78">
        <f>Y8/'Alternative 3'!$M9</f>
        <v>499991.7167161518</v>
      </c>
      <c r="AB8" s="78">
        <f t="shared" si="3"/>
        <v>4.8784925826575094</v>
      </c>
      <c r="AD8" s="78">
        <f>'Alternative 3'!$B$39*$B8*$C8*COS($K$23)-($N$22/3)*$E8*SIN($K$23)-($N$22/3)*$F8*SIN($K$23)-($N$22/3)*$G8*SIN($K$23)</f>
        <v>442361.31475133379</v>
      </c>
      <c r="AE8" s="79">
        <f>IF(($A8&lt;'Alternative 3'!$B$27),(($H8*'Alternative 3'!$B$39)+(3*($N$22/3)*COS($K$23))),IF(($A8&lt;'Alternative 3'!$B$28),(($H8*'Alternative 3'!$B$39)+(2*(($N$22/3)*COS($K$23)))),IF(($A8&lt;'Alternative 3'!$B$29),(($H$3*'Alternative 3'!$B$39+(($N$22/3)*COS($K$23)))),($H8*'Alternative 3'!$B$39))))</f>
        <v>835036.30808530527</v>
      </c>
      <c r="AF8" s="78">
        <f>AD8*'Alternative 3'!$K9/'Alternative 3'!$L9</f>
        <v>7063931.7514449377</v>
      </c>
      <c r="AG8" s="78">
        <f>AE8/'Alternative 3'!$M9</f>
        <v>266688.50375507149</v>
      </c>
      <c r="AH8" s="78">
        <f t="shared" si="4"/>
        <v>7.3306202552000093</v>
      </c>
      <c r="AJ8" s="78">
        <f>'Alternative 3'!$B$39*$B8*$C8*COS($K$33)-($N$32/3)*$E8*SIN($K$33)-($N$32/3)*$F8*SIN($K$33)-($N$32/3)*$G8*SIN($K$33)</f>
        <v>453516.88656830229</v>
      </c>
      <c r="AK8" s="79">
        <f>IF(($A8&lt;'Alternative 3'!$B$27),(($H8*'Alternative 3'!$B$39)+(3*($N$32/3)*COS($K$33))),IF(($A8&lt;'Alternative 3'!$B$28),(($H8*'Alternative 3'!$B$39)+(2*(($N$32/3)*COS($K$33)))),IF(($A8&lt;'Alternative 3'!$B$29),(($H$3*'Alternative 3'!$B$39+(($N$32/3)*COS($K$33)))),($H8*'Alternative 3'!$B$39))))</f>
        <v>590741.70237167517</v>
      </c>
      <c r="AL8" s="78">
        <f>AJ8*'Alternative 3'!$K9/'Alternative 3'!$L9</f>
        <v>7242071.645996307</v>
      </c>
      <c r="AM8" s="78">
        <f>AK8/'Alternative 3'!$M9</f>
        <v>188667.27013639209</v>
      </c>
      <c r="AN8" s="78">
        <f t="shared" si="5"/>
        <v>7.4307389161326984</v>
      </c>
      <c r="AP8" s="78">
        <f>'Alternative 3'!$B$39*$B8*$C8*COS($K$43)-($N$42/3)*$E8*SIN($K$43)-($N$42/3)*$F8*SIN($K$43)-($N$42/3)*$G8*SIN($K$43)</f>
        <v>415200.71380613325</v>
      </c>
      <c r="AQ8" s="79">
        <f>IF(($A8&lt;'Alternative 3'!$B$27),(($H8*'Alternative 3'!$B$39)+(3*($N$42/3)*COS($K$43))),IF(($A8&lt;'Alternative 3'!$B$28),(($H8*'Alternative 3'!$B$39)+(2*(($N$42/3)*COS($K$43)))),IF(($A8&lt;'Alternative 3'!$B$29),(($H$3*'Alternative 3'!$B$39+(($N$42/3)*COS($K$43)))),($H8*'Alternative 3'!$B$39))))</f>
        <v>461683.08258329809</v>
      </c>
      <c r="AR8" s="78">
        <f>AP8*'Alternative 3'!$K9/'Alternative 3'!$L9</f>
        <v>6630212.4703794606</v>
      </c>
      <c r="AS8" s="78">
        <f>AQ8/'Alternative 3'!$M9</f>
        <v>147449.36155589376</v>
      </c>
      <c r="AT8" s="78">
        <f t="shared" si="6"/>
        <v>6.7776618319353545</v>
      </c>
      <c r="AV8" s="78">
        <f>'Alternative 3'!$B$39*$B8*$C8*COS($K$53)-($N$52/3)*$E8*SIN($K$53)-($N$52/3)*$F8*SIN($K$53)-($N$52/3)*$G8*SIN($K$53)</f>
        <v>348869.64225228294</v>
      </c>
      <c r="AW8" s="79">
        <f>IF(($A8&lt;'Alternative 3'!$B$27),(($H8*'Alternative 3'!$B$39)+(3*($N$52/3)*COS($K$53))),IF(($A8&lt;'Alternative 3'!$B$28),(($H8*'Alternative 3'!$B$39)+(2*(($N$52/3)*COS($K$53)))),IF(($A8&lt;'Alternative 3'!$B$29),(($H$3*'Alternative 3'!$B$39+(($N$52/3)*COS($K$53)))),($H8*'Alternative 3'!$B$39))))</f>
        <v>380604.44826115685</v>
      </c>
      <c r="AX8" s="78">
        <f>AV8*'Alternative 3'!$K9/'Alternative 3'!$L9</f>
        <v>5570991.9941947348</v>
      </c>
      <c r="AY8" s="78">
        <f>AW8/'Alternative 3'!$M9</f>
        <v>121554.99089857917</v>
      </c>
      <c r="AZ8" s="78">
        <f t="shared" si="7"/>
        <v>5.6925469850933146</v>
      </c>
      <c r="BB8" s="78">
        <f>'Alternative 3'!$B$39*$B8*$C8*COS($K$63)-($N$62/3)*$E8*SIN($K$63)-($N$62/3)*$F8*SIN($K$63)-($N$62/3)*$G8*SIN($K$63)</f>
        <v>263226.78223012993</v>
      </c>
      <c r="BC8" s="79">
        <f>IF(($A8&lt;'Alternative 3'!$B$27),(($H8*'Alternative 3'!$B$39)+(3*($N$62/3)*COS($K$63))),IF(($A8&lt;'Alternative 3'!$B$28),(($H8*'Alternative 3'!$B$39)+(2*(($N$62/3)*COS($K$63)))),IF(($A8&lt;'Alternative 3'!$B$29),(($H$3*'Alternative 3'!$B$39+(($N$62/3)*COS($K$63)))),($H8*'Alternative 3'!$B$39))))</f>
        <v>326511.98964889429</v>
      </c>
      <c r="BD8" s="78">
        <f>BB8*'Alternative 3'!$K9/'Alternative 3'!$L9</f>
        <v>4203387.5088542439</v>
      </c>
      <c r="BE8" s="78">
        <f>BC8/'Alternative 3'!$M9</f>
        <v>104279.29077385631</v>
      </c>
      <c r="BF8" s="78">
        <f t="shared" si="8"/>
        <v>4.3076667996281</v>
      </c>
      <c r="BH8" s="78">
        <f>'Alternative 3'!$B$39*$B8*$C8*COS($K$73)-($N$72/3)*$E8*SIN($K$73)-($N$72/3)*$F8*SIN($K$73)-($N$72/3)*$G8*SIN($K$73)</f>
        <v>163712.1418192467</v>
      </c>
      <c r="BI8" s="79">
        <f>IF(($A8&lt;'Alternative 3'!$B$27),(($H8*'Alternative 3'!$B$39)+(3*($N$72/3)*COS($K$73))),IF(($A8&lt;'Alternative 3'!$B$28),(($H8*'Alternative 3'!$B$39)+(2*(($N$72/3)*COS($K$73)))),IF(($A8&lt;'Alternative 3'!$B$29),(($H$3*'Alternative 3'!$B$39+(($N$72/3)*COS($K$73)))),($H8*'Alternative 3'!$B$39))))</f>
        <v>291095.58125886344</v>
      </c>
      <c r="BJ8" s="78">
        <f>BH8*'Alternative 3'!$K9/'Alternative 3'!$L9</f>
        <v>2614268.8298684382</v>
      </c>
      <c r="BK8" s="78">
        <f>BI8/'Alternative 3'!$M9</f>
        <v>92968.226966854767</v>
      </c>
      <c r="BL8" s="78">
        <f t="shared" si="9"/>
        <v>2.707237056835293</v>
      </c>
      <c r="BN8" s="78">
        <f>'Alternative 3'!$B$39*$B8*$C8*COS($K$83)-($N$82/3)*$E8*SIN($K$83)-($N$82/3)*$F8*SIN($K$83)-($N$82/3)*$G8*SIN($K$83)</f>
        <v>54706.276519762119</v>
      </c>
      <c r="BO8" s="79">
        <f>IF(($A8&lt;'Alternative 3'!$B$27),(($H8*'Alternative 3'!$B$39)+(3*($N$82/3)*COS($K$83))),IF(($A8&lt;'Alternative 3'!$B$28),(($H8*'Alternative 3'!$B$39)+(2*(($N$82/3)*COS($K$83)))),IF(($A8&lt;'Alternative 3'!$B$29),(($H$3*'Alternative 3'!$B$39+(($N$82/3)*COS($K$83)))),($H8*'Alternative 3'!$B$39))))</f>
        <v>270672.10301904171</v>
      </c>
      <c r="BP8" s="78">
        <f>BN8*'Alternative 3'!$K9/'Alternative 3'!$L9</f>
        <v>873587.70042653033</v>
      </c>
      <c r="BQ8" s="78">
        <f>BO8/'Alternative 3'!$M9</f>
        <v>86445.508373047342</v>
      </c>
      <c r="BR8" s="78">
        <f t="shared" si="10"/>
        <v>0.96003320879957765</v>
      </c>
      <c r="BT8" s="78">
        <f>'Alternative 3'!$B$39*$B8*$C8*COS($K$93)-($K$92/3)*$E8*SIN($K$93)-($K$92/3)*$F8*SIN($K$93)-($K$92/3)*$G8*SIN($K$93)</f>
        <v>-25.37126955957395</v>
      </c>
      <c r="BU8" s="79">
        <f>IF(($A8&lt;'Alternative 3'!$B$27),(($H8*'Alternative 3'!$B$39)+(3*($N$92/3)*COS($K$93))),IF(($A8&lt;'Alternative 3'!$B$28),(($H8*'Alternative 3'!$B$39)+(2*(($N$92/3)*COS($K$93)))),IF(($A8&lt;'Alternative 3'!$B$29),(($H$3*'Alternative 3'!$B$39+(($N$92/3)*COS($K$93)))),($H8*'Alternative 3'!$B$39))))</f>
        <v>263603.2529270933</v>
      </c>
      <c r="BV8" s="78">
        <f>BT8*'Alternative 3'!$K9/'Alternative 3'!$L9</f>
        <v>-405.14599862126045</v>
      </c>
      <c r="BW8" s="78">
        <f>BU8/'Alternative 3'!$M9</f>
        <v>84187.904678408915</v>
      </c>
      <c r="BX8" s="78">
        <f t="shared" si="11"/>
        <v>8.3782758679787656E-2</v>
      </c>
      <c r="BZ8" s="77">
        <v>150</v>
      </c>
      <c r="CA8" s="77">
        <v>-150</v>
      </c>
    </row>
    <row r="9" spans="1:79" ht="15" customHeight="1" x14ac:dyDescent="0.25">
      <c r="A9" s="13">
        <f>IF('Alternative 3'!F10&gt;0,'Alternative 3'!F10,"x")</f>
        <v>7</v>
      </c>
      <c r="B9" s="13">
        <f t="shared" si="17"/>
        <v>30</v>
      </c>
      <c r="C9" s="13">
        <f t="shared" si="12"/>
        <v>15</v>
      </c>
      <c r="D9" s="13">
        <f t="shared" si="13"/>
        <v>7</v>
      </c>
      <c r="E9" s="74">
        <f>IF($A9&lt;='Alternative 3'!$B$27, IF($A9='Alternative 3'!$B$27,0,E10+1),0)</f>
        <v>9</v>
      </c>
      <c r="F9" s="74">
        <f>IF($A9&lt;=('Alternative 3'!$B$28), IF($A9=ROUNDDOWN('Alternative 3'!$B$28,0),0,F10+1),0)</f>
        <v>15</v>
      </c>
      <c r="G9" s="74">
        <f>IF($A9&lt;=('Alternative 3'!$B$29), IF($A9=ROUNDDOWN('Alternative 3'!$B$29,0),0,G10+1),0)</f>
        <v>22</v>
      </c>
      <c r="H9" s="13">
        <f t="shared" si="14"/>
        <v>30</v>
      </c>
      <c r="J9" s="77">
        <f t="shared" si="15"/>
        <v>6</v>
      </c>
      <c r="K9" s="77">
        <f t="shared" si="16"/>
        <v>0.10471975511965977</v>
      </c>
      <c r="L9" s="78">
        <f>'Alternative 3'!$B$27*SIN(K9)+'Alternative 3'!$B$28*SIN(K9)+'Alternative 3'!$B$29*SIN(K9)</f>
        <v>7.1079355022004354</v>
      </c>
      <c r="M9" s="77">
        <f>(('Alternative 3'!$B$27)*(((('Alternative 3'!$B$28-'Alternative 3'!$B$27)/2)+'Alternative 3'!$B$27)*'Alternative 3'!$B$39)*COS('Alternative 3-Tilt Up'!K9))+(('Alternative 3'!$B$28)*((('Alternative 3'!$B$28-'Alternative 3'!$B$27)/2)+(('Alternative 3'!$B$29-'Alternative 3'!$B$28)/2))*('Alternative 3'!$B$39)*COS('Alternative 3-Tilt Up'!K9))+(('Alternative 3'!$B$29)*((('Alternative 3'!$B$12-'Alternative 3'!$B$29+(('Alternative 3'!$B$29-'Alternative 3'!$B$28)/2)*('Alternative 3'!$B$39)*COS('Alternative 3-Tilt Up'!K9)))))</f>
        <v>4720113.7945370898</v>
      </c>
      <c r="N9" s="77">
        <f t="shared" si="0"/>
        <v>1992187.6583190139</v>
      </c>
      <c r="O9" s="77">
        <f>(((('Alternative 3'!$B$28-'Alternative 3'!$B$27)/2)+'Alternative 3'!$B$27)*('Alternative 3'!$B$39)*COS('Alternative 3-Tilt Up'!K9))+(((('Alternative 3'!$B$28-'Alternative 3'!$B$27)/2)+(('Alternative 3'!$B$29-'Alternative 3'!$B$28)/2))*('Alternative 3'!$B$39)*COS('Alternative 3-Tilt Up'!K9))+(((('Alternative 3'!$B$12-'Alternative 3'!$B$29)+(('Alternative 3'!$B$29-'Alternative 3'!$B$28)/2))*('Alternative 3'!$B$39)*COS('Alternative 3-Tilt Up'!K9)))</f>
        <v>304442.94974666531</v>
      </c>
      <c r="P9" s="77">
        <f t="shared" si="1"/>
        <v>1981274.2458807076</v>
      </c>
      <c r="R9" s="78">
        <f>'Alternative 3'!$B$39*$B9*$C9*COS($K$5)-($N$5/3)*$E9*SIN($K$5)-($N$5/3)*$F9*SIN($K$5)-($N$5/3)*$G9*SIN($K$5)</f>
        <v>615518.10377599089</v>
      </c>
      <c r="S9" s="79">
        <f>IF(($A9&lt;'Alternative 3'!$B$27),(($H9*'Alternative 3'!$B$39)+(3*($N$5/3)*COS($K$5))),IF(($A9&lt;'Alternative 3'!$B$28),(($H9*'Alternative 3'!$B$39)+(2*(($N$5/3)*COS($K$5)))),IF(($A9&lt;'Alternative 3'!$B$29),(($H$3*'Alternative 3'!$B$39+(($N$5/3)*COS($K$5)))),($H9*'Alternative 3'!$B$39))))</f>
        <v>6247515.5534112863</v>
      </c>
      <c r="T9" s="78">
        <f>R9*'Alternative 3'!$K10/'Alternative 3'!$L10</f>
        <v>10027799.002435122</v>
      </c>
      <c r="U9" s="78">
        <f>S9/'Alternative 3'!$M10</f>
        <v>2035643.4692870143</v>
      </c>
      <c r="V9" s="78">
        <f t="shared" si="2"/>
        <v>12.063442471722135</v>
      </c>
      <c r="X9" s="78">
        <f>'Alternative 3'!$B$39*$B9*$C9*COS($K$13)-($N$12/3)*$E9*SIN($K$13)-($N$12/3)*$F9*SIN($K$13)-($N$12/3)*$G9*SIN($K$13)</f>
        <v>248347.75900944672</v>
      </c>
      <c r="Y9" s="79">
        <f>IF(($A9&lt;'Alternative 3'!$B$27),(($H9*'Alternative 3'!$B$39)+(3*($N$12/3)*COS($K$13))),IF(($A9&lt;'Alternative 3'!$B$28),(($H9*'Alternative 3'!$B$39)+(2*(($N$12/3)*COS($K$13)))),IF(($A9&lt;'Alternative 3'!$B$29),(($H$3*'Alternative 3'!$B$39+(($N$12/3)*COS($K$13)))),($H9*'Alternative 3'!$B$39))))</f>
        <v>1557035.6082142093</v>
      </c>
      <c r="Z9" s="78">
        <f>X9*'Alternative 3'!$K10/'Alternative 3'!$L10</f>
        <v>4045992.1402381151</v>
      </c>
      <c r="AA9" s="78">
        <f>Y9/'Alternative 3'!$M10</f>
        <v>507332.7693562815</v>
      </c>
      <c r="AB9" s="78">
        <f t="shared" si="3"/>
        <v>4.5533249095943962</v>
      </c>
      <c r="AD9" s="78">
        <f>'Alternative 3'!$B$39*$B9*$C9*COS($K$23)-($N$22/3)*$E9*SIN($K$23)-($N$22/3)*$F9*SIN($K$23)-($N$22/3)*$G9*SIN($K$23)</f>
        <v>406635.16468801256</v>
      </c>
      <c r="AE9" s="79">
        <f>IF(($A9&lt;'Alternative 3'!$B$27),(($H9*'Alternative 3'!$B$39)+(3*($N$22/3)*COS($K$23))),IF(($A9&lt;'Alternative 3'!$B$28),(($H9*'Alternative 3'!$B$39)+(2*(($N$22/3)*COS($K$23)))),IF(($A9&lt;'Alternative 3'!$B$29),(($H$3*'Alternative 3'!$B$39+(($N$22/3)*COS($K$23)))),($H9*'Alternative 3'!$B$39))))</f>
        <v>826532.97734572156</v>
      </c>
      <c r="AF9" s="78">
        <f>AD9*'Alternative 3'!$K10/'Alternative 3'!$L10</f>
        <v>6624753.4780837223</v>
      </c>
      <c r="AG9" s="78">
        <f>AE9/'Alternative 3'!$M10</f>
        <v>269311.28751899977</v>
      </c>
      <c r="AH9" s="78">
        <f t="shared" si="4"/>
        <v>6.8940647656027219</v>
      </c>
      <c r="AJ9" s="78">
        <f>'Alternative 3'!$B$39*$B9*$C9*COS($K$33)-($N$32/3)*$E9*SIN($K$33)-($N$32/3)*$F9*SIN($K$33)-($N$32/3)*$G9*SIN($K$33)</f>
        <v>417785.29508096073</v>
      </c>
      <c r="AK9" s="79">
        <f>IF(($A9&lt;'Alternative 3'!$B$27),(($H9*'Alternative 3'!$B$39)+(3*($N$32/3)*COS($K$33))),IF(($A9&lt;'Alternative 3'!$B$28),(($H9*'Alternative 3'!$B$39)+(2*(($N$32/3)*COS($K$33)))),IF(($A9&lt;'Alternative 3'!$B$29),(($H$3*'Alternative 3'!$B$39+(($N$32/3)*COS($K$33)))),($H9*'Alternative 3'!$B$39))))</f>
        <v>582238.37163209147</v>
      </c>
      <c r="AL9" s="78">
        <f>AJ9*'Alternative 3'!$K10/'Alternative 3'!$L10</f>
        <v>6806407.3819177505</v>
      </c>
      <c r="AM9" s="78">
        <f>AK9/'Alternative 3'!$M10</f>
        <v>189712.17096594663</v>
      </c>
      <c r="AN9" s="78">
        <f t="shared" si="5"/>
        <v>6.9961195528836964</v>
      </c>
      <c r="AP9" s="78">
        <f>'Alternative 3'!$B$39*$B9*$C9*COS($K$43)-($N$42/3)*$E9*SIN($K$43)-($N$42/3)*$F9*SIN($K$43)-($N$42/3)*$G9*SIN($K$43)</f>
        <v>382734.58335195761</v>
      </c>
      <c r="AQ9" s="79">
        <f>IF(($A9&lt;'Alternative 3'!$B$27),(($H9*'Alternative 3'!$B$39)+(3*($N$42/3)*COS($K$43))),IF(($A9&lt;'Alternative 3'!$B$28),(($H9*'Alternative 3'!$B$39)+(2*(($N$42/3)*COS($K$43)))),IF(($A9&lt;'Alternative 3'!$B$29),(($H$3*'Alternative 3'!$B$39+(($N$42/3)*COS($K$43)))),($H9*'Alternative 3'!$B$39))))</f>
        <v>453179.75184371439</v>
      </c>
      <c r="AR9" s="78">
        <f>AP9*'Alternative 3'!$K10/'Alternative 3'!$L10</f>
        <v>6235373.825058056</v>
      </c>
      <c r="AS9" s="78">
        <f>AQ9/'Alternative 3'!$M10</f>
        <v>147660.68117270299</v>
      </c>
      <c r="AT9" s="78">
        <f t="shared" si="6"/>
        <v>6.3830345062307599</v>
      </c>
      <c r="AV9" s="78">
        <f>'Alternative 3'!$B$39*$B9*$C9*COS($K$53)-($N$52/3)*$E9*SIN($K$53)-($N$52/3)*$F9*SIN($K$53)-($N$52/3)*$G9*SIN($K$53)</f>
        <v>321598.2500951027</v>
      </c>
      <c r="AW9" s="79">
        <f>IF(($A9&lt;'Alternative 3'!$B$27),(($H9*'Alternative 3'!$B$39)+(3*($N$52/3)*COS($K$53))),IF(($A9&lt;'Alternative 3'!$B$28),(($H9*'Alternative 3'!$B$39)+(2*(($N$52/3)*COS($K$53)))),IF(($A9&lt;'Alternative 3'!$B$29),(($H$3*'Alternative 3'!$B$39+(($N$52/3)*COS($K$53)))),($H9*'Alternative 3'!$B$39))))</f>
        <v>372101.11752157321</v>
      </c>
      <c r="AX9" s="78">
        <f>AV9*'Alternative 3'!$K10/'Alternative 3'!$L10</f>
        <v>5239362.7282524519</v>
      </c>
      <c r="AY9" s="78">
        <f>AW9/'Alternative 3'!$M10</f>
        <v>121242.62890127533</v>
      </c>
      <c r="AZ9" s="78">
        <f t="shared" si="7"/>
        <v>5.3606053571537267</v>
      </c>
      <c r="BB9" s="78">
        <f>'Alternative 3'!$B$39*$B9*$C9*COS($K$63)-($N$62/3)*$E9*SIN($K$63)-($N$62/3)*$F9*SIN($K$63)-($N$62/3)*$G9*SIN($K$63)</f>
        <v>242512.11669361242</v>
      </c>
      <c r="BC9" s="79">
        <f>IF(($A9&lt;'Alternative 3'!$B$27),(($H9*'Alternative 3'!$B$39)+(3*($N$62/3)*COS($K$63))),IF(($A9&lt;'Alternative 3'!$B$28),(($H9*'Alternative 3'!$B$39)+(2*(($N$62/3)*COS($K$63)))),IF(($A9&lt;'Alternative 3'!$B$29),(($H$3*'Alternative 3'!$B$39+(($N$62/3)*COS($K$63)))),($H9*'Alternative 3'!$B$39))))</f>
        <v>318008.65890931064</v>
      </c>
      <c r="BD9" s="78">
        <f>BB9*'Alternative 3'!$K10/'Alternative 3'!$L10</f>
        <v>3950919.9598517059</v>
      </c>
      <c r="BE9" s="78">
        <f>BC9/'Alternative 3'!$M10</f>
        <v>103617.54911230125</v>
      </c>
      <c r="BF9" s="78">
        <f t="shared" si="8"/>
        <v>4.0545375089640077</v>
      </c>
      <c r="BH9" s="78">
        <f>'Alternative 3'!$B$39*$B9*$C9*COS($K$73)-($N$72/3)*$E9*SIN($K$73)-($N$72/3)*$F9*SIN($K$73)-($N$72/3)*$G9*SIN($K$73)</f>
        <v>150543.22597092972</v>
      </c>
      <c r="BI9" s="79">
        <f>IF(($A9&lt;'Alternative 3'!$B$27),(($H9*'Alternative 3'!$B$39)+(3*($N$72/3)*COS($K$73))),IF(($A9&lt;'Alternative 3'!$B$28),(($H9*'Alternative 3'!$B$39)+(2*(($N$72/3)*COS($K$73)))),IF(($A9&lt;'Alternative 3'!$B$29),(($H$3*'Alternative 3'!$B$39+(($N$72/3)*COS($K$73)))),($H9*'Alternative 3'!$B$39))))</f>
        <v>282592.2505192798</v>
      </c>
      <c r="BJ9" s="78">
        <f>BH9*'Alternative 3'!$K10/'Alternative 3'!$L10</f>
        <v>2452595.9544547494</v>
      </c>
      <c r="BK9" s="78">
        <f>BI9/'Alternative 3'!$M10</f>
        <v>92077.733032067175</v>
      </c>
      <c r="BL9" s="78">
        <f t="shared" si="9"/>
        <v>2.5446736874868168</v>
      </c>
      <c r="BN9" s="78">
        <f>'Alternative 3'!$B$39*$B9*$C9*COS($K$83)-($N$82/3)*$E9*SIN($K$83)-($N$82/3)*$F9*SIN($K$83)-($N$82/3)*$G9*SIN($K$83)</f>
        <v>49759.786977481213</v>
      </c>
      <c r="BO9" s="79">
        <f>IF(($A9&lt;'Alternative 3'!$B$27),(($H9*'Alternative 3'!$B$39)+(3*($N$82/3)*COS($K$83))),IF(($A9&lt;'Alternative 3'!$B$28),(($H9*'Alternative 3'!$B$39)+(2*(($N$82/3)*COS($K$83)))),IF(($A9&lt;'Alternative 3'!$B$29),(($H$3*'Alternative 3'!$B$39+(($N$82/3)*COS($K$83)))),($H9*'Alternative 3'!$B$39))))</f>
        <v>262168.772279458</v>
      </c>
      <c r="BP9" s="78">
        <f>BN9*'Alternative 3'!$K10/'Alternative 3'!$L10</f>
        <v>810668.50699125393</v>
      </c>
      <c r="BQ9" s="78">
        <f>BO9/'Alternative 3'!$M10</f>
        <v>85423.1005235786</v>
      </c>
      <c r="BR9" s="78">
        <f t="shared" si="10"/>
        <v>0.89609160751483252</v>
      </c>
      <c r="BT9" s="78">
        <f>'Alternative 3'!$B$39*$B9*$C9*COS($K$93)-($K$92/3)*$E9*SIN($K$93)-($K$92/3)*$F9*SIN($K$93)-($K$92/3)*$G9*SIN($K$93)</f>
        <v>-23.817926525314881</v>
      </c>
      <c r="BU9" s="79">
        <f>IF(($A9&lt;'Alternative 3'!$B$27),(($H9*'Alternative 3'!$B$39)+(3*($N$92/3)*COS($K$93))),IF(($A9&lt;'Alternative 3'!$B$28),(($H9*'Alternative 3'!$B$39)+(2*(($N$92/3)*COS($K$93)))),IF(($A9&lt;'Alternative 3'!$B$29),(($H$3*'Alternative 3'!$B$39+(($N$92/3)*COS($K$93)))),($H9*'Alternative 3'!$B$39))))</f>
        <v>255099.92218750963</v>
      </c>
      <c r="BV9" s="78">
        <f>BT9*'Alternative 3'!$K10/'Alternative 3'!$L10</f>
        <v>-388.03307065286339</v>
      </c>
      <c r="BW9" s="78">
        <f>BU9/'Alternative 3'!$M10</f>
        <v>83119.839586967326</v>
      </c>
      <c r="BX9" s="78">
        <f t="shared" si="11"/>
        <v>8.2731806516314468E-2</v>
      </c>
      <c r="BZ9" s="77">
        <v>150</v>
      </c>
      <c r="CA9" s="77">
        <v>-150</v>
      </c>
    </row>
    <row r="10" spans="1:79" ht="15" customHeight="1" x14ac:dyDescent="0.25">
      <c r="A10" s="13">
        <f>IF('Alternative 3'!F11&gt;0,'Alternative 3'!F11,"x")</f>
        <v>8</v>
      </c>
      <c r="B10" s="13">
        <f t="shared" si="17"/>
        <v>29</v>
      </c>
      <c r="C10" s="13">
        <f t="shared" si="12"/>
        <v>14.5</v>
      </c>
      <c r="D10" s="13">
        <f t="shared" si="13"/>
        <v>8</v>
      </c>
      <c r="E10" s="74">
        <f>IF($A10&lt;='Alternative 3'!$B$27, IF($A10='Alternative 3'!$B$27,0,E11+1),0)</f>
        <v>8</v>
      </c>
      <c r="F10" s="74">
        <f>IF($A10&lt;=('Alternative 3'!$B$28), IF($A10=ROUNDDOWN('Alternative 3'!$B$28,0),0,F11+1),0)</f>
        <v>14</v>
      </c>
      <c r="G10" s="74">
        <f>IF($A10&lt;=('Alternative 3'!$B$29), IF($A10=ROUNDDOWN('Alternative 3'!$B$29,0),0,G11+1),0)</f>
        <v>21</v>
      </c>
      <c r="H10" s="13">
        <f t="shared" si="14"/>
        <v>29</v>
      </c>
      <c r="J10" s="77">
        <f t="shared" si="15"/>
        <v>7</v>
      </c>
      <c r="K10" s="77">
        <f t="shared" si="16"/>
        <v>0.12217304763960307</v>
      </c>
      <c r="L10" s="78">
        <f>'Alternative 3'!$B$27*SIN(K10)+'Alternative 3'!$B$28*SIN(K10)+'Alternative 3'!$B$29*SIN(K10)</f>
        <v>8.2871153515500282</v>
      </c>
      <c r="M10" s="77">
        <f>(('Alternative 3'!$B$27)*(((('Alternative 3'!$B$28-'Alternative 3'!$B$27)/2)+'Alternative 3'!$B$27)*'Alternative 3'!$B$39)*COS('Alternative 3-Tilt Up'!K10))+(('Alternative 3'!$B$28)*((('Alternative 3'!$B$28-'Alternative 3'!$B$27)/2)+(('Alternative 3'!$B$29-'Alternative 3'!$B$28)/2))*('Alternative 3'!$B$39)*COS('Alternative 3-Tilt Up'!K10))+(('Alternative 3'!$B$29)*((('Alternative 3'!$B$12-'Alternative 3'!$B$29+(('Alternative 3'!$B$29-'Alternative 3'!$B$28)/2)*('Alternative 3'!$B$39)*COS('Alternative 3-Tilt Up'!K10)))))</f>
        <v>4710737.0792062711</v>
      </c>
      <c r="N10" s="77">
        <f t="shared" si="0"/>
        <v>1705323.3408867072</v>
      </c>
      <c r="O10" s="77">
        <f>(((('Alternative 3'!$B$28-'Alternative 3'!$B$27)/2)+'Alternative 3'!$B$27)*('Alternative 3'!$B$39)*COS('Alternative 3-Tilt Up'!K10))+(((('Alternative 3'!$B$28-'Alternative 3'!$B$27)/2)+(('Alternative 3'!$B$29-'Alternative 3'!$B$28)/2))*('Alternative 3'!$B$39)*COS('Alternative 3-Tilt Up'!K10))+(((('Alternative 3'!$B$12-'Alternative 3'!$B$29)+(('Alternative 3'!$B$29-'Alternative 3'!$B$28)/2))*('Alternative 3'!$B$39)*COS('Alternative 3-Tilt Up'!K10)))</f>
        <v>303838.13526145602</v>
      </c>
      <c r="P10" s="77">
        <f t="shared" si="1"/>
        <v>1692612.1193012234</v>
      </c>
      <c r="R10" s="78">
        <f>'Alternative 3'!$B$39*$B10*$C10*COS($K$5)-($N$5/3)*$E10*SIN($K$5)-($N$5/3)*$F10*SIN($K$5)-($N$5/3)*$G10*SIN($K$5)</f>
        <v>574082.42189534474</v>
      </c>
      <c r="S10" s="79">
        <f>IF(($A10&lt;'Alternative 3'!$B$27),(($H10*'Alternative 3'!$B$39)+(3*($N$5/3)*COS($K$5))),IF(($A10&lt;'Alternative 3'!$B$28),(($H10*'Alternative 3'!$B$39)+(2*(($N$5/3)*COS($K$5)))),IF(($A10&lt;'Alternative 3'!$B$29),(($H$3*'Alternative 3'!$B$39+(($N$5/3)*COS($K$5)))),($H10*'Alternative 3'!$B$39))))</f>
        <v>6239012.2226717025</v>
      </c>
      <c r="T10" s="78">
        <f>R10*'Alternative 3'!$K11/'Alternative 3'!$L11</f>
        <v>9543823.6154718492</v>
      </c>
      <c r="U10" s="78">
        <f>S10/'Alternative 3'!$M11</f>
        <v>2074405.1047934899</v>
      </c>
      <c r="V10" s="78">
        <f t="shared" si="2"/>
        <v>11.618228720265341</v>
      </c>
      <c r="X10" s="78">
        <f>'Alternative 3'!$B$39*$B10*$C10*COS($K$13)-($N$12/3)*$E10*SIN($K$13)-($N$12/3)*$F10*SIN($K$13)-($N$12/3)*$G10*SIN($K$13)</f>
        <v>230876.83945945278</v>
      </c>
      <c r="Y10" s="79">
        <f>IF(($A10&lt;'Alternative 3'!$B$27),(($H10*'Alternative 3'!$B$39)+(3*($N$12/3)*COS($K$13))),IF(($A10&lt;'Alternative 3'!$B$28),(($H10*'Alternative 3'!$B$39)+(2*(($N$12/3)*COS($K$13)))),IF(($A10&lt;'Alternative 3'!$B$29),(($H$3*'Alternative 3'!$B$39+(($N$12/3)*COS($K$13)))),($H10*'Alternative 3'!$B$39))))</f>
        <v>1548532.2774746255</v>
      </c>
      <c r="Z10" s="78">
        <f>X10*'Alternative 3'!$K11/'Alternative 3'!$L11</f>
        <v>3838208.1538464478</v>
      </c>
      <c r="AA10" s="78">
        <f>Y10/'Alternative 3'!$M11</f>
        <v>514870.48697514355</v>
      </c>
      <c r="AB10" s="78">
        <f t="shared" si="3"/>
        <v>4.3530786408215913</v>
      </c>
      <c r="AD10" s="78">
        <f>'Alternative 3'!$B$39*$B10*$C10*COS($K$23)-($N$22/3)*$E10*SIN($K$23)-($N$22/3)*$F10*SIN($K$23)-($N$22/3)*$G10*SIN($K$23)</f>
        <v>378899.53177278093</v>
      </c>
      <c r="AE10" s="79">
        <f>IF(($A10&lt;'Alternative 3'!$B$27),(($H10*'Alternative 3'!$B$39)+(3*($N$22/3)*COS($K$23))),IF(($A10&lt;'Alternative 3'!$B$28),(($H10*'Alternative 3'!$B$39)+(2*(($N$22/3)*COS($K$23)))),IF(($A10&lt;'Alternative 3'!$B$29),(($H$3*'Alternative 3'!$B$39+(($N$22/3)*COS($K$23)))),($H10*'Alternative 3'!$B$39))))</f>
        <v>818029.64660613798</v>
      </c>
      <c r="AF10" s="78">
        <f>AD10*'Alternative 3'!$K11/'Alternative 3'!$L11</f>
        <v>6299008.9250346664</v>
      </c>
      <c r="AG10" s="78">
        <f>AE10/'Alternative 3'!$M11</f>
        <v>271986.14367604512</v>
      </c>
      <c r="AH10" s="78">
        <f t="shared" si="4"/>
        <v>6.5709950687107117</v>
      </c>
      <c r="AJ10" s="78">
        <f>'Alternative 3'!$B$39*$B10*$C10*COS($K$33)-($N$32/3)*$E10*SIN($K$33)-($N$32/3)*$F10*SIN($K$33)-($N$32/3)*$G10*SIN($K$33)</f>
        <v>389417.80403088033</v>
      </c>
      <c r="AK10" s="79">
        <f>IF(($A10&lt;'Alternative 3'!$B$27),(($H10*'Alternative 3'!$B$39)+(3*($N$32/3)*COS($K$33))),IF(($A10&lt;'Alternative 3'!$B$28),(($H10*'Alternative 3'!$B$39)+(2*(($N$32/3)*COS($K$33)))),IF(($A10&lt;'Alternative 3'!$B$29),(($H$3*'Alternative 3'!$B$39+(($N$32/3)*COS($K$33)))),($H10*'Alternative 3'!$B$39))))</f>
        <v>573735.04089250788</v>
      </c>
      <c r="AL10" s="78">
        <f>AJ10*'Alternative 3'!$K11/'Alternative 3'!$L11</f>
        <v>6473869.7661650907</v>
      </c>
      <c r="AM10" s="78">
        <f>AK10/'Alternative 3'!$M11</f>
        <v>190760.78955278339</v>
      </c>
      <c r="AN10" s="78">
        <f t="shared" si="5"/>
        <v>6.6646305557178742</v>
      </c>
      <c r="AP10" s="78">
        <f>'Alternative 3'!$B$39*$B10*$C10*COS($K$43)-($N$42/3)*$E10*SIN($K$43)-($N$42/3)*$F10*SIN($K$43)-($N$42/3)*$G10*SIN($K$43)</f>
        <v>356782.3821588424</v>
      </c>
      <c r="AQ10" s="79">
        <f>IF(($A10&lt;'Alternative 3'!$B$27),(($H10*'Alternative 3'!$B$39)+(3*($N$42/3)*COS($K$43))),IF(($A10&lt;'Alternative 3'!$B$28),(($H10*'Alternative 3'!$B$39)+(2*(($N$42/3)*COS($K$43)))),IF(($A10&lt;'Alternative 3'!$B$29),(($H$3*'Alternative 3'!$B$39+(($N$42/3)*COS($K$43)))),($H10*'Alternative 3'!$B$39))))</f>
        <v>444676.42110413074</v>
      </c>
      <c r="AR10" s="78">
        <f>AP10*'Alternative 3'!$K11/'Alternative 3'!$L11</f>
        <v>5931322.741410478</v>
      </c>
      <c r="AS10" s="78">
        <f>AQ10/'Alternative 3'!$M11</f>
        <v>147850.17323218141</v>
      </c>
      <c r="AT10" s="78">
        <f t="shared" si="6"/>
        <v>6.0791729146426592</v>
      </c>
      <c r="AV10" s="78">
        <f>'Alternative 3'!$B$39*$B10*$C10*COS($K$53)-($N$52/3)*$E10*SIN($K$53)-($N$52/3)*$F10*SIN($K$53)-($N$52/3)*$G10*SIN($K$53)</f>
        <v>299792.69357839413</v>
      </c>
      <c r="AW10" s="79">
        <f>IF(($A10&lt;'Alternative 3'!$B$27),(($H10*'Alternative 3'!$B$39)+(3*($N$52/3)*COS($K$53))),IF(($A10&lt;'Alternative 3'!$B$28),(($H10*'Alternative 3'!$B$39)+(2*(($N$52/3)*COS($K$53)))),IF(($A10&lt;'Alternative 3'!$B$29),(($H$3*'Alternative 3'!$B$39+(($N$52/3)*COS($K$53)))),($H10*'Alternative 3'!$B$39))))</f>
        <v>363597.78678198956</v>
      </c>
      <c r="AX10" s="78">
        <f>AV10*'Alternative 3'!$K11/'Alternative 3'!$L11</f>
        <v>4983898.6173330089</v>
      </c>
      <c r="AY10" s="78">
        <f>AW10/'Alternative 3'!$M11</f>
        <v>120892.3909864029</v>
      </c>
      <c r="AZ10" s="78">
        <f t="shared" si="7"/>
        <v>5.1047910083194115</v>
      </c>
      <c r="BB10" s="78">
        <f>'Alternative 3'!$B$39*$B10*$C10*COS($K$63)-($N$62/3)*$E10*SIN($K$63)-($N$62/3)*$F10*SIN($K$63)-($N$62/3)*$G10*SIN($K$63)</f>
        <v>226049.1165268867</v>
      </c>
      <c r="BC10" s="79">
        <f>IF(($A10&lt;'Alternative 3'!$B$27),(($H10*'Alternative 3'!$B$39)+(3*($N$62/3)*COS($K$63))),IF(($A10&lt;'Alternative 3'!$B$28),(($H10*'Alternative 3'!$B$39)+(2*(($N$62/3)*COS($K$63)))),IF(($A10&lt;'Alternative 3'!$B$29),(($H$3*'Alternative 3'!$B$39+(($N$62/3)*COS($K$63)))),($H10*'Alternative 3'!$B$39))))</f>
        <v>309505.328169727</v>
      </c>
      <c r="BD10" s="78">
        <f>BB10*'Alternative 3'!$K11/'Alternative 3'!$L11</f>
        <v>3757949.7547464338</v>
      </c>
      <c r="BE10" s="78">
        <f>BC10/'Alternative 3'!$M11</f>
        <v>102907.22470185008</v>
      </c>
      <c r="BF10" s="78">
        <f t="shared" si="8"/>
        <v>3.8608569794482839</v>
      </c>
      <c r="BH10" s="78">
        <f>'Alternative 3'!$B$39*$B10*$C10*COS($K$73)-($N$72/3)*$E10*SIN($K$73)-($N$72/3)*$F10*SIN($K$73)-($N$72/3)*$G10*SIN($K$73)</f>
        <v>140282.6205209106</v>
      </c>
      <c r="BI10" s="79">
        <f>IF(($A10&lt;'Alternative 3'!$B$27),(($H10*'Alternative 3'!$B$39)+(3*($N$72/3)*COS($K$73))),IF(($A10&lt;'Alternative 3'!$B$28),(($H10*'Alternative 3'!$B$39)+(2*(($N$72/3)*COS($K$73)))),IF(($A10&lt;'Alternative 3'!$B$29),(($H$3*'Alternative 3'!$B$39+(($N$72/3)*COS($K$73)))),($H10*'Alternative 3'!$B$39))))</f>
        <v>274088.91977969615</v>
      </c>
      <c r="BJ10" s="78">
        <f>BH10*'Alternative 3'!$K11/'Alternative 3'!$L11</f>
        <v>2332126.0772060566</v>
      </c>
      <c r="BK10" s="78">
        <f>BI10/'Alternative 3'!$M11</f>
        <v>91131.646175050832</v>
      </c>
      <c r="BL10" s="78">
        <f t="shared" si="9"/>
        <v>2.423257723381107</v>
      </c>
      <c r="BN10" s="78">
        <f>'Alternative 3'!$B$39*$B10*$C10*COS($K$83)-($N$82/3)*$E10*SIN($K$83)-($N$82/3)*$F10*SIN($K$83)-($N$82/3)*$G10*SIN($K$83)</f>
        <v>46289.885322228016</v>
      </c>
      <c r="BO10" s="79">
        <f>IF(($A10&lt;'Alternative 3'!$B$27),(($H10*'Alternative 3'!$B$39)+(3*($N$82/3)*COS($K$83))),IF(($A10&lt;'Alternative 3'!$B$28),(($H10*'Alternative 3'!$B$39)+(2*(($N$82/3)*COS($K$83)))),IF(($A10&lt;'Alternative 3'!$B$29),(($H$3*'Alternative 3'!$B$39+(($N$82/3)*COS($K$83)))),($H10*'Alternative 3'!$B$39))))</f>
        <v>253665.44153987436</v>
      </c>
      <c r="BP10" s="78">
        <f>BN10*'Alternative 3'!$K11/'Alternative 3'!$L11</f>
        <v>769545.42387347389</v>
      </c>
      <c r="BQ10" s="78">
        <f>BO10/'Alternative 3'!$M11</f>
        <v>84341.057215412176</v>
      </c>
      <c r="BR10" s="78">
        <f t="shared" si="10"/>
        <v>0.85388648108888598</v>
      </c>
      <c r="BT10" s="78">
        <f>'Alternative 3'!$B$39*$B10*$C10*COS($K$93)-($K$92/3)*$E10*SIN($K$93)-($K$92/3)*$F10*SIN($K$93)-($K$92/3)*$G10*SIN($K$93)</f>
        <v>-22.264583491055298</v>
      </c>
      <c r="BU10" s="79">
        <f>IF(($A10&lt;'Alternative 3'!$B$27),(($H10*'Alternative 3'!$B$39)+(3*($N$92/3)*COS($K$93))),IF(($A10&lt;'Alternative 3'!$B$28),(($H10*'Alternative 3'!$B$39)+(2*(($N$92/3)*COS($K$93)))),IF(($A10&lt;'Alternative 3'!$B$29),(($H$3*'Alternative 3'!$B$39+(($N$92/3)*COS($K$93)))),($H10*'Alternative 3'!$B$39))))</f>
        <v>246596.59144792598</v>
      </c>
      <c r="BV10" s="78">
        <f>BT10*'Alternative 3'!$K11/'Alternative 3'!$L11</f>
        <v>-370.13719564699551</v>
      </c>
      <c r="BW10" s="78">
        <f>BU10/'Alternative 3'!$M11</f>
        <v>81990.739858688306</v>
      </c>
      <c r="BX10" s="78">
        <f t="shared" si="11"/>
        <v>8.1620602663041317E-2</v>
      </c>
      <c r="BZ10" s="77">
        <v>150</v>
      </c>
      <c r="CA10" s="77">
        <v>-150</v>
      </c>
    </row>
    <row r="11" spans="1:79" ht="15" customHeight="1" x14ac:dyDescent="0.25">
      <c r="A11" s="13">
        <f>IF('Alternative 3'!F12&gt;0,'Alternative 3'!F12,"x")</f>
        <v>9</v>
      </c>
      <c r="B11" s="13">
        <f t="shared" si="17"/>
        <v>28</v>
      </c>
      <c r="C11" s="13">
        <f t="shared" si="12"/>
        <v>14</v>
      </c>
      <c r="D11" s="13">
        <f t="shared" si="13"/>
        <v>9</v>
      </c>
      <c r="E11" s="74">
        <f>IF($A11&lt;='Alternative 3'!$B$27, IF($A11='Alternative 3'!$B$27,0,E12+1),0)</f>
        <v>7</v>
      </c>
      <c r="F11" s="74">
        <f>IF($A11&lt;=('Alternative 3'!$B$28), IF($A11=ROUNDDOWN('Alternative 3'!$B$28,0),0,F12+1),0)</f>
        <v>13</v>
      </c>
      <c r="G11" s="74">
        <f>IF($A11&lt;=('Alternative 3'!$B$29), IF($A11=ROUNDDOWN('Alternative 3'!$B$29,0),0,G12+1),0)</f>
        <v>20</v>
      </c>
      <c r="H11" s="13">
        <f t="shared" si="14"/>
        <v>28</v>
      </c>
      <c r="J11" s="77">
        <f t="shared" si="15"/>
        <v>8</v>
      </c>
      <c r="K11" s="77">
        <f t="shared" si="16"/>
        <v>0.13962634015954636</v>
      </c>
      <c r="L11" s="78">
        <f>'Alternative 3'!$B$27*SIN(K11)+'Alternative 3'!$B$28*SIN(K11)+'Alternative 3'!$B$29*SIN(K11)</f>
        <v>9.4637708652844506</v>
      </c>
      <c r="M11" s="77">
        <f>(('Alternative 3'!$B$27)*(((('Alternative 3'!$B$28-'Alternative 3'!$B$27)/2)+'Alternative 3'!$B$27)*'Alternative 3'!$B$39)*COS('Alternative 3-Tilt Up'!K11))+(('Alternative 3'!$B$28)*((('Alternative 3'!$B$28-'Alternative 3'!$B$27)/2)+(('Alternative 3'!$B$29-'Alternative 3'!$B$28)/2))*('Alternative 3'!$B$39)*COS('Alternative 3-Tilt Up'!K11))+(('Alternative 3'!$B$29)*((('Alternative 3'!$B$12-'Alternative 3'!$B$29+(('Alternative 3'!$B$29-'Alternative 3'!$B$28)/2)*('Alternative 3'!$B$39)*COS('Alternative 3-Tilt Up'!K11)))))</f>
        <v>4699925.4873183202</v>
      </c>
      <c r="N11" s="77">
        <f t="shared" si="0"/>
        <v>1489868.7492188313</v>
      </c>
      <c r="O11" s="77">
        <f>(((('Alternative 3'!$B$28-'Alternative 3'!$B$27)/2)+'Alternative 3'!$B$27)*('Alternative 3'!$B$39)*COS('Alternative 3-Tilt Up'!K11))+(((('Alternative 3'!$B$28-'Alternative 3'!$B$27)/2)+(('Alternative 3'!$B$29-'Alternative 3'!$B$28)/2))*('Alternative 3'!$B$39)*COS('Alternative 3-Tilt Up'!K11))+(((('Alternative 3'!$B$12-'Alternative 3'!$B$29)+(('Alternative 3'!$B$29-'Alternative 3'!$B$28)/2))*('Alternative 3'!$B$39)*COS('Alternative 3-Tilt Up'!K11)))</f>
        <v>303140.76873690006</v>
      </c>
      <c r="P11" s="77">
        <f t="shared" si="1"/>
        <v>1475369.4489673511</v>
      </c>
      <c r="R11" s="78">
        <f>'Alternative 3'!$B$39*$B11*$C11*COS($K$5)-($N$5/3)*$E11*SIN($K$5)-($N$5/3)*$F11*SIN($K$5)-($N$5/3)*$G11*SIN($K$5)</f>
        <v>541144.89075494837</v>
      </c>
      <c r="S11" s="79">
        <f>IF(($A11&lt;'Alternative 3'!$B$27),(($H11*'Alternative 3'!$B$39)+(3*($N$5/3)*COS($K$5))),IF(($A11&lt;'Alternative 3'!$B$28),(($H11*'Alternative 3'!$B$39)+(2*(($N$5/3)*COS($K$5)))),IF(($A11&lt;'Alternative 3'!$B$29),(($H$3*'Alternative 3'!$B$39+(($N$5/3)*COS($K$5)))),($H11*'Alternative 3'!$B$39))))</f>
        <v>6230508.8919321187</v>
      </c>
      <c r="T11" s="78">
        <f>R11*'Alternative 3'!$K12/'Alternative 3'!$L12</f>
        <v>9181947.6163110603</v>
      </c>
      <c r="U11" s="78">
        <f>S11/'Alternative 3'!$M12</f>
        <v>2114337.6798425773</v>
      </c>
      <c r="V11" s="78">
        <f t="shared" si="2"/>
        <v>11.296285296153638</v>
      </c>
      <c r="X11" s="78">
        <f>'Alternative 3'!$B$39*$B11*$C11*COS($K$13)-($N$12/3)*$E11*SIN($K$13)-($N$12/3)*$F11*SIN($K$13)-($N$12/3)*$G11*SIN($K$13)</f>
        <v>221780.06594822835</v>
      </c>
      <c r="Y11" s="79">
        <f>IF(($A11&lt;'Alternative 3'!$B$27),(($H11*'Alternative 3'!$B$39)+(3*($N$12/3)*COS($K$13))),IF(($A11&lt;'Alternative 3'!$B$28),(($H11*'Alternative 3'!$B$39)+(2*(($N$12/3)*COS($K$13)))),IF(($A11&lt;'Alternative 3'!$B$29),(($H$3*'Alternative 3'!$B$39+(($N$12/3)*COS($K$13)))),($H11*'Alternative 3'!$B$39))))</f>
        <v>1540028.9467350419</v>
      </c>
      <c r="Z11" s="78">
        <f>X11*'Alternative 3'!$K12/'Alternative 3'!$L12</f>
        <v>3763082.6469371477</v>
      </c>
      <c r="AA11" s="78">
        <f>Y11/'Alternative 3'!$M12</f>
        <v>522612.40399585199</v>
      </c>
      <c r="AB11" s="78">
        <f t="shared" si="3"/>
        <v>4.2856950509329996</v>
      </c>
      <c r="AD11" s="78">
        <f>'Alternative 3'!$B$39*$B11*$C11*COS($K$23)-($N$22/3)*$E11*SIN($K$23)-($N$22/3)*$F11*SIN($K$23)-($N$22/3)*$G11*SIN($K$23)</f>
        <v>359154.41600563843</v>
      </c>
      <c r="AE11" s="79">
        <f>IF(($A11&lt;'Alternative 3'!$B$27),(($H11*'Alternative 3'!$B$39)+(3*($N$22/3)*COS($K$23))),IF(($A11&lt;'Alternative 3'!$B$28),(($H11*'Alternative 3'!$B$39)+(2*(($N$22/3)*COS($K$23)))),IF(($A11&lt;'Alternative 3'!$B$29),(($H$3*'Alternative 3'!$B$39+(($N$22/3)*COS($K$23)))),($H11*'Alternative 3'!$B$39))))</f>
        <v>809526.31586655427</v>
      </c>
      <c r="AF11" s="78">
        <f>AD11*'Alternative 3'!$K12/'Alternative 3'!$L12</f>
        <v>6094000.1287453836</v>
      </c>
      <c r="AG11" s="78">
        <f>AE11/'Alternative 3'!$M12</f>
        <v>274714.63762408955</v>
      </c>
      <c r="AH11" s="78">
        <f t="shared" si="4"/>
        <v>6.3687147663694734</v>
      </c>
      <c r="AJ11" s="78">
        <f>'Alternative 3'!$B$39*$B11*$C11*COS($K$33)-($N$32/3)*$E11*SIN($K$33)-($N$32/3)*$F11*SIN($K$33)-($N$32/3)*$G11*SIN($K$33)</f>
        <v>368414.4134180604</v>
      </c>
      <c r="AK11" s="79">
        <f>IF(($A11&lt;'Alternative 3'!$B$27),(($H11*'Alternative 3'!$B$39)+(3*($N$32/3)*COS($K$33))),IF(($A11&lt;'Alternative 3'!$B$28),(($H11*'Alternative 3'!$B$39)+(2*(($N$32/3)*COS($K$33)))),IF(($A11&lt;'Alternative 3'!$B$29),(($H$3*'Alternative 3'!$B$39+(($N$32/3)*COS($K$33)))),($H11*'Alternative 3'!$B$39))))</f>
        <v>565231.71015292418</v>
      </c>
      <c r="AL11" s="78">
        <f>AJ11*'Alternative 3'!$K12/'Alternative 3'!$L12</f>
        <v>6251120.3614605386</v>
      </c>
      <c r="AM11" s="78">
        <f>AK11/'Alternative 3'!$M12</f>
        <v>191812.69513405362</v>
      </c>
      <c r="AN11" s="78">
        <f t="shared" si="5"/>
        <v>6.4429330565945921</v>
      </c>
      <c r="AP11" s="78">
        <f>'Alternative 3'!$B$39*$B11*$C11*COS($K$43)-($N$42/3)*$E11*SIN($K$43)-($N$42/3)*$F11*SIN($K$43)-($N$42/3)*$G11*SIN($K$43)</f>
        <v>337344.11022678809</v>
      </c>
      <c r="AQ11" s="79">
        <f>IF(($A11&lt;'Alternative 3'!$B$27),(($H11*'Alternative 3'!$B$39)+(3*($N$42/3)*COS($K$43))),IF(($A11&lt;'Alternative 3'!$B$28),(($H11*'Alternative 3'!$B$39)+(2*(($N$42/3)*COS($K$43)))),IF(($A11&lt;'Alternative 3'!$B$29),(($H$3*'Alternative 3'!$B$39+(($N$42/3)*COS($K$43)))),($H11*'Alternative 3'!$B$39))))</f>
        <v>436173.0903645471</v>
      </c>
      <c r="AR11" s="78">
        <f>AP11*'Alternative 3'!$K12/'Alternative 3'!$L12</f>
        <v>5723930.8763539465</v>
      </c>
      <c r="AS11" s="78">
        <f>AQ11/'Alternative 3'!$M12</f>
        <v>148016.35241790948</v>
      </c>
      <c r="AT11" s="78">
        <f t="shared" si="6"/>
        <v>5.8719472287718562</v>
      </c>
      <c r="AV11" s="78">
        <f>'Alternative 3'!$B$39*$B11*$C11*COS($K$53)-($N$52/3)*$E11*SIN($K$53)-($N$52/3)*$F11*SIN($K$53)-($N$52/3)*$G11*SIN($K$53)</f>
        <v>283452.97270215664</v>
      </c>
      <c r="AW11" s="79">
        <f>IF(($A11&lt;'Alternative 3'!$B$27),(($H11*'Alternative 3'!$B$39)+(3*($N$52/3)*COS($K$53))),IF(($A11&lt;'Alternative 3'!$B$28),(($H11*'Alternative 3'!$B$39)+(2*(($N$52/3)*COS($K$53)))),IF(($A11&lt;'Alternative 3'!$B$29),(($H$3*'Alternative 3'!$B$39+(($N$52/3)*COS($K$53)))),($H11*'Alternative 3'!$B$39))))</f>
        <v>355094.45604240592</v>
      </c>
      <c r="AX11" s="78">
        <f>AV11*'Alternative 3'!$K12/'Alternative 3'!$L12</f>
        <v>4809525.8617482409</v>
      </c>
      <c r="AY11" s="78">
        <f>AW11/'Alternative 3'!$M12</f>
        <v>120502.12933422813</v>
      </c>
      <c r="AZ11" s="78">
        <f t="shared" si="7"/>
        <v>4.9300279910824694</v>
      </c>
      <c r="BB11" s="78">
        <f>'Alternative 3'!$B$39*$B11*$C11*COS($K$63)-($N$62/3)*$E11*SIN($K$63)-($N$62/3)*$F11*SIN($K$63)-($N$62/3)*$G11*SIN($K$63)</f>
        <v>213837.78172995278</v>
      </c>
      <c r="BC11" s="79">
        <f>IF(($A11&lt;'Alternative 3'!$B$27),(($H11*'Alternative 3'!$B$39)+(3*($N$62/3)*COS($K$63))),IF(($A11&lt;'Alternative 3'!$B$28),(($H11*'Alternative 3'!$B$39)+(2*(($N$62/3)*COS($K$63)))),IF(($A11&lt;'Alternative 3'!$B$29),(($H$3*'Alternative 3'!$B$39+(($N$62/3)*COS($K$63)))),($H11*'Alternative 3'!$B$39))))</f>
        <v>301001.99743014335</v>
      </c>
      <c r="BD11" s="78">
        <f>BB11*'Alternative 3'!$K12/'Alternative 3'!$L12</f>
        <v>3628320.8873937433</v>
      </c>
      <c r="BE11" s="78">
        <f>BC11/'Alternative 3'!$M12</f>
        <v>102145.72772675604</v>
      </c>
      <c r="BF11" s="78">
        <f t="shared" si="8"/>
        <v>3.7304666151204993</v>
      </c>
      <c r="BH11" s="78">
        <f>'Alternative 3'!$B$39*$B11*$C11*COS($K$73)-($N$72/3)*$E11*SIN($K$73)-($N$72/3)*$F11*SIN($K$73)-($N$72/3)*$G11*SIN($K$73)</f>
        <v>132930.32546918961</v>
      </c>
      <c r="BI11" s="79">
        <f>IF(($A11&lt;'Alternative 3'!$B$27),(($H11*'Alternative 3'!$B$39)+(3*($N$72/3)*COS($K$73))),IF(($A11&lt;'Alternative 3'!$B$28),(($H11*'Alternative 3'!$B$39)+(2*(($N$72/3)*COS($K$73)))),IF(($A11&lt;'Alternative 3'!$B$29),(($H$3*'Alternative 3'!$B$39+(($N$72/3)*COS($K$73)))),($H11*'Alternative 3'!$B$39))))</f>
        <v>265585.58904011251</v>
      </c>
      <c r="BJ11" s="78">
        <f>BH11*'Alternative 3'!$K12/'Alternative 3'!$L12</f>
        <v>2255512.9059326109</v>
      </c>
      <c r="BK11" s="78">
        <f>BI11/'Alternative 3'!$M12</f>
        <v>90127.087188308215</v>
      </c>
      <c r="BL11" s="78">
        <f t="shared" si="9"/>
        <v>2.3456399931209191</v>
      </c>
      <c r="BN11" s="78">
        <f>'Alternative 3'!$B$39*$B11*$C11*COS($K$83)-($N$82/3)*$E11*SIN($K$83)-($N$82/3)*$F11*SIN($K$83)-($N$82/3)*$G11*SIN($K$83)</f>
        <v>44296.571554003109</v>
      </c>
      <c r="BO11" s="79">
        <f>IF(($A11&lt;'Alternative 3'!$B$27),(($H11*'Alternative 3'!$B$39)+(3*($N$82/3)*COS($K$83))),IF(($A11&lt;'Alternative 3'!$B$28),(($H11*'Alternative 3'!$B$39)+(2*(($N$82/3)*COS($K$83)))),IF(($A11&lt;'Alternative 3'!$B$29),(($H$3*'Alternative 3'!$B$39+(($N$82/3)*COS($K$83)))),($H11*'Alternative 3'!$B$39))))</f>
        <v>245162.11080029071</v>
      </c>
      <c r="BP11" s="78">
        <f>BN11*'Alternative 3'!$K12/'Alternative 3'!$L12</f>
        <v>751607.94556076452</v>
      </c>
      <c r="BQ11" s="78">
        <f>BO11/'Alternative 3'!$M12</f>
        <v>83196.33235834293</v>
      </c>
      <c r="BR11" s="78">
        <f t="shared" si="10"/>
        <v>0.8348042779191075</v>
      </c>
      <c r="BT11" s="78">
        <f>'Alternative 3'!$B$39*$B11*$C11*COS($K$93)-($K$92/3)*$E11*SIN($K$93)-($K$92/3)*$F11*SIN($K$93)-($K$92/3)*$G11*SIN($K$93)</f>
        <v>-20.711240456795188</v>
      </c>
      <c r="BU11" s="79">
        <f>IF(($A11&lt;'Alternative 3'!$B$27),(($H11*'Alternative 3'!$B$39)+(3*($N$92/3)*COS($K$93))),IF(($A11&lt;'Alternative 3'!$B$28),(($H11*'Alternative 3'!$B$39)+(2*(($N$92/3)*COS($K$93)))),IF(($A11&lt;'Alternative 3'!$B$29),(($H$3*'Alternative 3'!$B$39+(($N$92/3)*COS($K$93)))),($H11*'Alternative 3'!$B$39))))</f>
        <v>238093.26070834234</v>
      </c>
      <c r="BV11" s="78">
        <f>BT11*'Alternative 3'!$K12/'Alternative 3'!$L12</f>
        <v>-351.42071595245272</v>
      </c>
      <c r="BW11" s="78">
        <f>BU11/'Alternative 3'!$M12</f>
        <v>80797.501642938834</v>
      </c>
      <c r="BX11" s="78">
        <f t="shared" si="11"/>
        <v>8.044608092698638E-2</v>
      </c>
      <c r="BZ11" s="77">
        <v>150</v>
      </c>
      <c r="CA11" s="77">
        <v>-150</v>
      </c>
    </row>
    <row r="12" spans="1:79" ht="15" customHeight="1" x14ac:dyDescent="0.25">
      <c r="A12" s="13">
        <f>IF('Alternative 3'!F13&gt;0,'Alternative 3'!F13,"x")</f>
        <v>10</v>
      </c>
      <c r="B12" s="13">
        <f t="shared" si="17"/>
        <v>27</v>
      </c>
      <c r="C12" s="13">
        <f t="shared" si="12"/>
        <v>13.5</v>
      </c>
      <c r="D12" s="13">
        <f t="shared" si="13"/>
        <v>10</v>
      </c>
      <c r="E12" s="74">
        <f>IF($A12&lt;='Alternative 3'!$B$27, IF($A12='Alternative 3'!$B$27,0,E13+1),0)</f>
        <v>6</v>
      </c>
      <c r="F12" s="74">
        <f>IF($A12&lt;=('Alternative 3'!$B$28), IF($A12=ROUNDDOWN('Alternative 3'!$B$28,0),0,F13+1),0)</f>
        <v>12</v>
      </c>
      <c r="G12" s="74">
        <f>IF($A12&lt;=('Alternative 3'!$B$29), IF($A12=ROUNDDOWN('Alternative 3'!$B$29,0),0,G13+1),0)</f>
        <v>19</v>
      </c>
      <c r="H12" s="13">
        <f t="shared" si="14"/>
        <v>27</v>
      </c>
      <c r="J12" s="77">
        <f t="shared" si="15"/>
        <v>9</v>
      </c>
      <c r="K12" s="77">
        <f t="shared" si="16"/>
        <v>0.15707963267948966</v>
      </c>
      <c r="L12" s="78">
        <f>'Alternative 3'!$B$27*SIN(K12)+'Alternative 3'!$B$28*SIN(K12)+'Alternative 3'!$B$29*SIN(K12)</f>
        <v>10.637543622735699</v>
      </c>
      <c r="M12" s="77">
        <f>(('Alternative 3'!$B$27)*(((('Alternative 3'!$B$28-'Alternative 3'!$B$27)/2)+'Alternative 3'!$B$27)*'Alternative 3'!$B$39)*COS('Alternative 3-Tilt Up'!K12))+(('Alternative 3'!$B$28)*((('Alternative 3'!$B$28-'Alternative 3'!$B$27)/2)+(('Alternative 3'!$B$29-'Alternative 3'!$B$28)/2))*('Alternative 3'!$B$39)*COS('Alternative 3-Tilt Up'!K12))+(('Alternative 3'!$B$29)*((('Alternative 3'!$B$12-'Alternative 3'!$B$29+(('Alternative 3'!$B$29-'Alternative 3'!$B$28)/2)*('Alternative 3'!$B$39)*COS('Alternative 3-Tilt Up'!K12)))))</f>
        <v>4687682.3121888591</v>
      </c>
      <c r="N12" s="82">
        <f t="shared" si="0"/>
        <v>1322020.1425552347</v>
      </c>
      <c r="O12" s="77">
        <f>(((('Alternative 3'!$B$28-'Alternative 3'!$B$27)/2)+'Alternative 3'!$B$27)*('Alternative 3'!$B$39)*COS('Alternative 3-Tilt Up'!K12))+(((('Alternative 3'!$B$28-'Alternative 3'!$B$27)/2)+(('Alternative 3'!$B$29-'Alternative 3'!$B$28)/2))*('Alternative 3'!$B$39)*COS('Alternative 3-Tilt Up'!K12))+(((('Alternative 3'!$B$12-'Alternative 3'!$B$29)+(('Alternative 3'!$B$29-'Alternative 3'!$B$28)/2))*('Alternative 3'!$B$39)*COS('Alternative 3-Tilt Up'!K12)))</f>
        <v>302351.0625975962</v>
      </c>
      <c r="P12" s="77">
        <f t="shared" si="1"/>
        <v>1305743.8808337273</v>
      </c>
      <c r="R12" s="78">
        <f>'Alternative 3'!$B$39*$B12*$C12*COS($K$5)-($N$5/3)*$E12*SIN($K$5)-($N$5/3)*$F12*SIN($K$5)-($N$5/3)*$G12*SIN($K$5)</f>
        <v>516705.51035480108</v>
      </c>
      <c r="S12" s="79">
        <f>IF(($A12&lt;'Alternative 3'!$B$27),(($H12*'Alternative 3'!$B$39)+(3*($N$5/3)*COS($K$5))),IF(($A12&lt;'Alternative 3'!$B$28),(($H12*'Alternative 3'!$B$39)+(2*(($N$5/3)*COS($K$5)))),IF(($A12&lt;'Alternative 3'!$B$29),(($H$3*'Alternative 3'!$B$39+(($N$5/3)*COS($K$5)))),($H12*'Alternative 3'!$B$39))))</f>
        <v>6222005.5611925349</v>
      </c>
      <c r="T12" s="78">
        <f>R12*'Alternative 3'!$K13/'Alternative 3'!$L13</f>
        <v>8950123.2173660677</v>
      </c>
      <c r="U12" s="78">
        <f>S12/'Alternative 3'!$M13</f>
        <v>2155489.4282325506</v>
      </c>
      <c r="V12" s="78">
        <f t="shared" si="2"/>
        <v>11.105612645598619</v>
      </c>
      <c r="X12" s="78">
        <f>'Alternative 3'!$B$39*$B12*$C12*COS($K$13)-($N$12/3)*$E12*SIN($K$13)-($N$12/3)*$F12*SIN($K$13)-($N$12/3)*$G12*SIN($K$13)</f>
        <v>221057.43847577181</v>
      </c>
      <c r="Y12" s="79">
        <f>IF(($A12&lt;'Alternative 3'!$B$27),(($H12*'Alternative 3'!$B$39)+(3*($N$12/3)*COS($K$13))),IF(($A12&lt;'Alternative 3'!$B$28),(($H12*'Alternative 3'!$B$39)+(2*(($N$12/3)*COS($K$13)))),IF(($A12&lt;'Alternative 3'!$B$29),(($H$3*'Alternative 3'!$B$39+(($N$12/3)*COS($K$13)))),($H12*'Alternative 3'!$B$39))))</f>
        <v>1531525.6159954583</v>
      </c>
      <c r="Z12" s="78">
        <f>X12*'Alternative 3'!$K13/'Alternative 3'!$L13</f>
        <v>3829050.1510520475</v>
      </c>
      <c r="AA12" s="78">
        <f>Y12/'Alternative 3'!$M13</f>
        <v>530566.42940589669</v>
      </c>
      <c r="AB12" s="78">
        <f t="shared" si="3"/>
        <v>4.3596165804579448</v>
      </c>
      <c r="AD12" s="78">
        <f>'Alternative 3'!$B$39*$B12*$C12*COS($K$23)-($N$22/3)*$E12*SIN($K$23)-($N$22/3)*$F12*SIN($K$23)-($N$22/3)*$G12*SIN($K$23)</f>
        <v>347399.81738658366</v>
      </c>
      <c r="AE12" s="79">
        <f>IF(($A12&lt;'Alternative 3'!$B$27),(($H12*'Alternative 3'!$B$39)+(3*($N$22/3)*COS($K$23))),IF(($A12&lt;'Alternative 3'!$B$28),(($H12*'Alternative 3'!$B$39)+(2*(($N$22/3)*COS($K$23)))),IF(($A12&lt;'Alternative 3'!$B$29),(($H$3*'Alternative 3'!$B$39+(($N$22/3)*COS($K$23)))),($H12*'Alternative 3'!$B$39))))</f>
        <v>801022.98512697057</v>
      </c>
      <c r="AF12" s="78">
        <f>AD12*'Alternative 3'!$K13/'Alternative 3'!$L13</f>
        <v>6017491.7994688731</v>
      </c>
      <c r="AG12" s="78">
        <f>AE12/'Alternative 3'!$M13</f>
        <v>277498.39810196799</v>
      </c>
      <c r="AH12" s="78">
        <f t="shared" si="4"/>
        <v>6.2949901975708409</v>
      </c>
      <c r="AJ12" s="78">
        <f>'Alternative 3'!$B$39*$B12*$C12*COS($K$33)-($N$32/3)*$E12*SIN($K$33)-($N$32/3)*$F12*SIN($K$33)-($N$32/3)*$G12*SIN($K$33)</f>
        <v>354775.1232425007</v>
      </c>
      <c r="AK12" s="79">
        <f>IF(($A12&lt;'Alternative 3'!$B$27),(($H12*'Alternative 3'!$B$39)+(3*($N$32/3)*COS($K$33))),IF(($A12&lt;'Alternative 3'!$B$28),(($H12*'Alternative 3'!$B$39)+(2*(($N$32/3)*COS($K$33)))),IF(($A12&lt;'Alternative 3'!$B$29),(($H$3*'Alternative 3'!$B$39+(($N$32/3)*COS($K$33)))),($H12*'Alternative 3'!$B$39))))</f>
        <v>556728.37941334047</v>
      </c>
      <c r="AL12" s="78">
        <f>AJ12*'Alternative 3'!$K13/'Alternative 3'!$L13</f>
        <v>6145243.2843154212</v>
      </c>
      <c r="AM12" s="78">
        <f>AK12/'Alternative 3'!$M13</f>
        <v>192867.41620856005</v>
      </c>
      <c r="AN12" s="78">
        <f t="shared" si="5"/>
        <v>6.3381107005239805</v>
      </c>
      <c r="AP12" s="78">
        <f>'Alternative 3'!$B$39*$B12*$C12*COS($K$43)-($N$42/3)*$E12*SIN($K$43)-($N$42/3)*$F12*SIN($K$43)-($N$42/3)*$G12*SIN($K$43)</f>
        <v>324419.76755579421</v>
      </c>
      <c r="AQ12" s="79">
        <f>IF(($A12&lt;'Alternative 3'!$B$27),(($H12*'Alternative 3'!$B$39)+(3*($N$42/3)*COS($K$43))),IF(($A12&lt;'Alternative 3'!$B$28),(($H12*'Alternative 3'!$B$39)+(2*(($N$42/3)*COS($K$43)))),IF(($A12&lt;'Alternative 3'!$B$29),(($H$3*'Alternative 3'!$B$39+(($N$42/3)*COS($K$43)))),($H12*'Alternative 3'!$B$39))))</f>
        <v>427669.75962496339</v>
      </c>
      <c r="AR12" s="78">
        <f>AP12*'Alternative 3'!$K13/'Alternative 3'!$L13</f>
        <v>5619442.4785209522</v>
      </c>
      <c r="AS12" s="78">
        <f>AQ12/'Alternative 3'!$M13</f>
        <v>148157.63769097012</v>
      </c>
      <c r="AT12" s="78">
        <f t="shared" si="6"/>
        <v>5.7676001162119217</v>
      </c>
      <c r="AV12" s="78">
        <f>'Alternative 3'!$B$39*$B12*$C12*COS($K$53)-($N$52/3)*$E12*SIN($K$53)-($N$52/3)*$F12*SIN($K$53)-($N$52/3)*$G12*SIN($K$53)</f>
        <v>272579.08746638929</v>
      </c>
      <c r="AW12" s="79">
        <f>IF(($A12&lt;'Alternative 3'!$B$27),(($H12*'Alternative 3'!$B$39)+(3*($N$52/3)*COS($K$53))),IF(($A12&lt;'Alternative 3'!$B$28),(($H12*'Alternative 3'!$B$39)+(2*(($N$52/3)*COS($K$53)))),IF(($A12&lt;'Alternative 3'!$B$29),(($H$3*'Alternative 3'!$B$39+(($N$52/3)*COS($K$53)))),($H12*'Alternative 3'!$B$39))))</f>
        <v>346591.12530282221</v>
      </c>
      <c r="AX12" s="78">
        <f>AV12*'Alternative 3'!$K13/'Alternative 3'!$L13</f>
        <v>4721483.2635057438</v>
      </c>
      <c r="AY12" s="78">
        <f>AW12/'Alternative 3'!$M13</f>
        <v>120069.56585976909</v>
      </c>
      <c r="AZ12" s="78">
        <f t="shared" si="7"/>
        <v>4.8415528293655132</v>
      </c>
      <c r="BB12" s="78">
        <f>'Alternative 3'!$B$39*$B12*$C12*COS($K$63)-($N$62/3)*$E12*SIN($K$63)-($N$62/3)*$F12*SIN($K$63)-($N$62/3)*$G12*SIN($K$63)</f>
        <v>205878.11230281054</v>
      </c>
      <c r="BC12" s="79">
        <f>IF(($A12&lt;'Alternative 3'!$B$27),(($H12*'Alternative 3'!$B$39)+(3*($N$62/3)*COS($K$63))),IF(($A12&lt;'Alternative 3'!$B$28),(($H12*'Alternative 3'!$B$39)+(2*(($N$62/3)*COS($K$63)))),IF(($A12&lt;'Alternative 3'!$B$29),(($H$3*'Alternative 3'!$B$39+(($N$62/3)*COS($K$63)))),($H12*'Alternative 3'!$B$39))))</f>
        <v>292498.66669055965</v>
      </c>
      <c r="BD12" s="78">
        <f>BB12*'Alternative 3'!$K13/'Alternative 3'!$L13</f>
        <v>3566121.1965856906</v>
      </c>
      <c r="BE12" s="78">
        <f>BC12/'Alternative 3'!$M13</f>
        <v>101330.31506046708</v>
      </c>
      <c r="BF12" s="78">
        <f t="shared" si="8"/>
        <v>3.6674515116461577</v>
      </c>
      <c r="BH12" s="78">
        <f>'Alternative 3'!$B$39*$B12*$C12*COS($K$73)-($N$72/3)*$E12*SIN($K$73)-($N$72/3)*$F12*SIN($K$73)-($N$72/3)*$G12*SIN($K$73)</f>
        <v>128486.34081576642</v>
      </c>
      <c r="BI12" s="79">
        <f>IF(($A12&lt;'Alternative 3'!$B$27),(($H12*'Alternative 3'!$B$39)+(3*($N$72/3)*COS($K$73))),IF(($A12&lt;'Alternative 3'!$B$28),(($H12*'Alternative 3'!$B$39)+(2*(($N$72/3)*COS($K$73)))),IF(($A12&lt;'Alternative 3'!$B$29),(($H$3*'Alternative 3'!$B$39+(($N$72/3)*COS($K$73)))),($H12*'Alternative 3'!$B$39))))</f>
        <v>257082.2583005288</v>
      </c>
      <c r="BJ12" s="78">
        <f>BH12*'Alternative 3'!$K13/'Alternative 3'!$L13</f>
        <v>2225578.3207343058</v>
      </c>
      <c r="BK12" s="78">
        <f>BI12/'Alternative 3'!$M13</f>
        <v>89061.008464725863</v>
      </c>
      <c r="BL12" s="78">
        <f t="shared" si="9"/>
        <v>2.3146393291990313</v>
      </c>
      <c r="BN12" s="78">
        <f>'Alternative 3'!$B$39*$B12*$C12*COS($K$83)-($N$82/3)*$E12*SIN($K$83)-($N$82/3)*$F12*SIN($K$83)-($N$82/3)*$G12*SIN($K$83)</f>
        <v>43779.845672805706</v>
      </c>
      <c r="BO12" s="79">
        <f>IF(($A12&lt;'Alternative 3'!$B$27),(($H12*'Alternative 3'!$B$39)+(3*($N$82/3)*COS($K$83))),IF(($A12&lt;'Alternative 3'!$B$28),(($H12*'Alternative 3'!$B$39)+(2*(($N$82/3)*COS($K$83)))),IF(($A12&lt;'Alternative 3'!$B$29),(($H$3*'Alternative 3'!$B$39+(($N$82/3)*COS($K$83)))),($H12*'Alternative 3'!$B$39))))</f>
        <v>236658.78006070704</v>
      </c>
      <c r="BP12" s="78">
        <f>BN12*'Alternative 3'!$K13/'Alternative 3'!$L13</f>
        <v>758333.33563604578</v>
      </c>
      <c r="BQ12" s="78">
        <f>BO12/'Alternative 3'!$M13</f>
        <v>81985.702761328866</v>
      </c>
      <c r="BR12" s="78">
        <f t="shared" si="10"/>
        <v>0.84031903839737465</v>
      </c>
      <c r="BT12" s="78">
        <f>'Alternative 3'!$B$39*$B12*$C12*COS($K$93)-($K$92/3)*$E12*SIN($K$93)-($K$92/3)*$F12*SIN($K$93)-($K$92/3)*$G12*SIN($K$93)</f>
        <v>-19.15789742253456</v>
      </c>
      <c r="BU12" s="79">
        <f>IF(($A12&lt;'Alternative 3'!$B$27),(($H12*'Alternative 3'!$B$39)+(3*($N$92/3)*COS($K$93))),IF(($A12&lt;'Alternative 3'!$B$28),(($H12*'Alternative 3'!$B$39)+(2*(($N$92/3)*COS($K$93)))),IF(($A12&lt;'Alternative 3'!$B$29),(($H$3*'Alternative 3'!$B$39+(($N$92/3)*COS($K$93)))),($H12*'Alternative 3'!$B$39))))</f>
        <v>229589.92996875866</v>
      </c>
      <c r="BV12" s="78">
        <f>BT12*'Alternative 3'!$K13/'Alternative 3'!$L13</f>
        <v>-331.84384350692443</v>
      </c>
      <c r="BW12" s="78">
        <f>BU12/'Alternative 3'!$M13</f>
        <v>79536.840976635271</v>
      </c>
      <c r="BX12" s="78">
        <f t="shared" si="11"/>
        <v>7.9204997133128341E-2</v>
      </c>
      <c r="BZ12" s="77">
        <v>150</v>
      </c>
      <c r="CA12" s="77">
        <v>-150</v>
      </c>
    </row>
    <row r="13" spans="1:79" ht="15" customHeight="1" x14ac:dyDescent="0.25">
      <c r="A13" s="13">
        <f>IF('Alternative 3'!F14&gt;0,'Alternative 3'!F14,"x")</f>
        <v>11</v>
      </c>
      <c r="B13" s="13">
        <f t="shared" si="17"/>
        <v>26</v>
      </c>
      <c r="C13" s="13">
        <f t="shared" si="12"/>
        <v>13</v>
      </c>
      <c r="D13" s="13">
        <f t="shared" si="13"/>
        <v>11</v>
      </c>
      <c r="E13" s="74">
        <f>IF($A13&lt;='Alternative 3'!$B$27, IF($A13='Alternative 3'!$B$27,0,E14+1),0)</f>
        <v>5</v>
      </c>
      <c r="F13" s="74">
        <f>IF($A13&lt;=('Alternative 3'!$B$28), IF($A13=ROUNDDOWN('Alternative 3'!$B$28,0),0,F14+1),0)</f>
        <v>11</v>
      </c>
      <c r="G13" s="74">
        <f>IF($A13&lt;=('Alternative 3'!$B$29), IF($A13=ROUNDDOWN('Alternative 3'!$B$29,0),0,G14+1),0)</f>
        <v>18</v>
      </c>
      <c r="H13" s="13">
        <f t="shared" si="14"/>
        <v>26</v>
      </c>
      <c r="J13" s="77">
        <f t="shared" si="15"/>
        <v>10</v>
      </c>
      <c r="K13" s="82">
        <f t="shared" si="16"/>
        <v>0.17453292519943295</v>
      </c>
      <c r="L13" s="78">
        <f>'Alternative 3'!$B$27*SIN(K13)+'Alternative 3'!$B$28*SIN(K13)+'Alternative 3'!$B$29*SIN(K13)</f>
        <v>11.808076081351263</v>
      </c>
      <c r="M13" s="77">
        <f>(('Alternative 3'!$B$27)*(((('Alternative 3'!$B$28-'Alternative 3'!$B$27)/2)+'Alternative 3'!$B$27)*'Alternative 3'!$B$39)*COS('Alternative 3-Tilt Up'!K13))+(('Alternative 3'!$B$28)*((('Alternative 3'!$B$28-'Alternative 3'!$B$27)/2)+(('Alternative 3'!$B$29-'Alternative 3'!$B$28)/2))*('Alternative 3'!$B$39)*COS('Alternative 3-Tilt Up'!K13))+(('Alternative 3'!$B$29)*((('Alternative 3'!$B$12-'Alternative 3'!$B$29+(('Alternative 3'!$B$29-'Alternative 3'!$B$28)/2)*('Alternative 3'!$B$39)*COS('Alternative 3-Tilt Up'!K13)))))</f>
        <v>4674011.2832076354</v>
      </c>
      <c r="N13" s="77">
        <f t="shared" si="0"/>
        <v>1187495.2153948424</v>
      </c>
      <c r="O13" s="77">
        <f>(((('Alternative 3'!$B$28-'Alternative 3'!$B$27)/2)+'Alternative 3'!$B$27)*('Alternative 3'!$B$39)*COS('Alternative 3-Tilt Up'!K13))+(((('Alternative 3'!$B$28-'Alternative 3'!$B$27)/2)+(('Alternative 3'!$B$29-'Alternative 3'!$B$28)/2))*('Alternative 3'!$B$39)*COS('Alternative 3-Tilt Up'!K13))+(((('Alternative 3'!$B$12-'Alternative 3'!$B$29)+(('Alternative 3'!$B$29-'Alternative 3'!$B$28)/2))*('Alternative 3'!$B$39)*COS('Alternative 3-Tilt Up'!K13)))</f>
        <v>301469.25739568454</v>
      </c>
      <c r="P13" s="82">
        <f t="shared" si="1"/>
        <v>1169454.4947857428</v>
      </c>
      <c r="R13" s="78">
        <f>'Alternative 3'!$B$39*$B13*$C13*COS($K$5)-($N$5/3)*$E13*SIN($K$5)-($N$5/3)*$F13*SIN($K$5)-($N$5/3)*$G13*SIN($K$5)</f>
        <v>500764.28069490311</v>
      </c>
      <c r="S13" s="79">
        <f>IF(($A13&lt;'Alternative 3'!$B$27),(($H13*'Alternative 3'!$B$39)+(3*($N$5/3)*COS($K$5))),IF(($A13&lt;'Alternative 3'!$B$28),(($H13*'Alternative 3'!$B$39)+(2*(($N$5/3)*COS($K$5)))),IF(($A13&lt;'Alternative 3'!$B$29),(($H$3*'Alternative 3'!$B$39+(($N$5/3)*COS($K$5)))),($H13*'Alternative 3'!$B$39))))</f>
        <v>6213502.230452951</v>
      </c>
      <c r="T13" s="78">
        <f>R13*'Alternative 3'!$K14/'Alternative 3'!$L14</f>
        <v>8856812.0215863641</v>
      </c>
      <c r="U13" s="78">
        <f>S13/'Alternative 3'!$M14</f>
        <v>2197911.1059179436</v>
      </c>
      <c r="V13" s="78">
        <f t="shared" si="2"/>
        <v>11.054723127504309</v>
      </c>
      <c r="X13" s="78">
        <f>'Alternative 3'!$B$39*$B13*$C13*COS($K$13)-($N$12/3)*$E13*SIN($K$13)-($N$12/3)*$F13*SIN($K$13)-($N$12/3)*$G13*SIN($K$13)</f>
        <v>228708.95704208501</v>
      </c>
      <c r="Y13" s="79">
        <f>IF(($A13&lt;'Alternative 3'!$B$27),(($H13*'Alternative 3'!$B$39)+(3*($N$12/3)*COS($K$13))),IF(($A13&lt;'Alternative 3'!$B$28),(($H13*'Alternative 3'!$B$39)+(2*(($N$12/3)*COS($K$13)))),IF(($A13&lt;'Alternative 3'!$B$29),(($H$3*'Alternative 3'!$B$39+(($N$12/3)*COS($K$13)))),($H13*'Alternative 3'!$B$39))))</f>
        <v>1523022.2852558745</v>
      </c>
      <c r="Z13" s="78">
        <f>X13*'Alternative 3'!$K14/'Alternative 3'!$L14</f>
        <v>4045081.3252172824</v>
      </c>
      <c r="AA13" s="78">
        <f>Y13/'Alternative 3'!$M14</f>
        <v>538740.869668987</v>
      </c>
      <c r="AB13" s="78">
        <f t="shared" si="3"/>
        <v>4.5838221948862694</v>
      </c>
      <c r="AD13" s="78">
        <f>'Alternative 3'!$B$39*$B13*$C13*COS($K$23)-($N$22/3)*$E13*SIN($K$23)-($N$22/3)*$F13*SIN($K$23)-($N$22/3)*$G13*SIN($K$23)</f>
        <v>343635.73591561825</v>
      </c>
      <c r="AE13" s="79">
        <f>IF(($A13&lt;'Alternative 3'!$B$27),(($H13*'Alternative 3'!$B$39)+(3*($N$22/3)*COS($K$23))),IF(($A13&lt;'Alternative 3'!$B$28),(($H13*'Alternative 3'!$B$39)+(2*(($N$22/3)*COS($K$23)))),IF(($A13&lt;'Alternative 3'!$B$29),(($H$3*'Alternative 3'!$B$39+(($N$22/3)*COS($K$23)))),($H13*'Alternative 3'!$B$39))))</f>
        <v>792519.65438738698</v>
      </c>
      <c r="AF13" s="78">
        <f>AD13*'Alternative 3'!$K14/'Alternative 3'!$L14</f>
        <v>6077744.0289484747</v>
      </c>
      <c r="AG13" s="78">
        <f>AE13/'Alternative 3'!$M14</f>
        <v>280339.12042376597</v>
      </c>
      <c r="AH13" s="78">
        <f t="shared" si="4"/>
        <v>6.3580831493722405</v>
      </c>
      <c r="AJ13" s="78">
        <f>'Alternative 3'!$B$39*$B13*$C13*COS($K$33)-($N$32/3)*$E13*SIN($K$33)-($N$32/3)*$F13*SIN($K$33)-($N$32/3)*$G13*SIN($K$33)</f>
        <v>348499.9335042024</v>
      </c>
      <c r="AK13" s="79">
        <f>IF(($A13&lt;'Alternative 3'!$B$27),(($H13*'Alternative 3'!$B$39)+(3*($N$32/3)*COS($K$33))),IF(($A13&lt;'Alternative 3'!$B$28),(($H13*'Alternative 3'!$B$39)+(2*(($N$32/3)*COS($K$33)))),IF(($A13&lt;'Alternative 3'!$B$29),(($H$3*'Alternative 3'!$B$39+(($N$32/3)*COS($K$33)))),($H13*'Alternative 3'!$B$39))))</f>
        <v>548225.04867375689</v>
      </c>
      <c r="AL13" s="78">
        <f>AJ13*'Alternative 3'!$K14/'Alternative 3'!$L14</f>
        <v>6163775.0925422283</v>
      </c>
      <c r="AM13" s="78">
        <f>AK13/'Alternative 3'!$M14</f>
        <v>193924.43719049206</v>
      </c>
      <c r="AN13" s="78">
        <f t="shared" si="5"/>
        <v>6.3576995297327201</v>
      </c>
      <c r="AP13" s="78">
        <f>'Alternative 3'!$B$39*$B13*$C13*COS($K$43)-($N$42/3)*$E13*SIN($K$43)-($N$42/3)*$F13*SIN($K$43)-($N$42/3)*$G13*SIN($K$43)</f>
        <v>318009.35414586158</v>
      </c>
      <c r="AQ13" s="79">
        <f>IF(($A13&lt;'Alternative 3'!$B$27),(($H13*'Alternative 3'!$B$39)+(3*($N$42/3)*COS($K$43))),IF(($A13&lt;'Alternative 3'!$B$28),(($H13*'Alternative 3'!$B$39)+(2*(($N$42/3)*COS($K$43)))),IF(($A13&lt;'Alternative 3'!$B$29),(($H$3*'Alternative 3'!$B$39+(($N$42/3)*COS($K$43)))),($H13*'Alternative 3'!$B$39))))</f>
        <v>419166.42888537981</v>
      </c>
      <c r="AR13" s="78">
        <f>AP13*'Alternative 3'!$K14/'Alternative 3'!$L14</f>
        <v>5624500.7468733583</v>
      </c>
      <c r="AS13" s="78">
        <f>AQ13/'Alternative 3'!$M14</f>
        <v>148272.3454672326</v>
      </c>
      <c r="AT13" s="78">
        <f t="shared" si="6"/>
        <v>5.7727730923405902</v>
      </c>
      <c r="AV13" s="78">
        <f>'Alternative 3'!$B$39*$B13*$C13*COS($K$53)-($N$52/3)*$E13*SIN($K$53)-($N$52/3)*$F13*SIN($K$53)-($N$52/3)*$G13*SIN($K$53)</f>
        <v>267171.03787109395</v>
      </c>
      <c r="AW13" s="79">
        <f>IF(($A13&lt;'Alternative 3'!$B$27),(($H13*'Alternative 3'!$B$39)+(3*($N$52/3)*COS($K$53))),IF(($A13&lt;'Alternative 3'!$B$28),(($H13*'Alternative 3'!$B$39)+(2*(($N$52/3)*COS($K$53)))),IF(($A13&lt;'Alternative 3'!$B$29),(($H$3*'Alternative 3'!$B$39+(($N$52/3)*COS($K$53)))),($H13*'Alternative 3'!$B$39))))</f>
        <v>338087.79456323857</v>
      </c>
      <c r="AX13" s="78">
        <f>AV13*'Alternative 3'!$K14/'Alternative 3'!$L14</f>
        <v>4725344.3411593856</v>
      </c>
      <c r="AY13" s="78">
        <f>AW13/'Alternative 3'!$M14</f>
        <v>119592.28320606507</v>
      </c>
      <c r="AZ13" s="78">
        <f t="shared" si="7"/>
        <v>4.8449366243654506</v>
      </c>
      <c r="BB13" s="78">
        <f>'Alternative 3'!$B$39*$B13*$C13*COS($K$63)-($N$62/3)*$E13*SIN($K$63)-($N$62/3)*$F13*SIN($K$63)-($N$62/3)*$G13*SIN($K$63)</f>
        <v>202170.10824546067</v>
      </c>
      <c r="BC13" s="79">
        <f>IF(($A13&lt;'Alternative 3'!$B$27),(($H13*'Alternative 3'!$B$39)+(3*($N$62/3)*COS($K$63))),IF(($A13&lt;'Alternative 3'!$B$28),(($H13*'Alternative 3'!$B$39)+(2*(($N$62/3)*COS($K$63)))),IF(($A13&lt;'Alternative 3'!$B$29),(($H$3*'Alternative 3'!$B$39+(($N$62/3)*COS($K$63)))),($H13*'Alternative 3'!$B$39))))</f>
        <v>283995.335950976</v>
      </c>
      <c r="BD13" s="78">
        <f>BB13*'Alternative 3'!$K14/'Alternative 3'!$L14</f>
        <v>3575699.6138563394</v>
      </c>
      <c r="BE13" s="78">
        <f>BC13/'Alternative 3'!$M14</f>
        <v>100458.07980180689</v>
      </c>
      <c r="BF13" s="78">
        <f t="shared" si="8"/>
        <v>3.6761576936581459</v>
      </c>
      <c r="BH13" s="78">
        <f>'Alternative 3'!$B$39*$B13*$C13*COS($K$73)-($N$72/3)*$E13*SIN($K$73)-($N$72/3)*$F13*SIN($K$73)-($N$72/3)*$G13*SIN($K$73)</f>
        <v>126950.66656064143</v>
      </c>
      <c r="BI13" s="79">
        <f>IF(($A13&lt;'Alternative 3'!$B$27),(($H13*'Alternative 3'!$B$39)+(3*($N$72/3)*COS($K$73))),IF(($A13&lt;'Alternative 3'!$B$28),(($H13*'Alternative 3'!$B$39)+(2*(($N$72/3)*COS($K$73)))),IF(($A13&lt;'Alternative 3'!$B$29),(($H$3*'Alternative 3'!$B$39+(($N$72/3)*COS($K$73)))),($H13*'Alternative 3'!$B$39))))</f>
        <v>248578.92756094516</v>
      </c>
      <c r="BJ13" s="78">
        <f>BH13*'Alternative 3'!$K14/'Alternative 3'!$L14</f>
        <v>2245324.2635085881</v>
      </c>
      <c r="BK13" s="78">
        <f>BI13/'Alternative 3'!$M14</f>
        <v>87930.182579743821</v>
      </c>
      <c r="BL13" s="78">
        <f t="shared" si="9"/>
        <v>2.3332544460883318</v>
      </c>
      <c r="BN13" s="78">
        <f>'Alternative 3'!$B$39*$B13*$C13*COS($K$83)-($N$82/3)*$E13*SIN($K$83)-($N$82/3)*$F13*SIN($K$83)-($N$82/3)*$G13*SIN($K$83)</f>
        <v>44739.707678636478</v>
      </c>
      <c r="BO13" s="79">
        <f>IF(($A13&lt;'Alternative 3'!$B$27),(($H13*'Alternative 3'!$B$39)+(3*($N$82/3)*COS($K$83))),IF(($A13&lt;'Alternative 3'!$B$28),(($H13*'Alternative 3'!$B$39)+(2*(($N$82/3)*COS($K$83)))),IF(($A13&lt;'Alternative 3'!$B$29),(($H$3*'Alternative 3'!$B$39+(($N$82/3)*COS($K$83)))),($H13*'Alternative 3'!$B$39))))</f>
        <v>228155.44932112339</v>
      </c>
      <c r="BP13" s="78">
        <f>BN13*'Alternative 3'!$K14/'Alternative 3'!$L14</f>
        <v>791292.82196512795</v>
      </c>
      <c r="BQ13" s="78">
        <f>BO13/'Alternative 3'!$M14</f>
        <v>80705.756164513354</v>
      </c>
      <c r="BR13" s="78">
        <f t="shared" si="10"/>
        <v>0.87199857812964121</v>
      </c>
      <c r="BT13" s="78">
        <f>'Alternative 3'!$B$39*$B13*$C13*COS($K$93)-($K$92/3)*$E13*SIN($K$93)-($K$92/3)*$F13*SIN($K$93)-($K$92/3)*$G13*SIN($K$93)</f>
        <v>-17.60455438827341</v>
      </c>
      <c r="BU13" s="79">
        <f>IF(($A13&lt;'Alternative 3'!$B$27),(($H13*'Alternative 3'!$B$39)+(3*($N$92/3)*COS($K$93))),IF(($A13&lt;'Alternative 3'!$B$28),(($H13*'Alternative 3'!$B$39)+(2*(($N$92/3)*COS($K$93)))),IF(($A13&lt;'Alternative 3'!$B$29),(($H$3*'Alternative 3'!$B$39+(($N$92/3)*COS($K$93)))),($H13*'Alternative 3'!$B$39))))</f>
        <v>221086.59922917502</v>
      </c>
      <c r="BV13" s="78">
        <f>BT13*'Alternative 3'!$K14/'Alternative 3'!$L14</f>
        <v>-311.36451810093712</v>
      </c>
      <c r="BW13" s="78">
        <f>BU13/'Alternative 3'!$M14</f>
        <v>78205.28162585212</v>
      </c>
      <c r="BX13" s="78">
        <f t="shared" si="11"/>
        <v>7.789391710775119E-2</v>
      </c>
      <c r="BZ13" s="77">
        <v>150</v>
      </c>
      <c r="CA13" s="77">
        <v>-150</v>
      </c>
    </row>
    <row r="14" spans="1:79" ht="15" customHeight="1" x14ac:dyDescent="0.25">
      <c r="A14" s="13">
        <f>IF('Alternative 3'!F15&gt;0,'Alternative 3'!F15,"x")</f>
        <v>12</v>
      </c>
      <c r="B14" s="13">
        <f t="shared" si="17"/>
        <v>25</v>
      </c>
      <c r="C14" s="13">
        <f t="shared" si="12"/>
        <v>12.5</v>
      </c>
      <c r="D14" s="13">
        <f t="shared" si="13"/>
        <v>12</v>
      </c>
      <c r="E14" s="74">
        <f>IF($A14&lt;='Alternative 3'!$B$27, IF($A14='Alternative 3'!$B$27,0,E15+1),0)</f>
        <v>4</v>
      </c>
      <c r="F14" s="74">
        <f>IF($A14&lt;=('Alternative 3'!$B$28), IF($A14=ROUNDDOWN('Alternative 3'!$B$28,0),0,F15+1),0)</f>
        <v>10</v>
      </c>
      <c r="G14" s="74">
        <f>IF($A14&lt;=('Alternative 3'!$B$29), IF($A14=ROUNDDOWN('Alternative 3'!$B$29,0),0,G15+1),0)</f>
        <v>17</v>
      </c>
      <c r="H14" s="13">
        <f t="shared" si="14"/>
        <v>25</v>
      </c>
      <c r="J14" s="77">
        <f t="shared" si="15"/>
        <v>11</v>
      </c>
      <c r="K14" s="77">
        <f t="shared" si="16"/>
        <v>0.19198621771937624</v>
      </c>
      <c r="L14" s="78">
        <f>'Alternative 3'!$B$27*SIN(K14)+'Alternative 3'!$B$28*SIN(K14)+'Alternative 3'!$B$29*SIN(K14)</f>
        <v>12.975011685605047</v>
      </c>
      <c r="M14" s="77">
        <f>(('Alternative 3'!$B$27)*(((('Alternative 3'!$B$28-'Alternative 3'!$B$27)/2)+'Alternative 3'!$B$27)*'Alternative 3'!$B$39)*COS('Alternative 3-Tilt Up'!K14))+(('Alternative 3'!$B$28)*((('Alternative 3'!$B$28-'Alternative 3'!$B$27)/2)+(('Alternative 3'!$B$29-'Alternative 3'!$B$28)/2))*('Alternative 3'!$B$39)*COS('Alternative 3-Tilt Up'!K14))+(('Alternative 3'!$B$29)*((('Alternative 3'!$B$12-'Alternative 3'!$B$29+(('Alternative 3'!$B$29-'Alternative 3'!$B$28)/2)*('Alternative 3'!$B$39)*COS('Alternative 3-Tilt Up'!K14)))))</f>
        <v>4658916.5647025108</v>
      </c>
      <c r="N14" s="77">
        <f t="shared" si="0"/>
        <v>1077205.1719701996</v>
      </c>
      <c r="O14" s="77">
        <f>(((('Alternative 3'!$B$28-'Alternative 3'!$B$27)/2)+'Alternative 3'!$B$27)*('Alternative 3'!$B$39)*COS('Alternative 3-Tilt Up'!K14))+(((('Alternative 3'!$B$28-'Alternative 3'!$B$27)/2)+(('Alternative 3'!$B$29-'Alternative 3'!$B$28)/2))*('Alternative 3'!$B$39)*COS('Alternative 3-Tilt Up'!K14))+(((('Alternative 3'!$B$12-'Alternative 3'!$B$29)+(('Alternative 3'!$B$29-'Alternative 3'!$B$28)/2))*('Alternative 3'!$B$39)*COS('Alternative 3-Tilt Up'!K14)))</f>
        <v>300495.62173757196</v>
      </c>
      <c r="P14" s="77">
        <f t="shared" si="1"/>
        <v>1057413.8789563635</v>
      </c>
      <c r="R14" s="78">
        <f>'Alternative 3'!$B$39*$B14*$C14*COS($K$5)-($N$5/3)*$E14*SIN($K$5)-($N$5/3)*$F14*SIN($K$5)-($N$5/3)*$G14*SIN($K$5)</f>
        <v>493321.20177525491</v>
      </c>
      <c r="S14" s="79">
        <f>IF(($A14&lt;'Alternative 3'!$B$27),(($H14*'Alternative 3'!$B$39)+(3*($N$5/3)*COS($K$5))),IF(($A14&lt;'Alternative 3'!$B$28),(($H14*'Alternative 3'!$B$39)+(2*(($N$5/3)*COS($K$5)))),IF(($A14&lt;'Alternative 3'!$B$29),(($H$3*'Alternative 3'!$B$39+(($N$5/3)*COS($K$5)))),($H14*'Alternative 3'!$B$39))))</f>
        <v>6204998.8997133682</v>
      </c>
      <c r="T14" s="78">
        <f>R14*'Alternative 3'!$K15/'Alternative 3'!$L15</f>
        <v>8911021.4235530607</v>
      </c>
      <c r="U14" s="78">
        <f>S14/'Alternative 3'!$M15</f>
        <v>2241656.1513549397</v>
      </c>
      <c r="V14" s="78">
        <f t="shared" si="2"/>
        <v>11.152677574907999</v>
      </c>
      <c r="X14" s="78">
        <f>'Alternative 3'!$B$39*$B14*$C14*COS($K$13)-($N$12/3)*$E14*SIN($K$13)-($N$12/3)*$F14*SIN($K$13)-($N$12/3)*$G14*SIN($K$13)</f>
        <v>244734.62164716725</v>
      </c>
      <c r="Y14" s="79">
        <f>IF(($A14&lt;'Alternative 3'!$B$27),(($H14*'Alternative 3'!$B$39)+(3*($N$12/3)*COS($K$13))),IF(($A14&lt;'Alternative 3'!$B$28),(($H14*'Alternative 3'!$B$39)+(2*(($N$12/3)*COS($K$13)))),IF(($A14&lt;'Alternative 3'!$B$29),(($H$3*'Alternative 3'!$B$39+(($N$12/3)*COS($K$13)))),($H14*'Alternative 3'!$B$39))))</f>
        <v>1514518.9545162909</v>
      </c>
      <c r="Z14" s="78">
        <f>X14*'Alternative 3'!$K15/'Alternative 3'!$L15</f>
        <v>4420721.1219285792</v>
      </c>
      <c r="AA14" s="78">
        <f>Y14/'Alternative 3'!$M15</f>
        <v>547144.45330391999</v>
      </c>
      <c r="AB14" s="78">
        <f t="shared" si="3"/>
        <v>4.9678655752324996</v>
      </c>
      <c r="AD14" s="78">
        <f>'Alternative 3'!$B$39*$B14*$C14*COS($K$23)-($N$22/3)*$E14*SIN($K$23)-($N$22/3)*$F14*SIN($K$23)-($N$22/3)*$G14*SIN($K$23)</f>
        <v>347862.17159274127</v>
      </c>
      <c r="AE14" s="79">
        <f>IF(($A14&lt;'Alternative 3'!$B$27),(($H14*'Alternative 3'!$B$39)+(3*($N$22/3)*COS($K$23))),IF(($A14&lt;'Alternative 3'!$B$28),(($H14*'Alternative 3'!$B$39)+(2*(($N$22/3)*COS($K$23)))),IF(($A14&lt;'Alternative 3'!$B$29),(($H$3*'Alternative 3'!$B$39+(($N$22/3)*COS($K$23)))),($H14*'Alternative 3'!$B$39))))</f>
        <v>784016.32364780339</v>
      </c>
      <c r="AF14" s="78">
        <f>AD14*'Alternative 3'!$K15/'Alternative 3'!$L15</f>
        <v>6283547.6203976432</v>
      </c>
      <c r="AG14" s="78">
        <f>AE14/'Alternative 3'!$M15</f>
        <v>283238.56991319836</v>
      </c>
      <c r="AH14" s="78">
        <f t="shared" si="4"/>
        <v>6.5667861903108413</v>
      </c>
      <c r="AJ14" s="78">
        <f>'Alternative 3'!$B$39*$B14*$C14*COS($K$33)-($N$32/3)*$E14*SIN($K$33)-($N$32/3)*$F14*SIN($K$33)-($N$32/3)*$G14*SIN($K$33)</f>
        <v>349588.84420316364</v>
      </c>
      <c r="AK14" s="79">
        <f>IF(($A14&lt;'Alternative 3'!$B$27),(($H14*'Alternative 3'!$B$39)+(3*($N$32/3)*COS($K$33))),IF(($A14&lt;'Alternative 3'!$B$28),(($H14*'Alternative 3'!$B$39)+(2*(($N$32/3)*COS($K$33)))),IF(($A14&lt;'Alternative 3'!$B$29),(($H$3*'Alternative 3'!$B$39+(($N$32/3)*COS($K$33)))),($H14*'Alternative 3'!$B$39))))</f>
        <v>539721.7179341733</v>
      </c>
      <c r="AL14" s="78">
        <f>AJ14*'Alternative 3'!$K15/'Alternative 3'!$L15</f>
        <v>6314737.0697210589</v>
      </c>
      <c r="AM14" s="78">
        <f>AK14/'Alternative 3'!$M15</f>
        <v>194983.19477266687</v>
      </c>
      <c r="AN14" s="78">
        <f t="shared" si="5"/>
        <v>6.5097202644937262</v>
      </c>
      <c r="AP14" s="78">
        <f>'Alternative 3'!$B$39*$B14*$C14*COS($K$43)-($N$42/3)*$E14*SIN($K$43)-($N$42/3)*$F14*SIN($K$43)-($N$42/3)*$G14*SIN($K$43)</f>
        <v>318112.86999699008</v>
      </c>
      <c r="AQ14" s="79">
        <f>IF(($A14&lt;'Alternative 3'!$B$27),(($H14*'Alternative 3'!$B$39)+(3*($N$42/3)*COS($K$43))),IF(($A14&lt;'Alternative 3'!$B$28),(($H14*'Alternative 3'!$B$39)+(2*(($N$42/3)*COS($K$43)))),IF(($A14&lt;'Alternative 3'!$B$29),(($H$3*'Alternative 3'!$B$39+(($N$42/3)*COS($K$43)))),($H14*'Alternative 3'!$B$39))))</f>
        <v>410663.0981457961</v>
      </c>
      <c r="AR14" s="78">
        <f>AP14*'Alternative 3'!$K15/'Alternative 3'!$L15</f>
        <v>5746176.3034919249</v>
      </c>
      <c r="AS14" s="78">
        <f>AQ14/'Alternative 3'!$M15</f>
        <v>148358.68224497599</v>
      </c>
      <c r="AT14" s="78">
        <f t="shared" si="6"/>
        <v>5.8945349857369012</v>
      </c>
      <c r="AV14" s="78">
        <f>'Alternative 3'!$B$39*$B14*$C14*COS($K$53)-($N$52/3)*$E14*SIN($K$53)-($N$52/3)*$F14*SIN($K$53)-($N$52/3)*$G14*SIN($K$53)</f>
        <v>267228.82391626935</v>
      </c>
      <c r="AW14" s="79">
        <f>IF(($A14&lt;'Alternative 3'!$B$27),(($H14*'Alternative 3'!$B$39)+(3*($N$52/3)*COS($K$53))),IF(($A14&lt;'Alternative 3'!$B$28),(($H14*'Alternative 3'!$B$39)+(2*(($N$52/3)*COS($K$53)))),IF(($A14&lt;'Alternative 3'!$B$29),(($H$3*'Alternative 3'!$B$39+(($N$52/3)*COS($K$53)))),($H14*'Alternative 3'!$B$39))))</f>
        <v>329584.46382365492</v>
      </c>
      <c r="AX14" s="78">
        <f>AV14*'Alternative 3'!$K15/'Alternative 3'!$L15</f>
        <v>4827041.2184587568</v>
      </c>
      <c r="AY14" s="78">
        <f>AW14/'Alternative 3'!$M15</f>
        <v>119067.7150249687</v>
      </c>
      <c r="AZ14" s="78">
        <f t="shared" si="7"/>
        <v>4.9461089334837256</v>
      </c>
      <c r="BB14" s="78">
        <f>'Alternative 3'!$B$39*$B14*$C14*COS($K$63)-($N$62/3)*$E14*SIN($K$63)-($N$62/3)*$F14*SIN($K$63)-($N$62/3)*$G14*SIN($K$63)</f>
        <v>202713.76955790236</v>
      </c>
      <c r="BC14" s="79">
        <f>IF(($A14&lt;'Alternative 3'!$B$27),(($H14*'Alternative 3'!$B$39)+(3*($N$62/3)*COS($K$63))),IF(($A14&lt;'Alternative 3'!$B$28),(($H14*'Alternative 3'!$B$39)+(2*(($N$62/3)*COS($K$63)))),IF(($A14&lt;'Alternative 3'!$B$29),(($H$3*'Alternative 3'!$B$39+(($N$62/3)*COS($K$63)))),($H14*'Alternative 3'!$B$39))))</f>
        <v>275492.00521139236</v>
      </c>
      <c r="BD14" s="78">
        <f>BB14*'Alternative 3'!$K15/'Alternative 3'!$L15</f>
        <v>3661684.7945704386</v>
      </c>
      <c r="BE14" s="78">
        <f>BC14/'Alternative 3'!$M15</f>
        <v>99525.939990054161</v>
      </c>
      <c r="BF14" s="78">
        <f t="shared" si="8"/>
        <v>3.761210734560493</v>
      </c>
      <c r="BH14" s="78">
        <f>'Alternative 3'!$B$39*$B14*$C14*COS($K$73)-($N$72/3)*$E14*SIN($K$73)-($N$72/3)*$F14*SIN($K$73)-($N$72/3)*$G14*SIN($K$73)</f>
        <v>128323.30270381423</v>
      </c>
      <c r="BI14" s="79">
        <f>IF(($A14&lt;'Alternative 3'!$B$27),(($H14*'Alternative 3'!$B$39)+(3*($N$72/3)*COS($K$73))),IF(($A14&lt;'Alternative 3'!$B$28),(($H14*'Alternative 3'!$B$39)+(2*(($N$72/3)*COS($K$73)))),IF(($A14&lt;'Alternative 3'!$B$29),(($H$3*'Alternative 3'!$B$39+(($N$72/3)*COS($K$73)))),($H14*'Alternative 3'!$B$39))))</f>
        <v>240075.59682136151</v>
      </c>
      <c r="BJ14" s="78">
        <f>BH14*'Alternative 3'!$K15/'Alternative 3'!$L15</f>
        <v>2317945.5807288005</v>
      </c>
      <c r="BK14" s="78">
        <f>BI14/'Alternative 3'!$M15</f>
        <v>86731.189981302552</v>
      </c>
      <c r="BL14" s="78">
        <f t="shared" si="9"/>
        <v>2.4046767707101031</v>
      </c>
      <c r="BN14" s="78">
        <f>'Alternative 3'!$B$39*$B14*$C14*COS($K$83)-($N$82/3)*$E14*SIN($K$83)-($N$82/3)*$F14*SIN($K$83)-($N$82/3)*$G14*SIN($K$83)</f>
        <v>47176.157571494987</v>
      </c>
      <c r="BO14" s="79">
        <f>IF(($A14&lt;'Alternative 3'!$B$27),(($H14*'Alternative 3'!$B$39)+(3*($N$82/3)*COS($K$83))),IF(($A14&lt;'Alternative 3'!$B$28),(($H14*'Alternative 3'!$B$39)+(2*(($N$82/3)*COS($K$83)))),IF(($A14&lt;'Alternative 3'!$B$29),(($H$3*'Alternative 3'!$B$39+(($N$82/3)*COS($K$83)))),($H14*'Alternative 3'!$B$39))))</f>
        <v>219652.11858153975</v>
      </c>
      <c r="BP14" s="78">
        <f>BN14*'Alternative 3'!$K15/'Alternative 3'!$L15</f>
        <v>852158.28812487388</v>
      </c>
      <c r="BQ14" s="78">
        <f>BO14/'Alternative 3'!$M15</f>
        <v>79352.878338012</v>
      </c>
      <c r="BR14" s="78">
        <f t="shared" si="10"/>
        <v>0.9315111664628859</v>
      </c>
      <c r="BT14" s="78">
        <f>'Alternative 3'!$B$39*$B14*$C14*COS($K$93)-($K$92/3)*$E14*SIN($K$93)-($K$92/3)*$F14*SIN($K$93)-($K$92/3)*$G14*SIN($K$93)</f>
        <v>-16.051211354011741</v>
      </c>
      <c r="BU14" s="79">
        <f>IF(($A14&lt;'Alternative 3'!$B$27),(($H14*'Alternative 3'!$B$39)+(3*($N$92/3)*COS($K$93))),IF(($A14&lt;'Alternative 3'!$B$28),(($H14*'Alternative 3'!$B$39)+(2*(($N$92/3)*COS($K$93)))),IF(($A14&lt;'Alternative 3'!$B$29),(($H$3*'Alternative 3'!$B$39+(($N$92/3)*COS($K$93)))),($H14*'Alternative 3'!$B$39))))</f>
        <v>212583.26848959137</v>
      </c>
      <c r="BV14" s="78">
        <f>BT14*'Alternative 3'!$K15/'Alternative 3'!$L15</f>
        <v>-289.93825470071516</v>
      </c>
      <c r="BW14" s="78">
        <f>BU14/'Alternative 3'!$M15</f>
        <v>76799.141980000073</v>
      </c>
      <c r="BX14" s="78">
        <f t="shared" si="11"/>
        <v>7.650920372529936E-2</v>
      </c>
      <c r="BZ14" s="77">
        <v>150</v>
      </c>
      <c r="CA14" s="77">
        <v>-150</v>
      </c>
    </row>
    <row r="15" spans="1:79" ht="15" customHeight="1" x14ac:dyDescent="0.25">
      <c r="A15" s="13">
        <f>IF('Alternative 3'!F16&gt;0,'Alternative 3'!F16,"x")</f>
        <v>13</v>
      </c>
      <c r="B15" s="13">
        <f t="shared" si="17"/>
        <v>24</v>
      </c>
      <c r="C15" s="13">
        <f t="shared" si="12"/>
        <v>12</v>
      </c>
      <c r="D15" s="13">
        <f t="shared" si="13"/>
        <v>13</v>
      </c>
      <c r="E15" s="74">
        <f>IF($A15&lt;='Alternative 3'!$B$27, IF($A15='Alternative 3'!$B$27,0,E16+1),0)</f>
        <v>3</v>
      </c>
      <c r="F15" s="74">
        <f>IF($A15&lt;=('Alternative 3'!$B$28), IF($A15=ROUNDDOWN('Alternative 3'!$B$28,0),0,F16+1),0)</f>
        <v>9</v>
      </c>
      <c r="G15" s="74">
        <f>IF($A15&lt;=('Alternative 3'!$B$29), IF($A15=ROUNDDOWN('Alternative 3'!$B$29,0),0,G16+1),0)</f>
        <v>16</v>
      </c>
      <c r="H15" s="13">
        <f t="shared" si="14"/>
        <v>24</v>
      </c>
      <c r="J15" s="77">
        <f t="shared" si="15"/>
        <v>12</v>
      </c>
      <c r="K15" s="77">
        <f t="shared" si="16"/>
        <v>0.20943951023931953</v>
      </c>
      <c r="L15" s="78">
        <f>'Alternative 3'!$B$27*SIN(K15)+'Alternative 3'!$B$28*SIN(K15)+'Alternative 3'!$B$29*SIN(K15)</f>
        <v>14.137994975607633</v>
      </c>
      <c r="M15" s="77">
        <f>(('Alternative 3'!$B$27)*(((('Alternative 3'!$B$28-'Alternative 3'!$B$27)/2)+'Alternative 3'!$B$27)*'Alternative 3'!$B$39)*COS('Alternative 3-Tilt Up'!K15))+(('Alternative 3'!$B$28)*((('Alternative 3'!$B$28-'Alternative 3'!$B$27)/2)+(('Alternative 3'!$B$29-'Alternative 3'!$B$28)/2))*('Alternative 3'!$B$39)*COS('Alternative 3-Tilt Up'!K15))+(('Alternative 3'!$B$29)*((('Alternative 3'!$B$12-'Alternative 3'!$B$29+(('Alternative 3'!$B$29-'Alternative 3'!$B$28)/2)*('Alternative 3'!$B$39)*COS('Alternative 3-Tilt Up'!K15)))))</f>
        <v>4642402.7546709683</v>
      </c>
      <c r="N15" s="77">
        <f t="shared" si="0"/>
        <v>985090.76343863469</v>
      </c>
      <c r="O15" s="77">
        <f>(((('Alternative 3'!$B$28-'Alternative 3'!$B$27)/2)+'Alternative 3'!$B$27)*('Alternative 3'!$B$39)*COS('Alternative 3-Tilt Up'!K15))+(((('Alternative 3'!$B$28-'Alternative 3'!$B$27)/2)+(('Alternative 3'!$B$29-'Alternative 3'!$B$28)/2))*('Alternative 3'!$B$39)*COS('Alternative 3-Tilt Up'!K15))+(((('Alternative 3'!$B$12-'Alternative 3'!$B$29)+(('Alternative 3'!$B$29-'Alternative 3'!$B$28)/2))*('Alternative 3'!$B$39)*COS('Alternative 3-Tilt Up'!K15)))</f>
        <v>299430.45220211166</v>
      </c>
      <c r="P15" s="77">
        <f t="shared" si="1"/>
        <v>963564.16676253348</v>
      </c>
      <c r="R15" s="78">
        <f>'Alternative 3'!$B$39*$B15*$C15*COS($K$5)-($N$5/3)*$E15*SIN($K$5)-($N$5/3)*$F15*SIN($K$5)-($N$5/3)*$G15*SIN($K$5)</f>
        <v>494376.27359585627</v>
      </c>
      <c r="S15" s="79">
        <f>IF(($A15&lt;'Alternative 3'!$B$27),(($H15*'Alternative 3'!$B$39)+(3*($N$5/3)*COS($K$5))),IF(($A15&lt;'Alternative 3'!$B$28),(($H15*'Alternative 3'!$B$39)+(2*(($N$5/3)*COS($K$5)))),IF(($A15&lt;'Alternative 3'!$B$29),(($H$3*'Alternative 3'!$B$39+(($N$5/3)*COS($K$5)))),($H15*'Alternative 3'!$B$39))))</f>
        <v>6196495.5689737843</v>
      </c>
      <c r="T15" s="78">
        <f>R15*'Alternative 3'!$K16/'Alternative 3'!$L16</f>
        <v>9122343.9607528448</v>
      </c>
      <c r="U15" s="78">
        <f>S15/'Alternative 3'!$M16</f>
        <v>2286780.857884889</v>
      </c>
      <c r="V15" s="78">
        <f t="shared" si="2"/>
        <v>11.409124818637734</v>
      </c>
      <c r="X15" s="78">
        <f>'Alternative 3'!$B$39*$B15*$C15*COS($K$13)-($N$12/3)*$E15*SIN($K$13)-($N$12/3)*$F15*SIN($K$13)-($N$12/3)*$G15*SIN($K$13)</f>
        <v>269134.43229101854</v>
      </c>
      <c r="Y15" s="79">
        <f>IF(($A15&lt;'Alternative 3'!$B$27),(($H15*'Alternative 3'!$B$39)+(3*($N$12/3)*COS($K$13))),IF(($A15&lt;'Alternative 3'!$B$28),(($H15*'Alternative 3'!$B$39)+(2*(($N$12/3)*COS($K$13)))),IF(($A15&lt;'Alternative 3'!$B$29),(($H$3*'Alternative 3'!$B$39+(($N$12/3)*COS($K$13)))),($H15*'Alternative 3'!$B$39))))</f>
        <v>1506015.6237767073</v>
      </c>
      <c r="Z15" s="78">
        <f>X15*'Alternative 3'!$K16/'Alternative 3'!$L16</f>
        <v>4966130.0393385161</v>
      </c>
      <c r="AA15" s="78">
        <f>Y15/'Alternative 3'!$M16</f>
        <v>555786.35727137327</v>
      </c>
      <c r="AB15" s="78">
        <f t="shared" si="3"/>
        <v>5.521916396609889</v>
      </c>
      <c r="AD15" s="78">
        <f>'Alternative 3'!$B$39*$B15*$C15*COS($K$23)-($N$22/3)*$E15*SIN($K$23)-($N$22/3)*$F15*SIN($K$23)-($N$22/3)*$G15*SIN($K$23)</f>
        <v>360079.12441795366</v>
      </c>
      <c r="AE15" s="79">
        <f>IF(($A15&lt;'Alternative 3'!$B$27),(($H15*'Alternative 3'!$B$39)+(3*($N$22/3)*COS($K$23))),IF(($A15&lt;'Alternative 3'!$B$28),(($H15*'Alternative 3'!$B$39)+(2*(($N$22/3)*COS($K$23)))),IF(($A15&lt;'Alternative 3'!$B$29),(($H$3*'Alternative 3'!$B$39+(($N$22/3)*COS($K$23)))),($H15*'Alternative 3'!$B$39))))</f>
        <v>775512.99290821969</v>
      </c>
      <c r="AF15" s="78">
        <f>AD15*'Alternative 3'!$K16/'Alternative 3'!$L16</f>
        <v>6644262.2784776464</v>
      </c>
      <c r="AG15" s="78">
        <f>AE15/'Alternative 3'!$M16</f>
        <v>286198.58555264614</v>
      </c>
      <c r="AH15" s="78">
        <f t="shared" si="4"/>
        <v>6.9304608640302918</v>
      </c>
      <c r="AJ15" s="78">
        <f>'Alternative 3'!$B$39*$B15*$C15*COS($K$33)-($N$32/3)*$E15*SIN($K$33)-($N$32/3)*$F15*SIN($K$33)-($N$32/3)*$G15*SIN($K$33)</f>
        <v>358041.85533938603</v>
      </c>
      <c r="AK15" s="79">
        <f>IF(($A15&lt;'Alternative 3'!$B$27),(($H15*'Alternative 3'!$B$39)+(3*($N$32/3)*COS($K$33))),IF(($A15&lt;'Alternative 3'!$B$28),(($H15*'Alternative 3'!$B$39)+(2*(($N$32/3)*COS($K$33)))),IF(($A15&lt;'Alternative 3'!$B$29),(($H$3*'Alternative 3'!$B$39+(($N$32/3)*COS($K$33)))),($H15*'Alternative 3'!$B$39))))</f>
        <v>531218.3871945896</v>
      </c>
      <c r="AL15" s="78">
        <f>AJ15*'Alternative 3'!$K16/'Alternative 3'!$L16</f>
        <v>6606670.1239429563</v>
      </c>
      <c r="AM15" s="78">
        <f>AK15/'Alternative 3'!$M16</f>
        <v>196043.0739716083</v>
      </c>
      <c r="AN15" s="78">
        <f t="shared" si="5"/>
        <v>6.8027131979145654</v>
      </c>
      <c r="AP15" s="78">
        <f>'Alternative 3'!$B$39*$B15*$C15*COS($K$43)-($N$42/3)*$E15*SIN($K$43)-($N$42/3)*$F15*SIN($K$43)-($N$42/3)*$G15*SIN($K$43)</f>
        <v>324730.31510917912</v>
      </c>
      <c r="AQ15" s="79">
        <f>IF(($A15&lt;'Alternative 3'!$B$27),(($H15*'Alternative 3'!$B$39)+(3*($N$42/3)*COS($K$43))),IF(($A15&lt;'Alternative 3'!$B$28),(($H15*'Alternative 3'!$B$39)+(2*(($N$42/3)*COS($K$43)))),IF(($A15&lt;'Alternative 3'!$B$29),(($H$3*'Alternative 3'!$B$39+(($N$42/3)*COS($K$43)))),($H15*'Alternative 3'!$B$39))))</f>
        <v>402159.76740621252</v>
      </c>
      <c r="AR15" s="78">
        <f>AP15*'Alternative 3'!$K16/'Alternative 3'!$L16</f>
        <v>5991997.9722392932</v>
      </c>
      <c r="AS15" s="78">
        <f>AQ15/'Alternative 3'!$M16</f>
        <v>148414.73663286612</v>
      </c>
      <c r="AT15" s="78">
        <f t="shared" si="6"/>
        <v>6.1404127088721587</v>
      </c>
      <c r="AV15" s="78">
        <f>'Alternative 3'!$B$39*$B15*$C15*COS($K$53)-($N$52/3)*$E15*SIN($K$53)-($N$52/3)*$F15*SIN($K$53)-($N$52/3)*$G15*SIN($K$53)</f>
        <v>272752.44560191571</v>
      </c>
      <c r="AW15" s="79">
        <f>IF(($A15&lt;'Alternative 3'!$B$27),(($H15*'Alternative 3'!$B$39)+(3*($N$52/3)*COS($K$53))),IF(($A15&lt;'Alternative 3'!$B$28),(($H15*'Alternative 3'!$B$39)+(2*(($N$52/3)*COS($K$53)))),IF(($A15&lt;'Alternative 3'!$B$29),(($H$3*'Alternative 3'!$B$39+(($N$52/3)*COS($K$53)))),($H15*'Alternative 3'!$B$39))))</f>
        <v>321081.13308407128</v>
      </c>
      <c r="AX15" s="78">
        <f>AV15*'Alternative 3'!$K16/'Alternative 3'!$L16</f>
        <v>5032890.4476334471</v>
      </c>
      <c r="AY15" s="78">
        <f>AW15/'Alternative 3'!$M16</f>
        <v>118493.13548145475</v>
      </c>
      <c r="AZ15" s="78">
        <f t="shared" si="7"/>
        <v>5.1513835831149013</v>
      </c>
      <c r="BB15" s="78">
        <f>'Alternative 3'!$B$39*$B15*$C15*COS($K$63)-($N$62/3)*$E15*SIN($K$63)-($N$62/3)*$F15*SIN($K$63)-($N$62/3)*$G15*SIN($K$63)</f>
        <v>207509.09624013607</v>
      </c>
      <c r="BC15" s="79">
        <f>IF(($A15&lt;'Alternative 3'!$B$27),(($H15*'Alternative 3'!$B$39)+(3*($N$62/3)*COS($K$63))),IF(($A15&lt;'Alternative 3'!$B$28),(($H15*'Alternative 3'!$B$39)+(2*(($N$62/3)*COS($K$63)))),IF(($A15&lt;'Alternative 3'!$B$29),(($H$3*'Alternative 3'!$B$39+(($N$62/3)*COS($K$63)))),($H15*'Alternative 3'!$B$39))))</f>
        <v>266988.67447180871</v>
      </c>
      <c r="BD15" s="78">
        <f>BB15*'Alternative 3'!$K16/'Alternative 3'!$L16</f>
        <v>3829005.2577137928</v>
      </c>
      <c r="BE15" s="78">
        <f>BC15/'Alternative 3'!$M16</f>
        <v>98530.62642555972</v>
      </c>
      <c r="BF15" s="78">
        <f t="shared" si="8"/>
        <v>3.9275358841393526</v>
      </c>
      <c r="BH15" s="78">
        <f>'Alternative 3'!$B$39*$B15*$C15*COS($K$73)-($N$72/3)*$E15*SIN($K$73)-($N$72/3)*$F15*SIN($K$73)-($N$72/3)*$G15*SIN($K$73)</f>
        <v>132604.24924528506</v>
      </c>
      <c r="BI15" s="79">
        <f>IF(($A15&lt;'Alternative 3'!$B$27),(($H15*'Alternative 3'!$B$39)+(3*($N$72/3)*COS($K$73))),IF(($A15&lt;'Alternative 3'!$B$28),(($H15*'Alternative 3'!$B$39)+(2*(($N$72/3)*COS($K$73)))),IF(($A15&lt;'Alternative 3'!$B$29),(($H$3*'Alternative 3'!$B$39+(($N$72/3)*COS($K$73)))),($H15*'Alternative 3'!$B$39))))</f>
        <v>231572.26608177787</v>
      </c>
      <c r="BJ15" s="78">
        <f>BH15*'Alternative 3'!$K16/'Alternative 3'!$L16</f>
        <v>2446843.905906714</v>
      </c>
      <c r="BK15" s="78">
        <f>BI15/'Alternative 3'!$M16</f>
        <v>85460.405708082602</v>
      </c>
      <c r="BL15" s="78">
        <f t="shared" si="9"/>
        <v>2.5323043116147965</v>
      </c>
      <c r="BN15" s="78">
        <f>'Alternative 3'!$B$39*$B15*$C15*COS($K$83)-($N$82/3)*$E15*SIN($K$83)-($N$82/3)*$F15*SIN($K$83)-($N$82/3)*$G15*SIN($K$83)</f>
        <v>51089.195351381495</v>
      </c>
      <c r="BO15" s="79">
        <f>IF(($A15&lt;'Alternative 3'!$B$27),(($H15*'Alternative 3'!$B$39)+(3*($N$82/3)*COS($K$83))),IF(($A15&lt;'Alternative 3'!$B$28),(($H15*'Alternative 3'!$B$39)+(2*(($N$82/3)*COS($K$83)))),IF(($A15&lt;'Alternative 3'!$B$29),(($H$3*'Alternative 3'!$B$39+(($N$82/3)*COS($K$83)))),($H15*'Alternative 3'!$B$39))))</f>
        <v>211148.7878419561</v>
      </c>
      <c r="BP15" s="78">
        <f>BN15*'Alternative 3'!$K16/'Alternative 3'!$L16</f>
        <v>942709.50602776592</v>
      </c>
      <c r="BQ15" s="78">
        <f>BO15/'Alternative 3'!$M16</f>
        <v>77923.239164447397</v>
      </c>
      <c r="BR15" s="78">
        <f t="shared" si="10"/>
        <v>1.0206327451922133</v>
      </c>
      <c r="BT15" s="78">
        <f>'Alternative 3'!$B$39*$B15*$C15*COS($K$93)-($K$92/3)*$E15*SIN($K$93)-($K$92/3)*$F15*SIN($K$93)-($K$92/3)*$G15*SIN($K$93)</f>
        <v>-14.497868319749548</v>
      </c>
      <c r="BU15" s="79">
        <f>IF(($A15&lt;'Alternative 3'!$B$27),(($H15*'Alternative 3'!$B$39)+(3*($N$92/3)*COS($K$93))),IF(($A15&lt;'Alternative 3'!$B$28),(($H15*'Alternative 3'!$B$39)+(2*(($N$92/3)*COS($K$93)))),IF(($A15&lt;'Alternative 3'!$B$29),(($H$3*'Alternative 3'!$B$39+(($N$92/3)*COS($K$93)))),($H15*'Alternative 3'!$B$39))))</f>
        <v>204079.93775000772</v>
      </c>
      <c r="BV15" s="78">
        <f>BT15*'Alternative 3'!$K16/'Alternative 3'!$L16</f>
        <v>-267.51797886355081</v>
      </c>
      <c r="BW15" s="78">
        <f>BU15/'Alternative 3'!$M16</f>
        <v>75314.520914334542</v>
      </c>
      <c r="BX15" s="78">
        <f t="shared" si="11"/>
        <v>7.504700293547098E-2</v>
      </c>
      <c r="BZ15" s="77">
        <v>150</v>
      </c>
      <c r="CA15" s="77">
        <v>-150</v>
      </c>
    </row>
    <row r="16" spans="1:79" ht="15" customHeight="1" x14ac:dyDescent="0.25">
      <c r="A16" s="13">
        <f>IF('Alternative 3'!F17&gt;0,'Alternative 3'!F17,"x")</f>
        <v>14</v>
      </c>
      <c r="B16" s="13">
        <f t="shared" si="17"/>
        <v>23</v>
      </c>
      <c r="C16" s="13">
        <f t="shared" si="12"/>
        <v>11.5</v>
      </c>
      <c r="D16" s="13">
        <f t="shared" si="13"/>
        <v>14</v>
      </c>
      <c r="E16" s="74">
        <f>IF($A16&lt;='Alternative 3'!$B$27, IF($A16='Alternative 3'!$B$27,0,E17+1),0)</f>
        <v>2</v>
      </c>
      <c r="F16" s="74">
        <f>IF($A16&lt;=('Alternative 3'!$B$28), IF($A16=ROUNDDOWN('Alternative 3'!$B$28,0),0,F17+1),0)</f>
        <v>8</v>
      </c>
      <c r="G16" s="74">
        <f>IF($A16&lt;=('Alternative 3'!$B$29), IF($A16=ROUNDDOWN('Alternative 3'!$B$29,0),0,G17+1),0)</f>
        <v>15</v>
      </c>
      <c r="H16" s="13">
        <f t="shared" si="14"/>
        <v>23</v>
      </c>
      <c r="J16" s="77">
        <f t="shared" si="15"/>
        <v>13</v>
      </c>
      <c r="K16" s="77">
        <f t="shared" si="16"/>
        <v>0.22689280275926285</v>
      </c>
      <c r="L16" s="78">
        <f>'Alternative 3'!$B$27*SIN(K16)+'Alternative 3'!$B$28*SIN(K16)+'Alternative 3'!$B$29*SIN(K16)</f>
        <v>15.29667169538282</v>
      </c>
      <c r="M16" s="77">
        <f>(('Alternative 3'!$B$27)*(((('Alternative 3'!$B$28-'Alternative 3'!$B$27)/2)+'Alternative 3'!$B$27)*'Alternative 3'!$B$39)*COS('Alternative 3-Tilt Up'!K16))+(('Alternative 3'!$B$28)*((('Alternative 3'!$B$28-'Alternative 3'!$B$27)/2)+(('Alternative 3'!$B$29-'Alternative 3'!$B$28)/2))*('Alternative 3'!$B$39)*COS('Alternative 3-Tilt Up'!K16))+(('Alternative 3'!$B$29)*((('Alternative 3'!$B$12-'Alternative 3'!$B$29+(('Alternative 3'!$B$29-'Alternative 3'!$B$28)/2)*('Alternative 3'!$B$39)*COS('Alternative 3-Tilt Up'!K16)))))</f>
        <v>4624474.8833795153</v>
      </c>
      <c r="N16" s="77">
        <f t="shared" si="0"/>
        <v>906957.07709580578</v>
      </c>
      <c r="O16" s="77">
        <f>(((('Alternative 3'!$B$28-'Alternative 3'!$B$27)/2)+'Alternative 3'!$B$27)*('Alternative 3'!$B$39)*COS('Alternative 3-Tilt Up'!K16))+(((('Alternative 3'!$B$28-'Alternative 3'!$B$27)/2)+(('Alternative 3'!$B$29-'Alternative 3'!$B$28)/2))*('Alternative 3'!$B$39)*COS('Alternative 3-Tilt Up'!K16))+(((('Alternative 3'!$B$12-'Alternative 3'!$B$29)+(('Alternative 3'!$B$29-'Alternative 3'!$B$28)/2))*('Alternative 3'!$B$39)*COS('Alternative 3-Tilt Up'!K16)))</f>
        <v>298274.07325026265</v>
      </c>
      <c r="P16" s="77">
        <f t="shared" si="1"/>
        <v>883711.82596726785</v>
      </c>
      <c r="R16" s="78">
        <f>'Alternative 3'!$B$39*$B16*$C16*COS($K$5)-($N$5/3)*$E16*SIN($K$5)-($N$5/3)*$F16*SIN($K$5)-($N$5/3)*$G16*SIN($K$5)</f>
        <v>503929.49615670624</v>
      </c>
      <c r="S16" s="79">
        <f>IF(($A16&lt;'Alternative 3'!$B$27),(($H16*'Alternative 3'!$B$39)+(3*($N$5/3)*COS($K$5))),IF(($A16&lt;'Alternative 3'!$B$28),(($H16*'Alternative 3'!$B$39)+(2*(($N$5/3)*COS($K$5)))),IF(($A16&lt;'Alternative 3'!$B$29),(($H$3*'Alternative 3'!$B$39+(($N$5/3)*COS($K$5)))),($H16*'Alternative 3'!$B$39))))</f>
        <v>6187992.2382342005</v>
      </c>
      <c r="T16" s="78">
        <f>R16*'Alternative 3'!$K17/'Alternative 3'!$L17</f>
        <v>9500999.8853864241</v>
      </c>
      <c r="U16" s="78">
        <f>S16/'Alternative 3'!$M17</f>
        <v>2333344.5592010361</v>
      </c>
      <c r="V16" s="78">
        <f t="shared" si="2"/>
        <v>11.83434444458746</v>
      </c>
      <c r="X16" s="78">
        <f>'Alternative 3'!$B$39*$B16*$C16*COS($K$13)-($N$12/3)*$E16*SIN($K$13)-($N$12/3)*$F16*SIN($K$13)-($N$12/3)*$G16*SIN($K$13)</f>
        <v>301908.38897363818</v>
      </c>
      <c r="Y16" s="79">
        <f>IF(($A16&lt;'Alternative 3'!$B$27),(($H16*'Alternative 3'!$B$39)+(3*($N$12/3)*COS($K$13))),IF(($A16&lt;'Alternative 3'!$B$28),(($H16*'Alternative 3'!$B$39)+(2*(($N$12/3)*COS($K$13)))),IF(($A16&lt;'Alternative 3'!$B$29),(($H$3*'Alternative 3'!$B$39+(($N$12/3)*COS($K$13)))),($H16*'Alternative 3'!$B$39))))</f>
        <v>1497512.2930371237</v>
      </c>
      <c r="Z16" s="78">
        <f>X16*'Alternative 3'!$K17/'Alternative 3'!$L17</f>
        <v>5692128.7420408195</v>
      </c>
      <c r="AA16" s="78">
        <f>Y16/'Alternative 3'!$M17</f>
        <v>564676.2353231305</v>
      </c>
      <c r="AB16" s="78">
        <f t="shared" si="3"/>
        <v>6.2568049773639496</v>
      </c>
      <c r="AD16" s="78">
        <f>'Alternative 3'!$B$39*$B16*$C16*COS($K$23)-($N$22/3)*$E16*SIN($K$23)-($N$22/3)*$F16*SIN($K$23)-($N$22/3)*$G16*SIN($K$23)</f>
        <v>380286.59439125424</v>
      </c>
      <c r="AE16" s="79">
        <f>IF(($A16&lt;'Alternative 3'!$B$27),(($H16*'Alternative 3'!$B$39)+(3*($N$22/3)*COS($K$23))),IF(($A16&lt;'Alternative 3'!$B$28),(($H16*'Alternative 3'!$B$39)+(2*(($N$22/3)*COS($K$23)))),IF(($A16&lt;'Alternative 3'!$B$29),(($H$3*'Alternative 3'!$B$39+(($N$22/3)*COS($K$23)))),($H16*'Alternative 3'!$B$39))))</f>
        <v>767009.66216863599</v>
      </c>
      <c r="AF16" s="78">
        <f>AD16*'Alternative 3'!$K17/'Alternative 3'!$L17</f>
        <v>7169857.9211599445</v>
      </c>
      <c r="AG16" s="78">
        <f>AE16/'Alternative 3'!$M17</f>
        <v>289221.08386265818</v>
      </c>
      <c r="AH16" s="78">
        <f t="shared" si="4"/>
        <v>7.4590790050226028</v>
      </c>
      <c r="AJ16" s="78">
        <f>'Alternative 3'!$B$39*$B16*$C16*COS($K$33)-($N$32/3)*$E16*SIN($K$33)-($N$32/3)*$F16*SIN($K$33)-($N$32/3)*$G16*SIN($K$33)</f>
        <v>373858.9669128689</v>
      </c>
      <c r="AK16" s="79">
        <f>IF(($A16&lt;'Alternative 3'!$B$27),(($H16*'Alternative 3'!$B$39)+(3*($N$32/3)*COS($K$33))),IF(($A16&lt;'Alternative 3'!$B$28),(($H16*'Alternative 3'!$B$39)+(2*(($N$32/3)*COS($K$33)))),IF(($A16&lt;'Alternative 3'!$B$29),(($H$3*'Alternative 3'!$B$39+(($N$32/3)*COS($K$33)))),($H16*'Alternative 3'!$B$39))))</f>
        <v>522715.05645500589</v>
      </c>
      <c r="AL16" s="78">
        <f>AJ16*'Alternative 3'!$K17/'Alternative 3'!$L17</f>
        <v>7048672.540265996</v>
      </c>
      <c r="AM16" s="78">
        <f>AK16/'Alternative 3'!$M17</f>
        <v>197103.40382388642</v>
      </c>
      <c r="AN16" s="78">
        <f t="shared" si="5"/>
        <v>7.2457759440898819</v>
      </c>
      <c r="AP16" s="78">
        <f>'Alternative 3'!$B$39*$B16*$C16*COS($K$43)-($N$42/3)*$E16*SIN($K$43)-($N$42/3)*$F16*SIN($K$43)-($N$42/3)*$G16*SIN($K$43)</f>
        <v>337861.68948242895</v>
      </c>
      <c r="AQ16" s="79">
        <f>IF(($A16&lt;'Alternative 3'!$B$27),(($H16*'Alternative 3'!$B$39)+(3*($N$42/3)*COS($K$43))),IF(($A16&lt;'Alternative 3'!$B$28),(($H16*'Alternative 3'!$B$39)+(2*(($N$42/3)*COS($K$43)))),IF(($A16&lt;'Alternative 3'!$B$29),(($H$3*'Alternative 3'!$B$39+(($N$42/3)*COS($K$43)))),($H16*'Alternative 3'!$B$39))))</f>
        <v>393656.43666662881</v>
      </c>
      <c r="AR16" s="78">
        <f>AP16*'Alternative 3'!$K17/'Alternative 3'!$L17</f>
        <v>6369986.0745019866</v>
      </c>
      <c r="AS16" s="78">
        <f>AQ16/'Alternative 3'!$M17</f>
        <v>148438.47072320475</v>
      </c>
      <c r="AT16" s="78">
        <f t="shared" si="6"/>
        <v>6.5184245452251908</v>
      </c>
      <c r="AV16" s="78">
        <f>'Alternative 3'!$B$39*$B16*$C16*COS($K$53)-($N$52/3)*$E16*SIN($K$53)-($N$52/3)*$F16*SIN($K$53)-($N$52/3)*$G16*SIN($K$53)</f>
        <v>283741.90292803303</v>
      </c>
      <c r="AW16" s="79">
        <f>IF(($A16&lt;'Alternative 3'!$B$27),(($H16*'Alternative 3'!$B$39)+(3*($N$52/3)*COS($K$53))),IF(($A16&lt;'Alternative 3'!$B$28),(($H16*'Alternative 3'!$B$39)+(2*(($N$52/3)*COS($K$53)))),IF(($A16&lt;'Alternative 3'!$B$29),(($H$3*'Alternative 3'!$B$39+(($N$52/3)*COS($K$53)))),($H16*'Alternative 3'!$B$39))))</f>
        <v>312577.80234448763</v>
      </c>
      <c r="AX16" s="78">
        <f>AV16*'Alternative 3'!$K17/'Alternative 3'!$L17</f>
        <v>5349620.9445145251</v>
      </c>
      <c r="AY16" s="78">
        <f>AW16/'Alternative 3'!$M17</f>
        <v>117865.64791096993</v>
      </c>
      <c r="AZ16" s="78">
        <f t="shared" si="7"/>
        <v>5.4674865924254954</v>
      </c>
      <c r="BB16" s="78">
        <f>'Alternative 3'!$B$39*$B16*$C16*COS($K$63)-($N$62/3)*$E16*SIN($K$63)-($N$62/3)*$F16*SIN($K$63)-($N$62/3)*$G16*SIN($K$63)</f>
        <v>216556.08829216112</v>
      </c>
      <c r="BC16" s="79">
        <f>IF(($A16&lt;'Alternative 3'!$B$27),(($H16*'Alternative 3'!$B$39)+(3*($N$62/3)*COS($K$63))),IF(($A16&lt;'Alternative 3'!$B$28),(($H16*'Alternative 3'!$B$39)+(2*(($N$62/3)*COS($K$63)))),IF(($A16&lt;'Alternative 3'!$B$29),(($H$3*'Alternative 3'!$B$39+(($N$62/3)*COS($K$63)))),($H16*'Alternative 3'!$B$39))))</f>
        <v>258485.34373222507</v>
      </c>
      <c r="BD16" s="78">
        <f>BB16*'Alternative 3'!$K17/'Alternative 3'!$L17</f>
        <v>4082911.172565572</v>
      </c>
      <c r="BE16" s="78">
        <f>BC16/'Alternative 3'!$M17</f>
        <v>97468.669515155547</v>
      </c>
      <c r="BF16" s="78">
        <f t="shared" si="8"/>
        <v>4.1803798420807281</v>
      </c>
      <c r="BH16" s="78">
        <f>'Alternative 3'!$B$39*$B16*$C16*COS($K$73)-($N$72/3)*$E16*SIN($K$73)-($N$72/3)*$F16*SIN($K$73)-($N$72/3)*$G16*SIN($K$73)</f>
        <v>139793.50618505391</v>
      </c>
      <c r="BI16" s="79">
        <f>IF(($A16&lt;'Alternative 3'!$B$27),(($H16*'Alternative 3'!$B$39)+(3*($N$72/3)*COS($K$73))),IF(($A16&lt;'Alternative 3'!$B$28),(($H16*'Alternative 3'!$B$39)+(2*(($N$72/3)*COS($K$73)))),IF(($A16&lt;'Alternative 3'!$B$29),(($H$3*'Alternative 3'!$B$39+(($N$72/3)*COS($K$73)))),($H16*'Alternative 3'!$B$39))))</f>
        <v>223068.93534219419</v>
      </c>
      <c r="BJ16" s="78">
        <f>BH16*'Alternative 3'!$K17/'Alternative 3'!$L17</f>
        <v>2635642.6769449152</v>
      </c>
      <c r="BK16" s="78">
        <f>BI16/'Alternative 3'!$M17</f>
        <v>84113.985048566406</v>
      </c>
      <c r="BL16" s="78">
        <f t="shared" si="9"/>
        <v>2.7197566619934817</v>
      </c>
      <c r="BN16" s="78">
        <f>'Alternative 3'!$B$39*$B16*$C16*COS($K$83)-($N$82/3)*$E16*SIN($K$83)-($N$82/3)*$F16*SIN($K$83)-($N$82/3)*$G16*SIN($K$83)</f>
        <v>56478.821018295828</v>
      </c>
      <c r="BO16" s="79">
        <f>IF(($A16&lt;'Alternative 3'!$B$27),(($H16*'Alternative 3'!$B$39)+(3*($N$82/3)*COS($K$83))),IF(($A16&lt;'Alternative 3'!$B$28),(($H16*'Alternative 3'!$B$39)+(2*(($N$82/3)*COS($K$83)))),IF(($A16&lt;'Alternative 3'!$B$29),(($H$3*'Alternative 3'!$B$39+(($N$82/3)*COS($K$83)))),($H16*'Alternative 3'!$B$39))))</f>
        <v>202645.45710237243</v>
      </c>
      <c r="BP16" s="78">
        <f>BN16*'Alternative 3'!$K17/'Alternative 3'!$L17</f>
        <v>1064841.9592702738</v>
      </c>
      <c r="BQ16" s="78">
        <f>BO16/'Alternative 3'!$M17</f>
        <v>76412.777613883576</v>
      </c>
      <c r="BR16" s="78">
        <f t="shared" si="10"/>
        <v>1.1412547368841575</v>
      </c>
      <c r="BT16" s="78">
        <f>'Alternative 3'!$B$39*$B16*$C16*COS($K$93)-($K$92/3)*$E16*SIN($K$93)-($K$92/3)*$F16*SIN($K$93)-($K$92/3)*$G16*SIN($K$93)</f>
        <v>-12.944525285486835</v>
      </c>
      <c r="BU16" s="79">
        <f>IF(($A16&lt;'Alternative 3'!$B$27),(($H16*'Alternative 3'!$B$39)+(3*($N$92/3)*COS($K$93))),IF(($A16&lt;'Alternative 3'!$B$28),(($H16*'Alternative 3'!$B$39)+(2*(($N$92/3)*COS($K$93)))),IF(($A16&lt;'Alternative 3'!$B$29),(($H$3*'Alternative 3'!$B$39+(($N$92/3)*COS($K$93)))),($H16*'Alternative 3'!$B$39))))</f>
        <v>195576.60701042405</v>
      </c>
      <c r="BV16" s="78">
        <f>BT16*'Alternative 3'!$K17/'Alternative 3'!$L17</f>
        <v>-244.05384918279785</v>
      </c>
      <c r="BW16" s="78">
        <f>BU16/'Alternative 3'!$M17</f>
        <v>73747.282528103984</v>
      </c>
      <c r="BX16" s="78">
        <f t="shared" si="11"/>
        <v>7.3503228678921173E-2</v>
      </c>
      <c r="BZ16" s="77">
        <v>150</v>
      </c>
      <c r="CA16" s="77">
        <v>-150</v>
      </c>
    </row>
    <row r="17" spans="1:79" ht="15" customHeight="1" x14ac:dyDescent="0.25">
      <c r="A17" s="13">
        <f>IF('Alternative 3'!F18&gt;0,'Alternative 3'!F18,"x")</f>
        <v>15</v>
      </c>
      <c r="B17" s="13">
        <f t="shared" si="17"/>
        <v>22</v>
      </c>
      <c r="C17" s="13">
        <f t="shared" si="12"/>
        <v>11</v>
      </c>
      <c r="D17" s="13">
        <f t="shared" si="13"/>
        <v>15</v>
      </c>
      <c r="E17" s="74">
        <f>IF($A17&lt;='Alternative 3'!$B$27, IF($A17='Alternative 3'!$B$27,0,E18+1),0)</f>
        <v>1</v>
      </c>
      <c r="F17" s="74">
        <f>IF($A17&lt;=('Alternative 3'!$B$28), IF($A17=ROUNDDOWN('Alternative 3'!$B$28,0),0,F18+1),0)</f>
        <v>7</v>
      </c>
      <c r="G17" s="74">
        <f>IF($A17&lt;=('Alternative 3'!$B$29), IF($A17=ROUNDDOWN('Alternative 3'!$B$29,0),0,G18+1),0)</f>
        <v>14</v>
      </c>
      <c r="H17" s="13">
        <f t="shared" si="14"/>
        <v>22</v>
      </c>
      <c r="J17" s="77">
        <f t="shared" si="15"/>
        <v>14</v>
      </c>
      <c r="K17" s="77">
        <f t="shared" si="16"/>
        <v>0.24434609527920614</v>
      </c>
      <c r="L17" s="78">
        <f>'Alternative 3'!$B$27*SIN(K17)+'Alternative 3'!$B$28*SIN(K17)+'Alternative 3'!$B$29*SIN(K17)</f>
        <v>16.450688900777408</v>
      </c>
      <c r="M17" s="77">
        <f>(('Alternative 3'!$B$27)*(((('Alternative 3'!$B$28-'Alternative 3'!$B$27)/2)+'Alternative 3'!$B$27)*'Alternative 3'!$B$39)*COS('Alternative 3-Tilt Up'!K17))+(('Alternative 3'!$B$28)*((('Alternative 3'!$B$28-'Alternative 3'!$B$27)/2)+(('Alternative 3'!$B$29-'Alternative 3'!$B$28)/2))*('Alternative 3'!$B$39)*COS('Alternative 3-Tilt Up'!K17))+(('Alternative 3'!$B$29)*((('Alternative 3'!$B$12-'Alternative 3'!$B$29+(('Alternative 3'!$B$29-'Alternative 3'!$B$28)/2)*('Alternative 3'!$B$39)*COS('Alternative 3-Tilt Up'!K17)))))</f>
        <v>4605138.4118314199</v>
      </c>
      <c r="N17" s="77">
        <f t="shared" si="0"/>
        <v>839807.70159974194</v>
      </c>
      <c r="O17" s="77">
        <f>(((('Alternative 3'!$B$28-'Alternative 3'!$B$27)/2)+'Alternative 3'!$B$27)*('Alternative 3'!$B$39)*COS('Alternative 3-Tilt Up'!K17))+(((('Alternative 3'!$B$28-'Alternative 3'!$B$27)/2)+(('Alternative 3'!$B$29-'Alternative 3'!$B$28)/2))*('Alternative 3'!$B$39)*COS('Alternative 3-Tilt Up'!K17))+(((('Alternative 3'!$B$12-'Alternative 3'!$B$29)+(('Alternative 3'!$B$29-'Alternative 3'!$B$28)/2))*('Alternative 3'!$B$39)*COS('Alternative 3-Tilt Up'!K17)))</f>
        <v>297026.83712625579</v>
      </c>
      <c r="P17" s="77">
        <f t="shared" si="1"/>
        <v>814861.82375589688</v>
      </c>
      <c r="R17" s="78">
        <f>'Alternative 3'!$B$39*$B17*$C17*COS($K$5)-($N$5/3)*$E17*SIN($K$5)-($N$5/3)*$F17*SIN($K$5)-($N$5/3)*$G17*SIN($K$5)</f>
        <v>521980.86945780611</v>
      </c>
      <c r="S17" s="79">
        <f>IF(($A17&lt;'Alternative 3'!$B$27),(($H17*'Alternative 3'!$B$39)+(3*($N$5/3)*COS($K$5))),IF(($A17&lt;'Alternative 3'!$B$28),(($H17*'Alternative 3'!$B$39)+(2*(($N$5/3)*COS($K$5)))),IF(($A17&lt;'Alternative 3'!$B$29),(($H$3*'Alternative 3'!$B$39+(($N$5/3)*COS($K$5)))),($H17*'Alternative 3'!$B$39))))</f>
        <v>6179488.9074946167</v>
      </c>
      <c r="T17" s="78">
        <f>R17*'Alternative 3'!$K18/'Alternative 3'!$L18</f>
        <v>10057883.254877776</v>
      </c>
      <c r="U17" s="78">
        <f>S17/'Alternative 3'!$M18</f>
        <v>2381409.8290467546</v>
      </c>
      <c r="V17" s="78">
        <f t="shared" si="2"/>
        <v>12.439293083924531</v>
      </c>
      <c r="X17" s="78">
        <f>'Alternative 3'!$B$39*$B17*$C17*COS($K$13)-($N$12/3)*$E17*SIN($K$13)-($N$12/3)*$F17*SIN($K$13)-($N$12/3)*$G17*SIN($K$13)</f>
        <v>343056.49169502757</v>
      </c>
      <c r="Y17" s="79">
        <f>IF(($A17&lt;'Alternative 3'!$B$27),(($H17*'Alternative 3'!$B$39)+(3*($N$12/3)*COS($K$13))),IF(($A17&lt;'Alternative 3'!$B$28),(($H17*'Alternative 3'!$B$39)+(2*(($N$12/3)*COS($K$13)))),IF(($A17&lt;'Alternative 3'!$B$29),(($H$3*'Alternative 3'!$B$39+(($N$12/3)*COS($K$13)))),($H17*'Alternative 3'!$B$39))))</f>
        <v>1489008.9622975399</v>
      </c>
      <c r="Z17" s="78">
        <f>X17*'Alternative 3'!$K18/'Alternative 3'!$L18</f>
        <v>6610246.361864889</v>
      </c>
      <c r="AA17" s="78">
        <f>Y17/'Alternative 3'!$M18</f>
        <v>573824.24848331336</v>
      </c>
      <c r="AB17" s="78">
        <f t="shared" si="3"/>
        <v>7.1840706103482024</v>
      </c>
      <c r="AD17" s="78">
        <f>'Alternative 3'!$B$39*$B17*$C17*COS($K$23)-($N$22/3)*$E17*SIN($K$23)-($N$22/3)*$F17*SIN($K$23)-($N$22/3)*$G17*SIN($K$23)</f>
        <v>408484.58151264361</v>
      </c>
      <c r="AE17" s="79">
        <f>IF(($A17&lt;'Alternative 3'!$B$27),(($H17*'Alternative 3'!$B$39)+(3*($N$22/3)*COS($K$23))),IF(($A17&lt;'Alternative 3'!$B$28),(($H17*'Alternative 3'!$B$39)+(2*(($N$22/3)*COS($K$23)))),IF(($A17&lt;'Alternative 3'!$B$29),(($H$3*'Alternative 3'!$B$39+(($N$22/3)*COS($K$23)))),($H17*'Alternative 3'!$B$39))))</f>
        <v>758506.3314290524</v>
      </c>
      <c r="AF17" s="78">
        <f>AD17*'Alternative 3'!$K18/'Alternative 3'!$L18</f>
        <v>7870959.4022849156</v>
      </c>
      <c r="AG17" s="78">
        <f>AE17/'Alternative 3'!$M18</f>
        <v>292308.06302906439</v>
      </c>
      <c r="AH17" s="78">
        <f t="shared" si="4"/>
        <v>8.1632674653139805</v>
      </c>
      <c r="AJ17" s="78">
        <f>'Alternative 3'!$B$39*$B17*$C17*COS($K$33)-($N$32/3)*$E17*SIN($K$33)-($N$32/3)*$F17*SIN($K$33)-($N$32/3)*$G17*SIN($K$33)</f>
        <v>397040.17892361211</v>
      </c>
      <c r="AK17" s="79">
        <f>IF(($A17&lt;'Alternative 3'!$B$27),(($H17*'Alternative 3'!$B$39)+(3*($N$32/3)*COS($K$33))),IF(($A17&lt;'Alternative 3'!$B$28),(($H17*'Alternative 3'!$B$39)+(2*(($N$32/3)*COS($K$33)))),IF(($A17&lt;'Alternative 3'!$B$29),(($H$3*'Alternative 3'!$B$39+(($N$32/3)*COS($K$33)))),($H17*'Alternative 3'!$B$39))))</f>
        <v>514211.7257154223</v>
      </c>
      <c r="AL17" s="78">
        <f>AJ17*'Alternative 3'!$K18/'Alternative 3'!$L18</f>
        <v>7650440.8509405656</v>
      </c>
      <c r="AM17" s="78">
        <f>AK17/'Alternative 3'!$M18</f>
        <v>198163.45269988937</v>
      </c>
      <c r="AN17" s="78">
        <f t="shared" si="5"/>
        <v>7.8486043036404549</v>
      </c>
      <c r="AP17" s="78">
        <f>'Alternative 3'!$B$39*$B17*$C17*COS($K$43)-($N$42/3)*$E17*SIN($K$43)-($N$42/3)*$F17*SIN($K$43)-($N$42/3)*$G17*SIN($K$43)</f>
        <v>357506.99311673979</v>
      </c>
      <c r="AQ17" s="79">
        <f>IF(($A17&lt;'Alternative 3'!$B$27),(($H17*'Alternative 3'!$B$39)+(3*($N$42/3)*COS($K$43))),IF(($A17&lt;'Alternative 3'!$B$28),(($H17*'Alternative 3'!$B$39)+(2*(($N$42/3)*COS($K$43)))),IF(($A17&lt;'Alternative 3'!$B$29),(($H$3*'Alternative 3'!$B$39+(($N$42/3)*COS($K$43)))),($H17*'Alternative 3'!$B$39))))</f>
        <v>385153.10592704517</v>
      </c>
      <c r="AR17" s="78">
        <f>AP17*'Alternative 3'!$K18/'Alternative 3'!$L18</f>
        <v>6888688.4749350417</v>
      </c>
      <c r="AS17" s="78">
        <f>AQ17/'Alternative 3'!$M18</f>
        <v>148427.71074969362</v>
      </c>
      <c r="AT17" s="78">
        <f t="shared" si="6"/>
        <v>7.0371161856847353</v>
      </c>
      <c r="AV17" s="78">
        <f>'Alternative 3'!$B$39*$B17*$C17*COS($K$53)-($N$52/3)*$E17*SIN($K$53)-($N$52/3)*$F17*SIN($K$53)-($N$52/3)*$G17*SIN($K$53)</f>
        <v>300197.19589462189</v>
      </c>
      <c r="AW17" s="79">
        <f>IF(($A17&lt;'Alternative 3'!$B$27),(($H17*'Alternative 3'!$B$39)+(3*($N$52/3)*COS($K$53))),IF(($A17&lt;'Alternative 3'!$B$28),(($H17*'Alternative 3'!$B$39)+(2*(($N$52/3)*COS($K$53)))),IF(($A17&lt;'Alternative 3'!$B$29),(($H$3*'Alternative 3'!$B$39+(($N$52/3)*COS($K$53)))),($H17*'Alternative 3'!$B$39))))</f>
        <v>304074.47160490399</v>
      </c>
      <c r="AX17" s="78">
        <f>AV17*'Alternative 3'!$K18/'Alternative 3'!$L18</f>
        <v>5784404.2309176</v>
      </c>
      <c r="AY17" s="78">
        <f>AW17/'Alternative 3'!$M18</f>
        <v>117182.17255214766</v>
      </c>
      <c r="AZ17" s="78">
        <f t="shared" si="7"/>
        <v>5.9015864034697483</v>
      </c>
      <c r="BB17" s="78">
        <f>'Alternative 3'!$B$39*$B17*$C17*COS($K$63)-($N$62/3)*$E17*SIN($K$63)-($N$62/3)*$F17*SIN($K$63)-($N$62/3)*$G17*SIN($K$63)</f>
        <v>229854.74571397819</v>
      </c>
      <c r="BC17" s="79">
        <f>IF(($A17&lt;'Alternative 3'!$B$27),(($H17*'Alternative 3'!$B$39)+(3*($N$62/3)*COS($K$63))),IF(($A17&lt;'Alternative 3'!$B$28),(($H17*'Alternative 3'!$B$39)+(2*(($N$62/3)*COS($K$63)))),IF(($A17&lt;'Alternative 3'!$B$29),(($H$3*'Alternative 3'!$B$39+(($N$62/3)*COS($K$63)))),($H17*'Alternative 3'!$B$39))))</f>
        <v>249982.01299264142</v>
      </c>
      <c r="BD17" s="78">
        <f>BB17*'Alternative 3'!$K18/'Alternative 3'!$L18</f>
        <v>4428997.9446415082</v>
      </c>
      <c r="BE17" s="78">
        <f>BC17/'Alternative 3'!$M18</f>
        <v>96336.385053392602</v>
      </c>
      <c r="BF17" s="78">
        <f t="shared" si="8"/>
        <v>4.5253343296949007</v>
      </c>
      <c r="BH17" s="78">
        <f>'Alternative 3'!$B$39*$B17*$C17*COS($K$73)-($N$72/3)*$E17*SIN($K$73)-($N$72/3)*$F17*SIN($K$73)-($N$72/3)*$G17*SIN($K$73)</f>
        <v>149891.07352312066</v>
      </c>
      <c r="BI17" s="79">
        <f>IF(($A17&lt;'Alternative 3'!$B$27),(($H17*'Alternative 3'!$B$39)+(3*($N$72/3)*COS($K$73))),IF(($A17&lt;'Alternative 3'!$B$28),(($H17*'Alternative 3'!$B$39)+(2*(($N$72/3)*COS($K$73)))),IF(($A17&lt;'Alternative 3'!$B$29),(($H$3*'Alternative 3'!$B$39+(($N$72/3)*COS($K$73)))),($H17*'Alternative 3'!$B$39))))</f>
        <v>214565.60460261055</v>
      </c>
      <c r="BJ17" s="78">
        <f>BH17*'Alternative 3'!$K18/'Alternative 3'!$L18</f>
        <v>2888203.393373047</v>
      </c>
      <c r="BK17" s="78">
        <f>BI17/'Alternative 3'!$M18</f>
        <v>82687.848044569284</v>
      </c>
      <c r="BL17" s="78">
        <f t="shared" si="9"/>
        <v>2.9708912414176161</v>
      </c>
      <c r="BN17" s="78">
        <f>'Alternative 3'!$B$39*$B17*$C17*COS($K$83)-($N$82/3)*$E17*SIN($K$83)-($N$82/3)*$F17*SIN($K$83)-($N$82/3)*$G17*SIN($K$83)</f>
        <v>63345.034572238073</v>
      </c>
      <c r="BO17" s="79">
        <f>IF(($A17&lt;'Alternative 3'!$B$27),(($H17*'Alternative 3'!$B$39)+(3*($N$82/3)*COS($K$83))),IF(($A17&lt;'Alternative 3'!$B$28),(($H17*'Alternative 3'!$B$39)+(2*(($N$82/3)*COS($K$83)))),IF(($A17&lt;'Alternative 3'!$B$29),(($H$3*'Alternative 3'!$B$39+(($N$82/3)*COS($K$83)))),($H17*'Alternative 3'!$B$39))))</f>
        <v>194142.12636278878</v>
      </c>
      <c r="BP17" s="78">
        <f>BN17*'Alternative 3'!$K18/'Alternative 3'!$L18</f>
        <v>1220575.3118223578</v>
      </c>
      <c r="BQ17" s="78">
        <f>BO17/'Alternative 3'!$M18</f>
        <v>74817.185510545401</v>
      </c>
      <c r="BR17" s="78">
        <f t="shared" si="10"/>
        <v>1.2953924973329034</v>
      </c>
      <c r="BT17" s="78">
        <f>'Alternative 3'!$B$39*$B17*$C17*COS($K$93)-($K$92/3)*$E17*SIN($K$93)-($K$92/3)*$F17*SIN($K$93)-($K$92/3)*$G17*SIN($K$93)</f>
        <v>-11.391182251223603</v>
      </c>
      <c r="BU17" s="79">
        <f>IF(($A17&lt;'Alternative 3'!$B$27),(($H17*'Alternative 3'!$B$39)+(3*($N$92/3)*COS($K$93))),IF(($A17&lt;'Alternative 3'!$B$28),(($H17*'Alternative 3'!$B$39)+(2*(($N$92/3)*COS($K$93)))),IF(($A17&lt;'Alternative 3'!$B$29),(($H$3*'Alternative 3'!$B$39+(($N$92/3)*COS($K$93)))),($H17*'Alternative 3'!$B$39))))</f>
        <v>187073.2762708404</v>
      </c>
      <c r="BV17" s="78">
        <f>BT17*'Alternative 3'!$K18/'Alternative 3'!$L18</f>
        <v>-219.49306559232832</v>
      </c>
      <c r="BW17" s="78">
        <f>BU17/'Alternative 3'!$M18</f>
        <v>72093.0396562487</v>
      </c>
      <c r="BX17" s="78">
        <f t="shared" si="11"/>
        <v>7.1873546590656381E-2</v>
      </c>
      <c r="BZ17" s="77">
        <v>150</v>
      </c>
      <c r="CA17" s="77">
        <v>-150</v>
      </c>
    </row>
    <row r="18" spans="1:79" ht="15" customHeight="1" x14ac:dyDescent="0.25">
      <c r="A18" s="13">
        <f>IF('Alternative 3'!F19&gt;0,'Alternative 3'!F19,"x")</f>
        <v>16</v>
      </c>
      <c r="B18" s="13">
        <f t="shared" si="17"/>
        <v>21</v>
      </c>
      <c r="C18" s="13">
        <f t="shared" si="12"/>
        <v>10.5</v>
      </c>
      <c r="D18" s="13">
        <f t="shared" si="13"/>
        <v>16</v>
      </c>
      <c r="E18" s="74">
        <f>IF($A18&lt;='Alternative 3'!$B$27, IF($A18='Alternative 3'!$B$27,0,E19+1),0)</f>
        <v>0</v>
      </c>
      <c r="F18" s="74">
        <f>IF($A18&lt;=('Alternative 3'!$B$28), IF($A18=ROUNDDOWN('Alternative 3'!$B$28,0),0,F19+1),0)</f>
        <v>6</v>
      </c>
      <c r="G18" s="74">
        <f>IF($A18&lt;=('Alternative 3'!$B$29), IF($A18=ROUNDDOWN('Alternative 3'!$B$29,0),0,G19+1),0)</f>
        <v>13</v>
      </c>
      <c r="H18" s="13">
        <f t="shared" si="14"/>
        <v>21</v>
      </c>
      <c r="J18" s="77">
        <f t="shared" si="15"/>
        <v>15</v>
      </c>
      <c r="K18" s="77">
        <f t="shared" si="16"/>
        <v>0.26179938779914941</v>
      </c>
      <c r="L18" s="78">
        <f>'Alternative 3'!$B$27*SIN(K18)+'Alternative 3'!$B$28*SIN(K18)+'Alternative 3'!$B$29*SIN(K18)</f>
        <v>17.59969506697141</v>
      </c>
      <c r="M18" s="77">
        <f>(('Alternative 3'!$B$27)*(((('Alternative 3'!$B$28-'Alternative 3'!$B$27)/2)+'Alternative 3'!$B$27)*'Alternative 3'!$B$39)*COS('Alternative 3-Tilt Up'!K18))+(('Alternative 3'!$B$28)*((('Alternative 3'!$B$28-'Alternative 3'!$B$27)/2)+(('Alternative 3'!$B$29-'Alternative 3'!$B$28)/2))*('Alternative 3'!$B$39)*COS('Alternative 3-Tilt Up'!K18))+(('Alternative 3'!$B$29)*((('Alternative 3'!$B$12-'Alternative 3'!$B$29+(('Alternative 3'!$B$29-'Alternative 3'!$B$28)/2)*('Alternative 3'!$B$39)*COS('Alternative 3-Tilt Up'!K18)))))</f>
        <v>4584399.2301032301</v>
      </c>
      <c r="N18" s="77">
        <f t="shared" si="0"/>
        <v>781445.22606642905</v>
      </c>
      <c r="O18" s="77">
        <f>(((('Alternative 3'!$B$28-'Alternative 3'!$B$27)/2)+'Alternative 3'!$B$27)*('Alternative 3'!$B$39)*COS('Alternative 3-Tilt Up'!K18))+(((('Alternative 3'!$B$28-'Alternative 3'!$B$27)/2)+(('Alternative 3'!$B$29-'Alternative 3'!$B$28)/2))*('Alternative 3'!$B$39)*COS('Alternative 3-Tilt Up'!K18))+(((('Alternative 3'!$B$12-'Alternative 3'!$B$29)+(('Alternative 3'!$B$29-'Alternative 3'!$B$28)/2))*('Alternative 3'!$B$39)*COS('Alternative 3-Tilt Up'!K18)))</f>
        <v>295689.12375029671</v>
      </c>
      <c r="P18" s="77">
        <f t="shared" si="1"/>
        <v>754818.12568786321</v>
      </c>
      <c r="R18" s="78">
        <f>'Alternative 3'!$B$39*$B18*$C18*COS($K$5)-($N$5/3)*$E18*SIN($K$5)-($N$5/3)*$F18*SIN($K$5)-($N$5/3)*$G18*SIN($K$5)</f>
        <v>548530.39349915553</v>
      </c>
      <c r="S18" s="79">
        <f>IF(($A18&lt;'Alternative 3'!$B$27),(($H18*'Alternative 3'!$B$39)+(3*($N$5/3)*COS($K$5))),IF(($A18&lt;'Alternative 3'!$B$28),(($H18*'Alternative 3'!$B$39)+(2*(($N$5/3)*COS($K$5)))),IF(($A18&lt;'Alternative 3'!$B$29),(($H$3*'Alternative 3'!$B$39+(($N$5/3)*COS($K$5)))),($H18*'Alternative 3'!$B$39))))</f>
        <v>4173513.6996804415</v>
      </c>
      <c r="T18" s="78">
        <f>R18*'Alternative 3'!$K19/'Alternative 3'!$L19</f>
        <v>10804611.870247368</v>
      </c>
      <c r="U18" s="78">
        <f>S18/'Alternative 3'!$M19</f>
        <v>1644144.1762862515</v>
      </c>
      <c r="V18" s="78">
        <f t="shared" si="2"/>
        <v>12.448756046533619</v>
      </c>
      <c r="X18" s="78">
        <f>'Alternative 3'!$B$39*$B18*$C18*COS($K$13)-($N$12/3)*$E18*SIN($K$13)-($N$12/3)*$F18*SIN($K$13)-($N$12/3)*$G18*SIN($K$13)</f>
        <v>392578.74045518576</v>
      </c>
      <c r="Y18" s="79">
        <f>IF(($A18&lt;'Alternative 3'!$B$27),(($H18*'Alternative 3'!$B$39)+(3*($N$12/3)*COS($K$13))),IF(($A18&lt;'Alternative 3'!$B$28),(($H18*'Alternative 3'!$B$39)+(2*(($N$12/3)*COS($K$13)))),IF(($A18&lt;'Alternative 3'!$B$29),(($H$3*'Alternative 3'!$B$39+(($N$12/3)*COS($K$13)))),($H18*'Alternative 3'!$B$39))))</f>
        <v>1046527.0695490565</v>
      </c>
      <c r="Z18" s="78">
        <f>X18*'Alternative 3'!$K19/'Alternative 3'!$L19</f>
        <v>7732772.8224332044</v>
      </c>
      <c r="AA18" s="78">
        <f>Y18/'Alternative 3'!$M19</f>
        <v>412276.4439126543</v>
      </c>
      <c r="AB18" s="78">
        <f t="shared" si="3"/>
        <v>8.1450492663458594</v>
      </c>
      <c r="AD18" s="78">
        <f>'Alternative 3'!$B$39*$B18*$C18*COS($K$23)-($N$22/3)*$E18*SIN($K$23)-($N$22/3)*$F18*SIN($K$23)-($N$22/3)*$G18*SIN($K$23)</f>
        <v>444673.08578212198</v>
      </c>
      <c r="AE18" s="79">
        <f>IF(($A18&lt;'Alternative 3'!$B$27),(($H18*'Alternative 3'!$B$39)+(3*($N$22/3)*COS($K$23))),IF(($A18&lt;'Alternative 3'!$B$28),(($H18*'Alternative 3'!$B$39)+(2*(($N$22/3)*COS($K$23)))),IF(($A18&lt;'Alternative 3'!$B$29),(($H$3*'Alternative 3'!$B$39+(($N$22/3)*COS($K$23)))),($H18*'Alternative 3'!$B$39))))</f>
        <v>559525.31563673145</v>
      </c>
      <c r="AF18" s="78">
        <f>AD18*'Alternative 3'!$K19/'Alternative 3'!$L19</f>
        <v>8758894.9636360276</v>
      </c>
      <c r="AG18" s="78">
        <f>AE18/'Alternative 3'!$M19</f>
        <v>220423.45021157994</v>
      </c>
      <c r="AH18" s="78">
        <f t="shared" si="4"/>
        <v>8.9793184138476079</v>
      </c>
      <c r="AJ18" s="78">
        <f>'Alternative 3'!$B$39*$B18*$C18*COS($K$33)-($N$32/3)*$E18*SIN($K$33)-($N$32/3)*$F18*SIN($K$33)-($N$32/3)*$G18*SIN($K$33)</f>
        <v>427585.49137161614</v>
      </c>
      <c r="AK18" s="79">
        <f>IF(($A18&lt;'Alternative 3'!$B$27),(($H18*'Alternative 3'!$B$39)+(3*($N$32/3)*COS($K$33))),IF(($A18&lt;'Alternative 3'!$B$28),(($H18*'Alternative 3'!$B$39)+(2*(($N$32/3)*COS($K$33)))),IF(($A18&lt;'Alternative 3'!$B$29),(($H$3*'Alternative 3'!$B$39+(($N$32/3)*COS($K$33)))),($H18*'Alternative 3'!$B$39))))</f>
        <v>396662.245160978</v>
      </c>
      <c r="AL18" s="78">
        <f>AJ18*'Alternative 3'!$K19/'Alternative 3'!$L19</f>
        <v>8422314.1148995068</v>
      </c>
      <c r="AM18" s="78">
        <f>AK18/'Alternative 3'!$M19</f>
        <v>156263.99414574506</v>
      </c>
      <c r="AN18" s="78">
        <f t="shared" si="5"/>
        <v>8.5785781090452531</v>
      </c>
      <c r="AP18" s="78">
        <f>'Alternative 3'!$B$39*$B18*$C18*COS($K$43)-($N$42/3)*$E18*SIN($K$43)-($N$42/3)*$F18*SIN($K$43)-($N$42/3)*$G18*SIN($K$43)</f>
        <v>383666.22601211141</v>
      </c>
      <c r="AQ18" s="79">
        <f>IF(($A18&lt;'Alternative 3'!$B$27),(($H18*'Alternative 3'!$B$39)+(3*($N$42/3)*COS($K$43))),IF(($A18&lt;'Alternative 3'!$B$28),(($H18*'Alternative 3'!$B$39)+(2*(($N$42/3)*COS($K$43)))),IF(($A18&lt;'Alternative 3'!$B$29),(($H$3*'Alternative 3'!$B$39+(($N$42/3)*COS($K$43)))),($H18*'Alternative 3'!$B$39))))</f>
        <v>310623.16530205996</v>
      </c>
      <c r="AR18" s="78">
        <f>AP18*'Alternative 3'!$K19/'Alternative 3'!$L19</f>
        <v>7557219.6343389135</v>
      </c>
      <c r="AS18" s="78">
        <f>AQ18/'Alternative 3'!$M19</f>
        <v>122369.13665578421</v>
      </c>
      <c r="AT18" s="78">
        <f t="shared" si="6"/>
        <v>7.6795887709946973</v>
      </c>
      <c r="AV18" s="78">
        <f>'Alternative 3'!$B$39*$B18*$C18*COS($K$53)-($N$52/3)*$E18*SIN($K$53)-($N$52/3)*$F18*SIN($K$53)-($N$52/3)*$G18*SIN($K$53)</f>
        <v>322118.32450168137</v>
      </c>
      <c r="AW18" s="79">
        <f>IF(($A18&lt;'Alternative 3'!$B$27),(($H18*'Alternative 3'!$B$39)+(3*($N$52/3)*COS($K$53))),IF(($A18&lt;'Alternative 3'!$B$28),(($H18*'Alternative 3'!$B$39)+(2*(($N$52/3)*COS($K$53)))),IF(($A18&lt;'Alternative 3'!$B$29),(($H$3*'Alternative 3'!$B$39+(($N$52/3)*COS($K$53)))),($H18*'Alternative 3'!$B$39))))</f>
        <v>256570.74242063245</v>
      </c>
      <c r="AX18" s="78">
        <f>AV18*'Alternative 3'!$K19/'Alternative 3'!$L19</f>
        <v>6344887.2000206104</v>
      </c>
      <c r="AY18" s="78">
        <f>AW18/'Alternative 3'!$M19</f>
        <v>101075.33419349317</v>
      </c>
      <c r="AZ18" s="78">
        <f t="shared" si="7"/>
        <v>6.4459625342141038</v>
      </c>
      <c r="BB18" s="78">
        <f>'Alternative 3'!$B$39*$B18*$C18*COS($K$63)-($N$62/3)*$E18*SIN($K$63)-($N$62/3)*$F18*SIN($K$63)-($N$62/3)*$G18*SIN($K$63)</f>
        <v>247405.06850558735</v>
      </c>
      <c r="BC18" s="79">
        <f>IF(($A18&lt;'Alternative 3'!$B$27),(($H18*'Alternative 3'!$B$39)+(3*($N$62/3)*COS($K$63))),IF(($A18&lt;'Alternative 3'!$B$28),(($H18*'Alternative 3'!$B$39)+(2*(($N$62/3)*COS($K$63)))),IF(($A18&lt;'Alternative 3'!$B$29),(($H$3*'Alternative 3'!$B$39+(($N$62/3)*COS($K$63)))),($H18*'Alternative 3'!$B$39))))</f>
        <v>220509.10334579076</v>
      </c>
      <c r="BD18" s="78">
        <f>BB18*'Alternative 3'!$K19/'Alternative 3'!$L19</f>
        <v>4873231.769132494</v>
      </c>
      <c r="BE18" s="78">
        <f>BC18/'Alternative 3'!$M19</f>
        <v>86868.951241694682</v>
      </c>
      <c r="BF18" s="78">
        <f t="shared" si="8"/>
        <v>4.9601007203741885</v>
      </c>
      <c r="BH18" s="78">
        <f>'Alternative 3'!$B$39*$B18*$C18*COS($K$73)-($N$72/3)*$E18*SIN($K$73)-($N$72/3)*$F18*SIN($K$73)-($N$72/3)*$G18*SIN($K$73)</f>
        <v>162896.95125948539</v>
      </c>
      <c r="BI18" s="79">
        <f>IF(($A18&lt;'Alternative 3'!$B$27),(($H18*'Alternative 3'!$B$39)+(3*($N$72/3)*COS($K$73))),IF(($A18&lt;'Alternative 3'!$B$28),(($H18*'Alternative 3'!$B$39)+(2*(($N$72/3)*COS($K$73)))),IF(($A18&lt;'Alternative 3'!$B$29),(($H$3*'Alternative 3'!$B$39+(($N$72/3)*COS($K$73)))),($H18*'Alternative 3'!$B$39))))</f>
        <v>196898.16441910353</v>
      </c>
      <c r="BJ18" s="78">
        <f>BH18*'Alternative 3'!$K19/'Alternative 3'!$L19</f>
        <v>3208643.2293711226</v>
      </c>
      <c r="BK18" s="78">
        <f>BI18/'Alternative 3'!$M19</f>
        <v>77567.487169362648</v>
      </c>
      <c r="BL18" s="78">
        <f t="shared" si="9"/>
        <v>3.2862107165404852</v>
      </c>
      <c r="BN18" s="78">
        <f>'Alternative 3'!$B$39*$B18*$C18*COS($K$83)-($N$82/3)*$E18*SIN($K$83)-($N$82/3)*$F18*SIN($K$83)-($N$82/3)*$G18*SIN($K$83)</f>
        <v>71687.836013208173</v>
      </c>
      <c r="BO18" s="79">
        <f>IF(($A18&lt;'Alternative 3'!$B$27),(($H18*'Alternative 3'!$B$39)+(3*($N$82/3)*COS($K$83))),IF(($A18&lt;'Alternative 3'!$B$28),(($H18*'Alternative 3'!$B$39)+(2*(($N$82/3)*COS($K$83)))),IF(($A18&lt;'Alternative 3'!$B$29),(($H$3*'Alternative 3'!$B$39+(($N$82/3)*COS($K$83)))),($H18*'Alternative 3'!$B$39))))</f>
        <v>183282.51225922233</v>
      </c>
      <c r="BP18" s="78">
        <f>BN18*'Alternative 3'!$K19/'Alternative 3'!$L19</f>
        <v>1412062.5823477698</v>
      </c>
      <c r="BQ18" s="78">
        <f>BO18/'Alternative 3'!$M19</f>
        <v>72203.638667626074</v>
      </c>
      <c r="BR18" s="78">
        <f t="shared" si="10"/>
        <v>1.4842662210153958</v>
      </c>
      <c r="BT18" s="78">
        <f>'Alternative 3'!$B$39*$B18*$C18*COS($K$93)-($K$92/3)*$E18*SIN($K$93)-($K$92/3)*$F18*SIN($K$93)-($K$92/3)*$G18*SIN($K$93)</f>
        <v>-9.8378392169598481</v>
      </c>
      <c r="BU18" s="79">
        <f>IF(($A18&lt;'Alternative 3'!$B$27),(($H18*'Alternative 3'!$B$39)+(3*($N$92/3)*COS($K$93))),IF(($A18&lt;'Alternative 3'!$B$28),(($H18*'Alternative 3'!$B$39)+(2*(($N$92/3)*COS($K$93)))),IF(($A18&lt;'Alternative 3'!$B$29),(($H$3*'Alternative 3'!$B$39+(($N$92/3)*COS($K$93)))),($H18*'Alternative 3'!$B$39))))</f>
        <v>178569.94553125676</v>
      </c>
      <c r="BV18" s="78">
        <f>BT18*'Alternative 3'!$K19/'Alternative 3'!$L19</f>
        <v>-193.77966224092759</v>
      </c>
      <c r="BW18" s="78">
        <f>BU18/'Alternative 3'!$M19</f>
        <v>70347.136042095401</v>
      </c>
      <c r="BX18" s="78">
        <f t="shared" si="11"/>
        <v>7.0153356379854481E-2</v>
      </c>
      <c r="BZ18" s="77">
        <v>150</v>
      </c>
      <c r="CA18" s="77">
        <v>-150</v>
      </c>
    </row>
    <row r="19" spans="1:79" ht="15" customHeight="1" x14ac:dyDescent="0.25">
      <c r="A19" s="13">
        <f>IF('Alternative 3'!F20&gt;0,'Alternative 3'!F20,"x")</f>
        <v>17</v>
      </c>
      <c r="B19" s="13">
        <f t="shared" si="17"/>
        <v>20</v>
      </c>
      <c r="C19" s="13">
        <f t="shared" si="12"/>
        <v>10</v>
      </c>
      <c r="D19" s="13">
        <f t="shared" si="13"/>
        <v>17</v>
      </c>
      <c r="E19" s="74">
        <f>IF($A19&lt;='Alternative 3'!$B$27, IF($A19='Alternative 3'!$B$27,0,E20+1),0)</f>
        <v>0</v>
      </c>
      <c r="F19" s="74">
        <f>IF($A19&lt;=('Alternative 3'!$B$28), IF($A19=ROUNDDOWN('Alternative 3'!$B$28,0),0,F20+1),0)</f>
        <v>5</v>
      </c>
      <c r="G19" s="74">
        <f>IF($A19&lt;=('Alternative 3'!$B$29), IF($A19=ROUNDDOWN('Alternative 3'!$B$29,0),0,G20+1),0)</f>
        <v>12</v>
      </c>
      <c r="H19" s="13">
        <f t="shared" si="14"/>
        <v>20</v>
      </c>
      <c r="J19" s="77">
        <f t="shared" si="15"/>
        <v>16</v>
      </c>
      <c r="K19" s="77">
        <f t="shared" si="16"/>
        <v>0.27925268031909273</v>
      </c>
      <c r="L19" s="78">
        <f>'Alternative 3'!$B$27*SIN(K19)+'Alternative 3'!$B$28*SIN(K19)+'Alternative 3'!$B$29*SIN(K19)</f>
        <v>18.743340195555945</v>
      </c>
      <c r="M19" s="77">
        <f>(('Alternative 3'!$B$27)*(((('Alternative 3'!$B$28-'Alternative 3'!$B$27)/2)+'Alternative 3'!$B$27)*'Alternative 3'!$B$39)*COS('Alternative 3-Tilt Up'!K19))+(('Alternative 3'!$B$28)*((('Alternative 3'!$B$28-'Alternative 3'!$B$27)/2)+(('Alternative 3'!$B$29-'Alternative 3'!$B$28)/2))*('Alternative 3'!$B$39)*COS('Alternative 3-Tilt Up'!K19))+(('Alternative 3'!$B$29)*((('Alternative 3'!$B$12-'Alternative 3'!$B$29+(('Alternative 3'!$B$29-'Alternative 3'!$B$28)/2)*('Alternative 3'!$B$39)*COS('Alternative 3-Tilt Up'!K19)))))</f>
        <v>4562263.6555506075</v>
      </c>
      <c r="N19" s="77">
        <f t="shared" si="0"/>
        <v>730221.55196740059</v>
      </c>
      <c r="O19" s="77">
        <f>(((('Alternative 3'!$B$28-'Alternative 3'!$B$27)/2)+'Alternative 3'!$B$27)*('Alternative 3'!$B$39)*COS('Alternative 3-Tilt Up'!K19))+(((('Alternative 3'!$B$28-'Alternative 3'!$B$27)/2)+(('Alternative 3'!$B$29-'Alternative 3'!$B$28)/2))*('Alternative 3'!$B$39)*COS('Alternative 3-Tilt Up'!K19))+(((('Alternative 3'!$B$12-'Alternative 3'!$B$29)+(('Alternative 3'!$B$29-'Alternative 3'!$B$28)/2))*('Alternative 3'!$B$39)*COS('Alternative 3-Tilt Up'!K19)))</f>
        <v>294261.34060283843</v>
      </c>
      <c r="P19" s="77">
        <f t="shared" si="1"/>
        <v>701934.00745489472</v>
      </c>
      <c r="R19" s="78">
        <f>'Alternative 3'!$B$39*$B19*$C19*COS($K$5)-($N$5/3)*$E19*SIN($K$5)-($N$5/3)*$F19*SIN($K$5)-($N$5/3)*$G19*SIN($K$5)</f>
        <v>513824.81329518347</v>
      </c>
      <c r="S19" s="79">
        <f>IF(($A19&lt;'Alternative 3'!$B$27),(($H19*'Alternative 3'!$B$39)+(3*($N$5/3)*COS($K$5))),IF(($A19&lt;'Alternative 3'!$B$28),(($H19*'Alternative 3'!$B$39)+(2*(($N$5/3)*COS($K$5)))),IF(($A19&lt;'Alternative 3'!$B$29),(($H$3*'Alternative 3'!$B$39+(($N$5/3)*COS($K$5)))),($H19*'Alternative 3'!$B$39))))</f>
        <v>4165010.3689408577</v>
      </c>
      <c r="T19" s="78">
        <f>R19*'Alternative 3'!$K20/'Alternative 3'!$L20</f>
        <v>10348712.725972049</v>
      </c>
      <c r="U19" s="78">
        <f>S19/'Alternative 3'!$M20</f>
        <v>1677710.1274108815</v>
      </c>
      <c r="V19" s="78">
        <f t="shared" si="2"/>
        <v>12.026422853382931</v>
      </c>
      <c r="X19" s="78">
        <f>'Alternative 3'!$B$39*$B19*$C19*COS($K$13)-($N$12/3)*$E19*SIN($K$13)-($N$12/3)*$F19*SIN($K$13)-($N$12/3)*$G19*SIN($K$13)</f>
        <v>373953.00572288211</v>
      </c>
      <c r="Y19" s="79">
        <f>IF(($A19&lt;'Alternative 3'!$B$27),(($H19*'Alternative 3'!$B$39)+(3*($N$12/3)*COS($K$13))),IF(($A19&lt;'Alternative 3'!$B$28),(($H19*'Alternative 3'!$B$39)+(2*(($N$12/3)*COS($K$13)))),IF(($A19&lt;'Alternative 3'!$B$29),(($H$3*'Alternative 3'!$B$39+(($N$12/3)*COS($K$13)))),($H19*'Alternative 3'!$B$39))))</f>
        <v>1038023.7388094729</v>
      </c>
      <c r="Z19" s="78">
        <f>X19*'Alternative 3'!$K20/'Alternative 3'!$L20</f>
        <v>7531618.0322663393</v>
      </c>
      <c r="AA19" s="78">
        <f>Y19/'Alternative 3'!$M20</f>
        <v>418126.91562072054</v>
      </c>
      <c r="AB19" s="78">
        <f t="shared" si="3"/>
        <v>7.9497449478870603</v>
      </c>
      <c r="AD19" s="78">
        <f>'Alternative 3'!$B$39*$B19*$C19*COS($K$23)-($N$22/3)*$E19*SIN($K$23)-($N$22/3)*$F19*SIN($K$23)-($N$22/3)*$G19*SIN($K$23)</f>
        <v>419523.89954856026</v>
      </c>
      <c r="AE19" s="79">
        <f>IF(($A19&lt;'Alternative 3'!$B$27),(($H19*'Alternative 3'!$B$39)+(3*($N$22/3)*COS($K$23))),IF(($A19&lt;'Alternative 3'!$B$28),(($H19*'Alternative 3'!$B$39)+(2*(($N$22/3)*COS($K$23)))),IF(($A19&lt;'Alternative 3'!$B$29),(($H$3*'Alternative 3'!$B$39+(($N$22/3)*COS($K$23)))),($H19*'Alternative 3'!$B$39))))</f>
        <v>551021.98489714775</v>
      </c>
      <c r="AF19" s="78">
        <f>AD19*'Alternative 3'!$K20/'Alternative 3'!$L20</f>
        <v>8449440.7544570453</v>
      </c>
      <c r="AG19" s="78">
        <f>AE19/'Alternative 3'!$M20</f>
        <v>221957.47011383192</v>
      </c>
      <c r="AH19" s="78">
        <f t="shared" si="4"/>
        <v>8.6713982245708774</v>
      </c>
      <c r="AJ19" s="78">
        <f>'Alternative 3'!$B$39*$B19*$C19*COS($K$33)-($N$32/3)*$E19*SIN($K$33)-($N$32/3)*$F19*SIN($K$33)-($N$32/3)*$G19*SIN($K$33)</f>
        <v>402537.08030717843</v>
      </c>
      <c r="AK19" s="79">
        <f>IF(($A19&lt;'Alternative 3'!$B$27),(($H19*'Alternative 3'!$B$39)+(3*($N$32/3)*COS($K$33))),IF(($A19&lt;'Alternative 3'!$B$28),(($H19*'Alternative 3'!$B$39)+(2*(($N$32/3)*COS($K$33)))),IF(($A19&lt;'Alternative 3'!$B$29),(($H$3*'Alternative 3'!$B$39+(($N$32/3)*COS($K$33)))),($H19*'Alternative 3'!$B$39))))</f>
        <v>388158.91442139435</v>
      </c>
      <c r="AL19" s="78">
        <f>AJ19*'Alternative 3'!$K20/'Alternative 3'!$L20</f>
        <v>8107316.9256568868</v>
      </c>
      <c r="AM19" s="78">
        <f>AK19/'Alternative 3'!$M20</f>
        <v>156354.50673204171</v>
      </c>
      <c r="AN19" s="78">
        <f t="shared" si="5"/>
        <v>8.2636714323889287</v>
      </c>
      <c r="AP19" s="78">
        <f>'Alternative 3'!$B$39*$B19*$C19*COS($K$43)-($N$42/3)*$E19*SIN($K$43)-($N$42/3)*$F19*SIN($K$43)-($N$42/3)*$G19*SIN($K$43)</f>
        <v>360936.48416581715</v>
      </c>
      <c r="AQ19" s="79">
        <f>IF(($A19&lt;'Alternative 3'!$B$27),(($H19*'Alternative 3'!$B$39)+(3*($N$42/3)*COS($K$43))),IF(($A19&lt;'Alternative 3'!$B$28),(($H19*'Alternative 3'!$B$39)+(2*(($N$42/3)*COS($K$43)))),IF(($A19&lt;'Alternative 3'!$B$29),(($H$3*'Alternative 3'!$B$39+(($N$42/3)*COS($K$43)))),($H19*'Alternative 3'!$B$39))))</f>
        <v>302119.83456247626</v>
      </c>
      <c r="AR19" s="78">
        <f>AP19*'Alternative 3'!$K20/'Alternative 3'!$L20</f>
        <v>7269458.1699941717</v>
      </c>
      <c r="AS19" s="78">
        <f>AQ19/'Alternative 3'!$M20</f>
        <v>121697.05744719693</v>
      </c>
      <c r="AT19" s="78">
        <f t="shared" si="6"/>
        <v>7.3911552274413683</v>
      </c>
      <c r="AV19" s="78">
        <f>'Alternative 3'!$B$39*$B19*$C19*COS($K$53)-($N$52/3)*$E19*SIN($K$53)-($N$52/3)*$F19*SIN($K$53)-($N$52/3)*$G19*SIN($K$53)</f>
        <v>303026.42379014951</v>
      </c>
      <c r="AW19" s="79">
        <f>IF(($A19&lt;'Alternative 3'!$B$27),(($H19*'Alternative 3'!$B$39)+(3*($N$52/3)*COS($K$53))),IF(($A19&lt;'Alternative 3'!$B$28),(($H19*'Alternative 3'!$B$39)+(2*(($N$52/3)*COS($K$53)))),IF(($A19&lt;'Alternative 3'!$B$29),(($H$3*'Alternative 3'!$B$39+(($N$52/3)*COS($K$53)))),($H19*'Alternative 3'!$B$39))))</f>
        <v>248067.4116810488</v>
      </c>
      <c r="AX19" s="78">
        <f>AV19*'Alternative 3'!$K20/'Alternative 3'!$L20</f>
        <v>6103117.8857868435</v>
      </c>
      <c r="AY19" s="78">
        <f>AW19/'Alternative 3'!$M20</f>
        <v>99924.171128470407</v>
      </c>
      <c r="AZ19" s="78">
        <f t="shared" si="7"/>
        <v>6.2030420569153142</v>
      </c>
      <c r="BB19" s="78">
        <f>'Alternative 3'!$B$39*$B19*$C19*COS($K$63)-($N$62/3)*$E19*SIN($K$63)-($N$62/3)*$F19*SIN($K$63)-($N$62/3)*$G19*SIN($K$63)</f>
        <v>232886.6805862771</v>
      </c>
      <c r="BC19" s="79">
        <f>IF(($A19&lt;'Alternative 3'!$B$27),(($H19*'Alternative 3'!$B$39)+(3*($N$62/3)*COS($K$63))),IF(($A19&lt;'Alternative 3'!$B$28),(($H19*'Alternative 3'!$B$39)+(2*(($N$62/3)*COS($K$63)))),IF(($A19&lt;'Alternative 3'!$B$29),(($H$3*'Alternative 3'!$B$39+(($N$62/3)*COS($K$63)))),($H19*'Alternative 3'!$B$39))))</f>
        <v>212005.77260620709</v>
      </c>
      <c r="BD19" s="78">
        <f>BB19*'Alternative 3'!$K20/'Alternative 3'!$L20</f>
        <v>4690465.1015910478</v>
      </c>
      <c r="BE19" s="78">
        <f>BC19/'Alternative 3'!$M20</f>
        <v>85398.162372750783</v>
      </c>
      <c r="BF19" s="78">
        <f t="shared" si="8"/>
        <v>4.7758632639637986</v>
      </c>
      <c r="BH19" s="78">
        <f>'Alternative 3'!$B$39*$B19*$C19*COS($K$73)-($N$72/3)*$E19*SIN($K$73)-($N$72/3)*$F19*SIN($K$73)-($N$72/3)*$G19*SIN($K$73)</f>
        <v>153632.95562755765</v>
      </c>
      <c r="BI19" s="79">
        <f>IF(($A19&lt;'Alternative 3'!$B$27),(($H19*'Alternative 3'!$B$39)+(3*($N$72/3)*COS($K$73))),IF(($A19&lt;'Alternative 3'!$B$28),(($H19*'Alternative 3'!$B$39)+(2*(($N$72/3)*COS($K$73)))),IF(($A19&lt;'Alternative 3'!$B$29),(($H$3*'Alternative 3'!$B$39+(($N$72/3)*COS($K$73)))),($H19*'Alternative 3'!$B$39))))</f>
        <v>188394.83367951986</v>
      </c>
      <c r="BJ19" s="78">
        <f>BH19*'Alternative 3'!$K20/'Alternative 3'!$L20</f>
        <v>3094251.7408520579</v>
      </c>
      <c r="BK19" s="78">
        <f>BI19/'Alternative 3'!$M20</f>
        <v>75887.42702131487</v>
      </c>
      <c r="BL19" s="78">
        <f t="shared" si="9"/>
        <v>3.1701391678733728</v>
      </c>
      <c r="BN19" s="78">
        <f>'Alternative 3'!$B$39*$B19*$C19*COS($K$83)-($N$82/3)*$E19*SIN($K$83)-($N$82/3)*$F19*SIN($K$83)-($N$82/3)*$G19*SIN($K$83)</f>
        <v>68144.078337182902</v>
      </c>
      <c r="BO19" s="79">
        <f>IF(($A19&lt;'Alternative 3'!$B$27),(($H19*'Alternative 3'!$B$39)+(3*($N$82/3)*COS($K$83))),IF(($A19&lt;'Alternative 3'!$B$28),(($H19*'Alternative 3'!$B$39)+(2*(($N$82/3)*COS($K$83)))),IF(($A19&lt;'Alternative 3'!$B$29),(($H$3*'Alternative 3'!$B$39+(($N$82/3)*COS($K$83)))),($H19*'Alternative 3'!$B$39))))</f>
        <v>174779.18151963869</v>
      </c>
      <c r="BP19" s="78">
        <f>BN19*'Alternative 3'!$K20/'Alternative 3'!$L20</f>
        <v>1372459.002447034</v>
      </c>
      <c r="BQ19" s="78">
        <f>BO19/'Alternative 3'!$M20</f>
        <v>70402.898653683122</v>
      </c>
      <c r="BR19" s="78">
        <f t="shared" si="10"/>
        <v>1.4428619011007171</v>
      </c>
      <c r="BT19" s="78">
        <f>'Alternative 3'!$B$39*$B19*$C19*COS($K$93)-($K$92/3)*$E19*SIN($K$93)-($K$92/3)*$F19*SIN($K$93)-($K$92/3)*$G19*SIN($K$93)</f>
        <v>-8.802277194120558</v>
      </c>
      <c r="BU19" s="79">
        <f>IF(($A19&lt;'Alternative 3'!$B$27),(($H19*'Alternative 3'!$B$39)+(3*($N$92/3)*COS($K$93))),IF(($A19&lt;'Alternative 3'!$B$28),(($H19*'Alternative 3'!$B$39)+(2*(($N$92/3)*COS($K$93)))),IF(($A19&lt;'Alternative 3'!$B$29),(($H$3*'Alternative 3'!$B$39+(($N$92/3)*COS($K$93)))),($H19*'Alternative 3'!$B$39))))</f>
        <v>170066.61479167308</v>
      </c>
      <c r="BV19" s="78">
        <f>BT19*'Alternative 3'!$K20/'Alternative 3'!$L20</f>
        <v>-177.28267623385102</v>
      </c>
      <c r="BW19" s="78">
        <f>BU19/'Alternative 3'!$M20</f>
        <v>68504.627046830443</v>
      </c>
      <c r="BX19" s="78">
        <f t="shared" si="11"/>
        <v>6.8327344370596593E-2</v>
      </c>
      <c r="BZ19" s="77">
        <v>150</v>
      </c>
      <c r="CA19" s="77">
        <v>-150</v>
      </c>
    </row>
    <row r="20" spans="1:79" ht="15" customHeight="1" x14ac:dyDescent="0.25">
      <c r="A20" s="13">
        <f>IF('Alternative 3'!F21&gt;0,'Alternative 3'!F21,"x")</f>
        <v>18</v>
      </c>
      <c r="B20" s="13">
        <f t="shared" si="17"/>
        <v>19</v>
      </c>
      <c r="C20" s="13">
        <f t="shared" si="12"/>
        <v>9.5</v>
      </c>
      <c r="D20" s="13">
        <f t="shared" si="13"/>
        <v>18</v>
      </c>
      <c r="E20" s="74">
        <f>IF($A20&lt;='Alternative 3'!$B$27, IF($A20='Alternative 3'!$B$27,0,E21+1),0)</f>
        <v>0</v>
      </c>
      <c r="F20" s="74">
        <f>IF($A20&lt;=('Alternative 3'!$B$28), IF($A20=ROUNDDOWN('Alternative 3'!$B$28,0),0,F21+1),0)</f>
        <v>4</v>
      </c>
      <c r="G20" s="74">
        <f>IF($A20&lt;=('Alternative 3'!$B$29), IF($A20=ROUNDDOWN('Alternative 3'!$B$29,0),0,G21+1),0)</f>
        <v>11</v>
      </c>
      <c r="H20" s="13">
        <f t="shared" si="14"/>
        <v>19</v>
      </c>
      <c r="J20" s="77">
        <f t="shared" si="15"/>
        <v>17</v>
      </c>
      <c r="K20" s="77">
        <f t="shared" si="16"/>
        <v>0.29670597283903605</v>
      </c>
      <c r="L20" s="78">
        <f>'Alternative 3'!$B$27*SIN(K20)+'Alternative 3'!$B$28*SIN(K20)+'Alternative 3'!$B$29*SIN(K20)</f>
        <v>19.881275921146099</v>
      </c>
      <c r="M20" s="77">
        <f>(('Alternative 3'!$B$27)*(((('Alternative 3'!$B$28-'Alternative 3'!$B$27)/2)+'Alternative 3'!$B$27)*'Alternative 3'!$B$39)*COS('Alternative 3-Tilt Up'!K20))+(('Alternative 3'!$B$28)*((('Alternative 3'!$B$28-'Alternative 3'!$B$27)/2)+(('Alternative 3'!$B$29-'Alternative 3'!$B$28)/2))*('Alternative 3'!$B$39)*COS('Alternative 3-Tilt Up'!K20))+(('Alternative 3'!$B$29)*((('Alternative 3'!$B$12-'Alternative 3'!$B$29+(('Alternative 3'!$B$29-'Alternative 3'!$B$28)/2)*('Alternative 3'!$B$39)*COS('Alternative 3-Tilt Up'!K20)))))</f>
        <v>4538738.4308839906</v>
      </c>
      <c r="N20" s="77">
        <f t="shared" si="0"/>
        <v>684876.33020421537</v>
      </c>
      <c r="O20" s="77">
        <f>(((('Alternative 3'!$B$28-'Alternative 3'!$B$27)/2)+'Alternative 3'!$B$27)*('Alternative 3'!$B$39)*COS('Alternative 3-Tilt Up'!K20))+(((('Alternative 3'!$B$28-'Alternative 3'!$B$27)/2)+(('Alternative 3'!$B$29-'Alternative 3'!$B$28)/2))*('Alternative 3'!$B$39)*COS('Alternative 3-Tilt Up'!K20))+(((('Alternative 3'!$B$12-'Alternative 3'!$B$29)+(('Alternative 3'!$B$29-'Alternative 3'!$B$28)/2))*('Alternative 3'!$B$39)*COS('Alternative 3-Tilt Up'!K20)))</f>
        <v>292743.92260045884</v>
      </c>
      <c r="P20" s="77">
        <f t="shared" si="1"/>
        <v>654950.4918208014</v>
      </c>
      <c r="R20" s="78">
        <f>'Alternative 3'!$B$39*$B20*$C20*COS($K$5)-($N$5/3)*$E20*SIN($K$5)-($N$5/3)*$F20*SIN($K$5)-($N$5/3)*$G20*SIN($K$5)</f>
        <v>487617.38383146084</v>
      </c>
      <c r="S20" s="79">
        <f>IF(($A20&lt;'Alternative 3'!$B$27),(($H20*'Alternative 3'!$B$39)+(3*($N$5/3)*COS($K$5))),IF(($A20&lt;'Alternative 3'!$B$28),(($H20*'Alternative 3'!$B$39)+(2*(($N$5/3)*COS($K$5)))),IF(($A20&lt;'Alternative 3'!$B$29),(($H$3*'Alternative 3'!$B$39+(($N$5/3)*COS($K$5)))),($H20*'Alternative 3'!$B$39))))</f>
        <v>4156507.0382012739</v>
      </c>
      <c r="T20" s="78">
        <f>R20*'Alternative 3'!$K21/'Alternative 3'!$L21</f>
        <v>10044352.102200108</v>
      </c>
      <c r="U20" s="78">
        <f>S20/'Alternative 3'!$M21</f>
        <v>1712382.7707357327</v>
      </c>
      <c r="V20" s="78">
        <f t="shared" si="2"/>
        <v>11.756734872935841</v>
      </c>
      <c r="X20" s="78">
        <f>'Alternative 3'!$B$39*$B20*$C20*COS($K$13)-($N$12/3)*$E20*SIN($K$13)-($N$12/3)*$F20*SIN($K$13)-($N$12/3)*$G20*SIN($K$13)</f>
        <v>363701.41702934762</v>
      </c>
      <c r="Y20" s="79">
        <f>IF(($A20&lt;'Alternative 3'!$B$27),(($H20*'Alternative 3'!$B$39)+(3*($N$12/3)*COS($K$13))),IF(($A20&lt;'Alternative 3'!$B$28),(($H20*'Alternative 3'!$B$39)+(2*(($N$12/3)*COS($K$13)))),IF(($A20&lt;'Alternative 3'!$B$29),(($H$3*'Alternative 3'!$B$39+(($N$12/3)*COS($K$13)))),($H20*'Alternative 3'!$B$39))))</f>
        <v>1029520.4080698892</v>
      </c>
      <c r="Z20" s="78">
        <f>X20*'Alternative 3'!$K21/'Alternative 3'!$L21</f>
        <v>7491827.0222592223</v>
      </c>
      <c r="AA20" s="78">
        <f>Y20/'Alternative 3'!$M21</f>
        <v>424138.10266579204</v>
      </c>
      <c r="AB20" s="78">
        <f t="shared" si="3"/>
        <v>7.9159651249250143</v>
      </c>
      <c r="AD20" s="78">
        <f>'Alternative 3'!$B$39*$B20*$C20*COS($K$23)-($N$22/3)*$E20*SIN($K$23)-($N$22/3)*$F20*SIN($K$23)-($N$22/3)*$G20*SIN($K$23)</f>
        <v>402365.23046308709</v>
      </c>
      <c r="AE20" s="79">
        <f>IF(($A20&lt;'Alternative 3'!$B$27),(($H20*'Alternative 3'!$B$39)+(3*($N$22/3)*COS($K$23))),IF(($A20&lt;'Alternative 3'!$B$28),(($H20*'Alternative 3'!$B$39)+(2*(($N$22/3)*COS($K$23)))),IF(($A20&lt;'Alternative 3'!$B$29),(($H$3*'Alternative 3'!$B$39+(($N$22/3)*COS($K$23)))),($H20*'Alternative 3'!$B$39))))</f>
        <v>542518.65415756404</v>
      </c>
      <c r="AF20" s="78">
        <f>AD20*'Alternative 3'!$K21/'Alternative 3'!$L21</f>
        <v>8288256.6997468546</v>
      </c>
      <c r="AG20" s="78">
        <f>AE20/'Alternative 3'!$M21</f>
        <v>223504.8774473324</v>
      </c>
      <c r="AH20" s="78">
        <f t="shared" si="4"/>
        <v>8.5117615771941875</v>
      </c>
      <c r="AJ20" s="78">
        <f>'Alternative 3'!$B$39*$B20*$C20*COS($K$33)-($N$32/3)*$E20*SIN($K$33)-($N$32/3)*$F20*SIN($K$33)-($N$32/3)*$G20*SIN($K$33)</f>
        <v>384852.76968000154</v>
      </c>
      <c r="AK20" s="79">
        <f>IF(($A20&lt;'Alternative 3'!$B$27),(($H20*'Alternative 3'!$B$39)+(3*($N$32/3)*COS($K$33))),IF(($A20&lt;'Alternative 3'!$B$28),(($H20*'Alternative 3'!$B$39)+(2*(($N$32/3)*COS($K$33)))),IF(($A20&lt;'Alternative 3'!$B$29),(($H$3*'Alternative 3'!$B$39+(($N$32/3)*COS($K$33)))),($H20*'Alternative 3'!$B$39))))</f>
        <v>379655.58368181065</v>
      </c>
      <c r="AL20" s="78">
        <f>AJ20*'Alternative 3'!$K21/'Alternative 3'!$L21</f>
        <v>7927520.3353064926</v>
      </c>
      <c r="AM20" s="78">
        <f>AK20/'Alternative 3'!$M21</f>
        <v>156409.1373683053</v>
      </c>
      <c r="AN20" s="78">
        <f t="shared" si="5"/>
        <v>8.0839294726747983</v>
      </c>
      <c r="AP20" s="78">
        <f>'Alternative 3'!$B$39*$B20*$C20*COS($K$43)-($N$42/3)*$E20*SIN($K$43)-($N$42/3)*$F20*SIN($K$43)-($N$42/3)*$G20*SIN($K$43)</f>
        <v>344720.67158058402</v>
      </c>
      <c r="AQ20" s="79">
        <f>IF(($A20&lt;'Alternative 3'!$B$27),(($H20*'Alternative 3'!$B$39)+(3*($N$42/3)*COS($K$43))),IF(($A20&lt;'Alternative 3'!$B$28),(($H20*'Alternative 3'!$B$39)+(2*(($N$42/3)*COS($K$43)))),IF(($A20&lt;'Alternative 3'!$B$29),(($H$3*'Alternative 3'!$B$39+(($N$42/3)*COS($K$43)))),($H20*'Alternative 3'!$B$39))))</f>
        <v>293616.50382289261</v>
      </c>
      <c r="AR20" s="78">
        <f>AP20*'Alternative 3'!$K21/'Alternative 3'!$L21</f>
        <v>7100845.6980258981</v>
      </c>
      <c r="AS20" s="78">
        <f>AQ20/'Alternative 3'!$M21</f>
        <v>120963.06772225825</v>
      </c>
      <c r="AT20" s="78">
        <f t="shared" si="6"/>
        <v>7.2218087657481567</v>
      </c>
      <c r="AV20" s="78">
        <f>'Alternative 3'!$B$39*$B20*$C20*COS($K$53)-($N$52/3)*$E20*SIN($K$53)-($N$52/3)*$F20*SIN($K$53)-($N$52/3)*$G20*SIN($K$53)</f>
        <v>289400.35871908895</v>
      </c>
      <c r="AW20" s="79">
        <f>IF(($A20&lt;'Alternative 3'!$B$27),(($H20*'Alternative 3'!$B$39)+(3*($N$52/3)*COS($K$53))),IF(($A20&lt;'Alternative 3'!$B$28),(($H20*'Alternative 3'!$B$39)+(2*(($N$52/3)*COS($K$53)))),IF(($A20&lt;'Alternative 3'!$B$29),(($H$3*'Alternative 3'!$B$39+(($N$52/3)*COS($K$53)))),($H20*'Alternative 3'!$B$39))))</f>
        <v>239564.08094146516</v>
      </c>
      <c r="AX20" s="78">
        <f>AV20*'Alternative 3'!$K21/'Alternative 3'!$L21</f>
        <v>5961311.4664555537</v>
      </c>
      <c r="AY20" s="78">
        <f>AW20/'Alternative 3'!$M21</f>
        <v>98694.745593124346</v>
      </c>
      <c r="AZ20" s="78">
        <f t="shared" si="7"/>
        <v>6.0600062120486777</v>
      </c>
      <c r="BB20" s="78">
        <f>'Alternative 3'!$B$39*$B20*$C20*COS($K$63)-($N$62/3)*$E20*SIN($K$63)-($N$62/3)*$F20*SIN($K$63)-($N$62/3)*$G20*SIN($K$63)</f>
        <v>222619.95803675847</v>
      </c>
      <c r="BC20" s="79">
        <f>IF(($A20&lt;'Alternative 3'!$B$27),(($H20*'Alternative 3'!$B$39)+(3*($N$62/3)*COS($K$63))),IF(($A20&lt;'Alternative 3'!$B$28),(($H20*'Alternative 3'!$B$39)+(2*(($N$62/3)*COS($K$63)))),IF(($A20&lt;'Alternative 3'!$B$29),(($H$3*'Alternative 3'!$B$39+(($N$62/3)*COS($K$63)))),($H20*'Alternative 3'!$B$39))))</f>
        <v>203502.44186662344</v>
      </c>
      <c r="BD20" s="78">
        <f>BB20*'Alternative 3'!$K21/'Alternative 3'!$L21</f>
        <v>4585712.7281399118</v>
      </c>
      <c r="BE20" s="78">
        <f>BC20/'Alternative 3'!$M21</f>
        <v>83838.201656422068</v>
      </c>
      <c r="BF20" s="78">
        <f t="shared" si="8"/>
        <v>4.6695509297963333</v>
      </c>
      <c r="BH20" s="78">
        <f>'Alternative 3'!$B$39*$B20*$C20*COS($K$73)-($N$72/3)*$E20*SIN($K$73)-($N$72/3)*$F20*SIN($K$73)-($N$72/3)*$G20*SIN($K$73)</f>
        <v>147277.27039392805</v>
      </c>
      <c r="BI20" s="79">
        <f>IF(($A20&lt;'Alternative 3'!$B$27),(($H20*'Alternative 3'!$B$39)+(3*($N$72/3)*COS($K$73))),IF(($A20&lt;'Alternative 3'!$B$28),(($H20*'Alternative 3'!$B$39)+(2*(($N$72/3)*COS($K$73)))),IF(($A20&lt;'Alternative 3'!$B$29),(($H$3*'Alternative 3'!$B$39+(($N$72/3)*COS($K$73)))),($H20*'Alternative 3'!$B$39))))</f>
        <v>179891.50293993621</v>
      </c>
      <c r="BJ20" s="78">
        <f>BH20*'Alternative 3'!$K21/'Alternative 3'!$L21</f>
        <v>3033740.8171625994</v>
      </c>
      <c r="BK20" s="78">
        <f>BI20/'Alternative 3'!$M21</f>
        <v>74111.052238085147</v>
      </c>
      <c r="BL20" s="78">
        <f t="shared" si="9"/>
        <v>3.1078518694006849</v>
      </c>
      <c r="BN20" s="78">
        <f>'Alternative 3'!$B$39*$B20*$C20*COS($K$83)-($N$82/3)*$E20*SIN($K$83)-($N$82/3)*$F20*SIN($K$83)-($N$82/3)*$G20*SIN($K$83)</f>
        <v>66076.908548185544</v>
      </c>
      <c r="BO20" s="79">
        <f>IF(($A20&lt;'Alternative 3'!$B$27),(($H20*'Alternative 3'!$B$39)+(3*($N$82/3)*COS($K$83))),IF(($A20&lt;'Alternative 3'!$B$28),(($H20*'Alternative 3'!$B$39)+(2*(($N$82/3)*COS($K$83)))),IF(($A20&lt;'Alternative 3'!$B$29),(($H$3*'Alternative 3'!$B$39+(($N$82/3)*COS($K$83)))),($H20*'Alternative 3'!$B$39))))</f>
        <v>166275.85078005504</v>
      </c>
      <c r="BP20" s="78">
        <f>BN20*'Alternative 3'!$K21/'Alternative 3'!$L21</f>
        <v>1361107.6169348622</v>
      </c>
      <c r="BQ20" s="78">
        <f>BO20/'Alternative 3'!$M21</f>
        <v>68501.724993687909</v>
      </c>
      <c r="BR20" s="78">
        <f t="shared" si="10"/>
        <v>1.42960934192855</v>
      </c>
      <c r="BT20" s="78">
        <f>'Alternative 3'!$B$39*$B20*$C20*COS($K$93)-($K$92/3)*$E20*SIN($K$93)-($K$92/3)*$F20*SIN($K$93)-($K$92/3)*$G20*SIN($K$93)</f>
        <v>-7.7667151712807456</v>
      </c>
      <c r="BU20" s="79">
        <f>IF(($A20&lt;'Alternative 3'!$B$27),(($H20*'Alternative 3'!$B$39)+(3*($N$92/3)*COS($K$93))),IF(($A20&lt;'Alternative 3'!$B$28),(($H20*'Alternative 3'!$B$39)+(2*(($N$92/3)*COS($K$93)))),IF(($A20&lt;'Alternative 3'!$B$29),(($H$3*'Alternative 3'!$B$39+(($N$92/3)*COS($K$93)))),($H20*'Alternative 3'!$B$39))))</f>
        <v>161563.28405208944</v>
      </c>
      <c r="BV20" s="78">
        <f>BT20*'Alternative 3'!$K21/'Alternative 3'!$L21</f>
        <v>-159.98531726835853</v>
      </c>
      <c r="BW20" s="78">
        <f>BU20/'Alternative 3'!$M21</f>
        <v>66560.258758518743</v>
      </c>
      <c r="BX20" s="78">
        <f t="shared" si="11"/>
        <v>6.6400273441250379E-2</v>
      </c>
      <c r="BZ20" s="77">
        <v>150</v>
      </c>
      <c r="CA20" s="77">
        <v>-150</v>
      </c>
    </row>
    <row r="21" spans="1:79" ht="15" customHeight="1" x14ac:dyDescent="0.25">
      <c r="A21" s="13">
        <f>IF('Alternative 3'!F22&gt;0,'Alternative 3'!F22,"x")</f>
        <v>19</v>
      </c>
      <c r="B21" s="13">
        <f t="shared" si="17"/>
        <v>18</v>
      </c>
      <c r="C21" s="13">
        <f t="shared" si="12"/>
        <v>9</v>
      </c>
      <c r="D21" s="13">
        <f t="shared" si="13"/>
        <v>19</v>
      </c>
      <c r="E21" s="74">
        <f>IF($A21&lt;='Alternative 3'!$B$27, IF($A21='Alternative 3'!$B$27,0,E22+1),0)</f>
        <v>0</v>
      </c>
      <c r="F21" s="74">
        <f>IF($A21&lt;=('Alternative 3'!$B$28), IF($A21=ROUNDDOWN('Alternative 3'!$B$28,0),0,F22+1),0)</f>
        <v>3</v>
      </c>
      <c r="G21" s="74">
        <f>IF($A21&lt;=('Alternative 3'!$B$29), IF($A21=ROUNDDOWN('Alternative 3'!$B$29,0),0,G22+1),0)</f>
        <v>10</v>
      </c>
      <c r="H21" s="13">
        <f t="shared" si="14"/>
        <v>18</v>
      </c>
      <c r="J21" s="77">
        <f t="shared" si="15"/>
        <v>18</v>
      </c>
      <c r="K21" s="77">
        <f t="shared" si="16"/>
        <v>0.31415926535897931</v>
      </c>
      <c r="L21" s="78">
        <f>'Alternative 3'!$B$27*SIN(K21)+'Alternative 3'!$B$28*SIN(K21)+'Alternative 3'!$B$29*SIN(K21)</f>
        <v>21.013155617496423</v>
      </c>
      <c r="M21" s="77">
        <f>(('Alternative 3'!$B$27)*(((('Alternative 3'!$B$28-'Alternative 3'!$B$27)/2)+'Alternative 3'!$B$27)*'Alternative 3'!$B$39)*COS('Alternative 3-Tilt Up'!K21))+(('Alternative 3'!$B$28)*((('Alternative 3'!$B$28-'Alternative 3'!$B$27)/2)+(('Alternative 3'!$B$29-'Alternative 3'!$B$28)/2))*('Alternative 3'!$B$39)*COS('Alternative 3-Tilt Up'!K21))+(('Alternative 3'!$B$29)*((('Alternative 3'!$B$12-'Alternative 3'!$B$29+(('Alternative 3'!$B$29-'Alternative 3'!$B$28)/2)*('Alternative 3'!$B$39)*COS('Alternative 3-Tilt Up'!K21)))))</f>
        <v>4513830.7221147092</v>
      </c>
      <c r="N21" s="77">
        <f t="shared" si="0"/>
        <v>644429.25245691906</v>
      </c>
      <c r="O21" s="77">
        <f>(((('Alternative 3'!$B$28-'Alternative 3'!$B$27)/2)+'Alternative 3'!$B$27)*('Alternative 3'!$B$39)*COS('Alternative 3-Tilt Up'!K21))+(((('Alternative 3'!$B$28-'Alternative 3'!$B$27)/2)+(('Alternative 3'!$B$29-'Alternative 3'!$B$28)/2))*('Alternative 3'!$B$39)*COS('Alternative 3-Tilt Up'!K21))+(((('Alternative 3'!$B$12-'Alternative 3'!$B$29)+(('Alternative 3'!$B$29-'Alternative 3'!$B$28)/2))*('Alternative 3'!$B$39)*COS('Alternative 3-Tilt Up'!K21)))</f>
        <v>291137.33196338115</v>
      </c>
      <c r="P21" s="77">
        <f t="shared" si="1"/>
        <v>612888.63984036748</v>
      </c>
      <c r="R21" s="78">
        <f>'Alternative 3'!$B$39*$B21*$C21*COS($K$5)-($N$5/3)*$E21*SIN($K$5)-($N$5/3)*$F21*SIN($K$5)-($N$5/3)*$G21*SIN($K$5)</f>
        <v>469908.10510798777</v>
      </c>
      <c r="S21" s="79">
        <f>IF(($A21&lt;'Alternative 3'!$B$27),(($H21*'Alternative 3'!$B$39)+(3*($N$5/3)*COS($K$5))),IF(($A21&lt;'Alternative 3'!$B$28),(($H21*'Alternative 3'!$B$39)+(2*(($N$5/3)*COS($K$5)))),IF(($A21&lt;'Alternative 3'!$B$29),(($H$3*'Alternative 3'!$B$39+(($N$5/3)*COS($K$5)))),($H21*'Alternative 3'!$B$39))))</f>
        <v>4148003.7074616905</v>
      </c>
      <c r="T21" s="78">
        <f>R21*'Alternative 3'!$K22/'Alternative 3'!$L22</f>
        <v>9902351.8589208238</v>
      </c>
      <c r="U21" s="78">
        <f>S21/'Alternative 3'!$M22</f>
        <v>1748212.1526816608</v>
      </c>
      <c r="V21" s="78">
        <f t="shared" si="2"/>
        <v>11.650564011602484</v>
      </c>
      <c r="X21" s="78">
        <f>'Alternative 3'!$B$39*$B21*$C21*COS($K$13)-($N$12/3)*$E21*SIN($K$13)-($N$12/3)*$F21*SIN($K$13)-($N$12/3)*$G21*SIN($K$13)</f>
        <v>361823.97437458218</v>
      </c>
      <c r="Y21" s="79">
        <f>IF(($A21&lt;'Alternative 3'!$B$27),(($H21*'Alternative 3'!$B$39)+(3*($N$12/3)*COS($K$13))),IF(($A21&lt;'Alternative 3'!$B$28),(($H21*'Alternative 3'!$B$39)+(2*(($N$12/3)*COS($K$13)))),IF(($A21&lt;'Alternative 3'!$B$29),(($H$3*'Alternative 3'!$B$39+(($N$12/3)*COS($K$13)))),($H21*'Alternative 3'!$B$39))))</f>
        <v>1021017.0773303055</v>
      </c>
      <c r="Z21" s="78">
        <f>X21*'Alternative 3'!$K22/'Alternative 3'!$L22</f>
        <v>7624699.9494228559</v>
      </c>
      <c r="AA21" s="78">
        <f>Y21/'Alternative 3'!$M22</f>
        <v>430316.50609990116</v>
      </c>
      <c r="AB21" s="78">
        <f t="shared" si="3"/>
        <v>8.0550164555227575</v>
      </c>
      <c r="AD21" s="78">
        <f>'Alternative 3'!$B$39*$B21*$C21*COS($K$23)-($N$22/3)*$E21*SIN($K$23)-($N$22/3)*$F21*SIN($K$23)-($N$22/3)*$G21*SIN($K$23)</f>
        <v>393197.07852570293</v>
      </c>
      <c r="AE21" s="79">
        <f>IF(($A21&lt;'Alternative 3'!$B$27),(($H21*'Alternative 3'!$B$39)+(3*($N$22/3)*COS($K$23))),IF(($A21&lt;'Alternative 3'!$B$28),(($H21*'Alternative 3'!$B$39)+(2*(($N$22/3)*COS($K$23)))),IF(($A21&lt;'Alternative 3'!$B$29),(($H$3*'Alternative 3'!$B$39+(($N$22/3)*COS($K$23)))),($H21*'Alternative 3'!$B$39))))</f>
        <v>534015.32341798046</v>
      </c>
      <c r="AF21" s="78">
        <f>AD21*'Alternative 3'!$K22/'Alternative 3'!$L22</f>
        <v>8285823.9284178</v>
      </c>
      <c r="AG21" s="78">
        <f>AE21/'Alternative 3'!$M22</f>
        <v>225065.39144074838</v>
      </c>
      <c r="AH21" s="78">
        <f t="shared" si="4"/>
        <v>8.5108893198585491</v>
      </c>
      <c r="AJ21" s="78">
        <f>'Alternative 3'!$B$39*$B21*$C21*COS($K$33)-($N$32/3)*$E21*SIN($K$33)-($N$32/3)*$F21*SIN($K$33)-($N$32/3)*$G21*SIN($K$33)</f>
        <v>374532.55949008523</v>
      </c>
      <c r="AK21" s="79">
        <f>IF(($A21&lt;'Alternative 3'!$B$27),(($H21*'Alternative 3'!$B$39)+(3*($N$32/3)*COS($K$33))),IF(($A21&lt;'Alternative 3'!$B$28),(($H21*'Alternative 3'!$B$39)+(2*(($N$32/3)*COS($K$33)))),IF(($A21&lt;'Alternative 3'!$B$29),(($H$3*'Alternative 3'!$B$39+(($N$32/3)*COS($K$33)))),($H21*'Alternative 3'!$B$39))))</f>
        <v>371152.25294222706</v>
      </c>
      <c r="AL21" s="78">
        <f>AJ21*'Alternative 3'!$K22/'Alternative 3'!$L22</f>
        <v>7892507.3783111805</v>
      </c>
      <c r="AM21" s="78">
        <f>AK21/'Alternative 3'!$M22</f>
        <v>156425.33730661368</v>
      </c>
      <c r="AN21" s="78">
        <f t="shared" si="5"/>
        <v>8.048932715617795</v>
      </c>
      <c r="AP21" s="78">
        <f>'Alternative 3'!$B$39*$B21*$C21*COS($K$43)-($N$42/3)*$E21*SIN($K$43)-($N$42/3)*$F21*SIN($K$43)-($N$42/3)*$G21*SIN($K$43)</f>
        <v>335018.78825641144</v>
      </c>
      <c r="AQ21" s="79">
        <f>IF(($A21&lt;'Alternative 3'!$B$27),(($H21*'Alternative 3'!$B$39)+(3*($N$42/3)*COS($K$43))),IF(($A21&lt;'Alternative 3'!$B$28),(($H21*'Alternative 3'!$B$39)+(2*(($N$42/3)*COS($K$43)))),IF(($A21&lt;'Alternative 3'!$B$29),(($H$3*'Alternative 3'!$B$39+(($N$42/3)*COS($K$43)))),($H21*'Alternative 3'!$B$39))))</f>
        <v>285113.17308330897</v>
      </c>
      <c r="AR21" s="78">
        <f>AP21*'Alternative 3'!$K22/'Alternative 3'!$L22</f>
        <v>7059835.4967763359</v>
      </c>
      <c r="AS21" s="78">
        <f>AQ21/'Alternative 3'!$M22</f>
        <v>120163.4205816278</v>
      </c>
      <c r="AT21" s="78">
        <f t="shared" si="6"/>
        <v>7.1799989173579633</v>
      </c>
      <c r="AV21" s="78">
        <f>'Alternative 3'!$B$39*$B21*$C21*COS($K$53)-($N$52/3)*$E21*SIN($K$53)-($N$52/3)*$F21*SIN($K$53)-($N$52/3)*$G21*SIN($K$53)</f>
        <v>281240.12928849919</v>
      </c>
      <c r="AW21" s="79">
        <f>IF(($A21&lt;'Alternative 3'!$B$27),(($H21*'Alternative 3'!$B$39)+(3*($N$52/3)*COS($K$53))),IF(($A21&lt;'Alternative 3'!$B$28),(($H21*'Alternative 3'!$B$39)+(2*(($N$52/3)*COS($K$53)))),IF(($A21&lt;'Alternative 3'!$B$29),(($H$3*'Alternative 3'!$B$39+(($N$52/3)*COS($K$53)))),($H21*'Alternative 3'!$B$39))))</f>
        <v>231060.75020188151</v>
      </c>
      <c r="AX21" s="78">
        <f>AV21*'Alternative 3'!$K22/'Alternative 3'!$L22</f>
        <v>5926560.29293878</v>
      </c>
      <c r="AY21" s="78">
        <f>AW21/'Alternative 3'!$M22</f>
        <v>97382.557972171591</v>
      </c>
      <c r="AZ21" s="78">
        <f t="shared" si="7"/>
        <v>6.0239428509109514</v>
      </c>
      <c r="BB21" s="78">
        <f>'Alternative 3'!$B$39*$B21*$C21*COS($K$63)-($N$62/3)*$E21*SIN($K$63)-($N$62/3)*$F21*SIN($K$63)-($N$62/3)*$G21*SIN($K$63)</f>
        <v>216604.90085703187</v>
      </c>
      <c r="BC21" s="79">
        <f>IF(($A21&lt;'Alternative 3'!$B$27),(($H21*'Alternative 3'!$B$39)+(3*($N$62/3)*COS($K$63))),IF(($A21&lt;'Alternative 3'!$B$28),(($H21*'Alternative 3'!$B$39)+(2*(($N$62/3)*COS($K$63)))),IF(($A21&lt;'Alternative 3'!$B$29),(($H$3*'Alternative 3'!$B$39+(($N$62/3)*COS($K$63)))),($H21*'Alternative 3'!$B$39))))</f>
        <v>194999.1111270398</v>
      </c>
      <c r="BD21" s="78">
        <f>BB21*'Alternative 3'!$K22/'Alternative 3'!$L22</f>
        <v>4564505.1007581139</v>
      </c>
      <c r="BE21" s="78">
        <f>BC21/'Alternative 3'!$M22</f>
        <v>82184.067295113695</v>
      </c>
      <c r="BF21" s="78">
        <f t="shared" si="8"/>
        <v>4.6466891680532276</v>
      </c>
      <c r="BH21" s="78">
        <f>'Alternative 3'!$B$39*$B21*$C21*COS($K$73)-($N$72/3)*$E21*SIN($K$73)-($N$72/3)*$F21*SIN($K$73)-($N$72/3)*$G21*SIN($K$73)</f>
        <v>143829.89555859633</v>
      </c>
      <c r="BI21" s="79">
        <f>IF(($A21&lt;'Alternative 3'!$B$27),(($H21*'Alternative 3'!$B$39)+(3*($N$72/3)*COS($K$73))),IF(($A21&lt;'Alternative 3'!$B$28),(($H21*'Alternative 3'!$B$39)+(2*(($N$72/3)*COS($K$73)))),IF(($A21&lt;'Alternative 3'!$B$29),(($H$3*'Alternative 3'!$B$39+(($N$72/3)*COS($K$73)))),($H21*'Alternative 3'!$B$39))))</f>
        <v>171388.17220035256</v>
      </c>
      <c r="BJ21" s="78">
        <f>BH21*'Alternative 3'!$K22/'Alternative 3'!$L22</f>
        <v>3030920.7655095714</v>
      </c>
      <c r="BK21" s="78">
        <f>BI21/'Alternative 3'!$M22</f>
        <v>72233.032224048642</v>
      </c>
      <c r="BL21" s="78">
        <f t="shared" si="9"/>
        <v>3.1031537977336203</v>
      </c>
      <c r="BN21" s="78">
        <f>'Alternative 3'!$B$39*$B21*$C21*COS($K$83)-($N$82/3)*$E21*SIN($K$83)-($N$82/3)*$F21*SIN($K$83)-($N$82/3)*$G21*SIN($K$83)</f>
        <v>65486.326646216068</v>
      </c>
      <c r="BO21" s="79">
        <f>IF(($A21&lt;'Alternative 3'!$B$27),(($H21*'Alternative 3'!$B$39)+(3*($N$82/3)*COS($K$83))),IF(($A21&lt;'Alternative 3'!$B$28),(($H21*'Alternative 3'!$B$39)+(2*(($N$82/3)*COS($K$83)))),IF(($A21&lt;'Alternative 3'!$B$29),(($H$3*'Alternative 3'!$B$39+(($N$82/3)*COS($K$83)))),($H21*'Alternative 3'!$B$39))))</f>
        <v>157772.5200404714</v>
      </c>
      <c r="BP21" s="78">
        <f>BN21*'Alternative 3'!$K22/'Alternative 3'!$L22</f>
        <v>1379990.3456656316</v>
      </c>
      <c r="BQ21" s="78">
        <f>BO21/'Alternative 3'!$M22</f>
        <v>66494.59748500245</v>
      </c>
      <c r="BR21" s="78">
        <f t="shared" si="10"/>
        <v>1.4464849431506339</v>
      </c>
      <c r="BT21" s="78">
        <f>'Alternative 3'!$B$39*$B21*$C21*COS($K$93)-($K$92/3)*$E21*SIN($K$93)-($K$92/3)*$F21*SIN($K$93)-($K$92/3)*$G21*SIN($K$93)</f>
        <v>-6.7311531484404128</v>
      </c>
      <c r="BU21" s="79">
        <f>IF(($A21&lt;'Alternative 3'!$B$27),(($H21*'Alternative 3'!$B$39)+(3*($N$92/3)*COS($K$93))),IF(($A21&lt;'Alternative 3'!$B$28),(($H21*'Alternative 3'!$B$39)+(2*(($N$92/3)*COS($K$93)))),IF(($A21&lt;'Alternative 3'!$B$29),(($H$3*'Alternative 3'!$B$39+(($N$92/3)*COS($K$93)))),($H21*'Alternative 3'!$B$39))))</f>
        <v>153059.95331250579</v>
      </c>
      <c r="BV21" s="78">
        <f>BT21*'Alternative 3'!$K22/'Alternative 3'!$L22</f>
        <v>-141.84528031671667</v>
      </c>
      <c r="BW21" s="78">
        <f>BU21/'Alternative 3'!$M22</f>
        <v>64508.445348895955</v>
      </c>
      <c r="BX21" s="78">
        <f t="shared" si="11"/>
        <v>6.4366600068579236E-2</v>
      </c>
      <c r="BZ21" s="77">
        <v>150</v>
      </c>
      <c r="CA21" s="77">
        <v>-150</v>
      </c>
    </row>
    <row r="22" spans="1:79" ht="15" customHeight="1" x14ac:dyDescent="0.25">
      <c r="A22" s="13">
        <f>IF('Alternative 3'!F23&gt;0,'Alternative 3'!F23,"x")</f>
        <v>20</v>
      </c>
      <c r="B22" s="13">
        <f t="shared" si="17"/>
        <v>17</v>
      </c>
      <c r="C22" s="13">
        <f t="shared" si="12"/>
        <v>8.5</v>
      </c>
      <c r="D22" s="13">
        <f t="shared" si="13"/>
        <v>20</v>
      </c>
      <c r="E22" s="74">
        <f>IF($A22&lt;='Alternative 3'!$B$27, IF($A22='Alternative 3'!$B$27,0,E23+1),0)</f>
        <v>0</v>
      </c>
      <c r="F22" s="74">
        <f>IF($A22&lt;=('Alternative 3'!$B$28), IF($A22=ROUNDDOWN('Alternative 3'!$B$28,0),0,F23+1),0)</f>
        <v>2</v>
      </c>
      <c r="G22" s="74">
        <f>IF($A22&lt;=('Alternative 3'!$B$29), IF($A22=ROUNDDOWN('Alternative 3'!$B$29,0),0,G23+1),0)</f>
        <v>9</v>
      </c>
      <c r="H22" s="13">
        <f t="shared" si="14"/>
        <v>17</v>
      </c>
      <c r="J22" s="77">
        <f t="shared" si="15"/>
        <v>19</v>
      </c>
      <c r="K22" s="77">
        <f t="shared" si="16"/>
        <v>0.33161255787892258</v>
      </c>
      <c r="L22" s="78">
        <f>'Alternative 3'!$B$27*SIN(K22)+'Alternative 3'!$B$28*SIN(K22)+'Alternative 3'!$B$29*SIN(K22)</f>
        <v>22.138634503086649</v>
      </c>
      <c r="M22" s="77">
        <f>(('Alternative 3'!$B$27)*(((('Alternative 3'!$B$28-'Alternative 3'!$B$27)/2)+'Alternative 3'!$B$27)*'Alternative 3'!$B$39)*COS('Alternative 3-Tilt Up'!K22))+(('Alternative 3'!$B$28)*((('Alternative 3'!$B$28-'Alternative 3'!$B$27)/2)+(('Alternative 3'!$B$29-'Alternative 3'!$B$28)/2))*('Alternative 3'!$B$39)*COS('Alternative 3-Tilt Up'!K22))+(('Alternative 3'!$B$29)*((('Alternative 3'!$B$12-'Alternative 3'!$B$29+(('Alternative 3'!$B$29-'Alternative 3'!$B$28)/2)*('Alternative 3'!$B$39)*COS('Alternative 3-Tilt Up'!K22)))))</f>
        <v>4487548.1163721401</v>
      </c>
      <c r="N22" s="82">
        <f t="shared" si="0"/>
        <v>608106.35575737106</v>
      </c>
      <c r="O22" s="77">
        <f>(((('Alternative 3'!$B$28-'Alternative 3'!$B$27)/2)+'Alternative 3'!$B$27)*('Alternative 3'!$B$39)*COS('Alternative 3-Tilt Up'!K22))+(((('Alternative 3'!$B$28-'Alternative 3'!$B$27)/2)+(('Alternative 3'!$B$29-'Alternative 3'!$B$28)/2))*('Alternative 3'!$B$39)*COS('Alternative 3-Tilt Up'!K22))+(((('Alternative 3'!$B$12-'Alternative 3'!$B$29)+(('Alternative 3'!$B$29-'Alternative 3'!$B$28)/2))*('Alternative 3'!$B$39)*COS('Alternative 3-Tilt Up'!K22)))</f>
        <v>289442.05807467678</v>
      </c>
      <c r="P22" s="77">
        <f t="shared" si="1"/>
        <v>574975.85530860093</v>
      </c>
      <c r="R22" s="78">
        <f>'Alternative 3'!$B$39*$B22*$C22*COS($K$5)-($N$5/3)*$E22*SIN($K$5)-($N$5/3)*$F22*SIN($K$5)-($N$5/3)*$G22*SIN($K$5)</f>
        <v>460696.97712476423</v>
      </c>
      <c r="S22" s="79">
        <f>IF(($A22&lt;'Alternative 3'!$B$27),(($H22*'Alternative 3'!$B$39)+(3*($N$5/3)*COS($K$5))),IF(($A22&lt;'Alternative 3'!$B$28),(($H22*'Alternative 3'!$B$39)+(2*(($N$5/3)*COS($K$5)))),IF(($A22&lt;'Alternative 3'!$B$29),(($H$3*'Alternative 3'!$B$39+(($N$5/3)*COS($K$5)))),($H22*'Alternative 3'!$B$39))))</f>
        <v>4139500.3767221067</v>
      </c>
      <c r="T22" s="78">
        <f>R22*'Alternative 3'!$K23/'Alternative 3'!$L23</f>
        <v>9934298.1336805448</v>
      </c>
      <c r="U22" s="78">
        <f>S22/'Alternative 3'!$M23</f>
        <v>1785251.201511838</v>
      </c>
      <c r="V22" s="78">
        <f t="shared" si="2"/>
        <v>11.719549335192383</v>
      </c>
      <c r="X22" s="78">
        <f>'Alternative 3'!$B$39*$B22*$C22*COS($K$13)-($N$12/3)*$E22*SIN($K$13)-($N$12/3)*$F22*SIN($K$13)-($N$12/3)*$G22*SIN($K$13)</f>
        <v>368320.67775858566</v>
      </c>
      <c r="Y22" s="79">
        <f>IF(($A22&lt;'Alternative 3'!$B$27),(($H22*'Alternative 3'!$B$39)+(3*($N$12/3)*COS($K$13))),IF(($A22&lt;'Alternative 3'!$B$28),(($H22*'Alternative 3'!$B$39)+(2*(($N$12/3)*COS($K$13)))),IF(($A22&lt;'Alternative 3'!$B$29),(($H$3*'Alternative 3'!$B$39+(($N$12/3)*COS($K$13)))),($H22*'Alternative 3'!$B$39))))</f>
        <v>1012513.7465907219</v>
      </c>
      <c r="Z22" s="78">
        <f>X22*'Alternative 3'!$K23/'Alternative 3'!$L23</f>
        <v>7942329.9985364405</v>
      </c>
      <c r="AA22" s="78">
        <f>Y22/'Alternative 3'!$M23</f>
        <v>436668.97406582511</v>
      </c>
      <c r="AB22" s="78">
        <f t="shared" si="3"/>
        <v>8.3789989726022664</v>
      </c>
      <c r="AD22" s="78">
        <f>'Alternative 3'!$B$39*$B22*$C22*COS($K$23)-($N$22/3)*$E22*SIN($K$23)-($N$22/3)*$F22*SIN($K$23)-($N$22/3)*$G22*SIN($K$23)</f>
        <v>392019.44373640732</v>
      </c>
      <c r="AE22" s="79">
        <f>IF(($A22&lt;'Alternative 3'!$B$27),(($H22*'Alternative 3'!$B$39)+(3*($N$22/3)*COS($K$23))),IF(($A22&lt;'Alternative 3'!$B$28),(($H22*'Alternative 3'!$B$39)+(2*(($N$22/3)*COS($K$23)))),IF(($A22&lt;'Alternative 3'!$B$29),(($H$3*'Alternative 3'!$B$39+(($N$22/3)*COS($K$23)))),($H22*'Alternative 3'!$B$39))))</f>
        <v>525511.99267839675</v>
      </c>
      <c r="AF22" s="78">
        <f>AD22*'Alternative 3'!$K23/'Alternative 3'!$L23</f>
        <v>8453361.3669064716</v>
      </c>
      <c r="AG22" s="78">
        <f>AE22/'Alternative 3'!$M23</f>
        <v>226638.68364734523</v>
      </c>
      <c r="AH22" s="78">
        <f t="shared" si="4"/>
        <v>8.6800000505538168</v>
      </c>
      <c r="AJ22" s="78">
        <f>'Alternative 3'!$B$39*$B22*$C22*COS($K$33)-($N$32/3)*$E22*SIN($K$33)-($N$32/3)*$F22*SIN($K$33)-($N$32/3)*$G22*SIN($K$33)</f>
        <v>371576.44973742915</v>
      </c>
      <c r="AK22" s="79">
        <f>IF(($A22&lt;'Alternative 3'!$B$27),(($H22*'Alternative 3'!$B$39)+(3*($N$32/3)*COS($K$33))),IF(($A22&lt;'Alternative 3'!$B$28),(($H22*'Alternative 3'!$B$39)+(2*(($N$32/3)*COS($K$33)))),IF(($A22&lt;'Alternative 3'!$B$29),(($H$3*'Alternative 3'!$B$39+(($N$32/3)*COS($K$33)))),($H22*'Alternative 3'!$B$39))))</f>
        <v>362648.92220264336</v>
      </c>
      <c r="AL22" s="78">
        <f>AJ22*'Alternative 3'!$K23/'Alternative 3'!$L23</f>
        <v>8012536.2536218846</v>
      </c>
      <c r="AM22" s="78">
        <f>AK22/'Alternative 3'!$M23</f>
        <v>156400.37810599399</v>
      </c>
      <c r="AN22" s="78">
        <f t="shared" si="5"/>
        <v>8.1689366317278793</v>
      </c>
      <c r="AP22" s="78">
        <f>'Alternative 3'!$B$39*$B22*$C22*COS($K$43)-($N$42/3)*$E22*SIN($K$43)-($N$42/3)*$F22*SIN($K$43)-($N$42/3)*$G22*SIN($K$43)</f>
        <v>331830.83419329982</v>
      </c>
      <c r="AQ22" s="79">
        <f>IF(($A22&lt;'Alternative 3'!$B$27),(($H22*'Alternative 3'!$B$39)+(3*($N$42/3)*COS($K$43))),IF(($A22&lt;'Alternative 3'!$B$28),(($H22*'Alternative 3'!$B$39)+(2*(($N$42/3)*COS($K$43)))),IF(($A22&lt;'Alternative 3'!$B$29),(($H$3*'Alternative 3'!$B$39+(($N$42/3)*COS($K$43)))),($H22*'Alternative 3'!$B$39))))</f>
        <v>276609.84234372526</v>
      </c>
      <c r="AR22" s="78">
        <f>AP22*'Alternative 3'!$K23/'Alternative 3'!$L23</f>
        <v>7155476.5941765867</v>
      </c>
      <c r="AS22" s="78">
        <f>AQ22/'Alternative 3'!$M23</f>
        <v>119294.11968919037</v>
      </c>
      <c r="AT22" s="78">
        <f t="shared" si="6"/>
        <v>7.2747707138657773</v>
      </c>
      <c r="AV22" s="78">
        <f>'Alternative 3'!$B$39*$B22*$C22*COS($K$53)-($N$52/3)*$E22*SIN($K$53)-($N$52/3)*$F22*SIN($K$53)-($N$52/3)*$G22*SIN($K$53)</f>
        <v>278545.7354983805</v>
      </c>
      <c r="AW22" s="79">
        <f>IF(($A22&lt;'Alternative 3'!$B$27),(($H22*'Alternative 3'!$B$39)+(3*($N$52/3)*COS($K$53))),IF(($A22&lt;'Alternative 3'!$B$28),(($H22*'Alternative 3'!$B$39)+(2*(($N$52/3)*COS($K$53)))),IF(($A22&lt;'Alternative 3'!$B$29),(($H$3*'Alternative 3'!$B$39+(($N$52/3)*COS($K$53)))),($H22*'Alternative 3'!$B$39))))</f>
        <v>222557.41946229781</v>
      </c>
      <c r="AX22" s="78">
        <f>AV22*'Alternative 3'!$K23/'Alternative 3'!$L23</f>
        <v>6006456.559746094</v>
      </c>
      <c r="AY22" s="78">
        <f>AW22/'Alternative 3'!$M23</f>
        <v>95982.815398379724</v>
      </c>
      <c r="AZ22" s="78">
        <f t="shared" si="7"/>
        <v>6.1024393751444741</v>
      </c>
      <c r="BB22" s="78">
        <f>'Alternative 3'!$B$39*$B22*$C22*COS($K$63)-($N$62/3)*$E22*SIN($K$63)-($N$62/3)*$F22*SIN($K$63)-($N$62/3)*$G22*SIN($K$63)</f>
        <v>214841.50904709712</v>
      </c>
      <c r="BC22" s="79">
        <f>IF(($A22&lt;'Alternative 3'!$B$27),(($H22*'Alternative 3'!$B$39)+(3*($N$62/3)*COS($K$63))),IF(($A22&lt;'Alternative 3'!$B$28),(($H22*'Alternative 3'!$B$39)+(2*(($N$62/3)*COS($K$63)))),IF(($A22&lt;'Alternative 3'!$B$29),(($H$3*'Alternative 3'!$B$39+(($N$62/3)*COS($K$63)))),($H22*'Alternative 3'!$B$39))))</f>
        <v>186495.78038745612</v>
      </c>
      <c r="BD22" s="78">
        <f>BB22*'Alternative 3'!$K23/'Alternative 3'!$L23</f>
        <v>4632762.3325943509</v>
      </c>
      <c r="BE22" s="78">
        <f>BC22/'Alternative 3'!$M23</f>
        <v>80430.435007530134</v>
      </c>
      <c r="BF22" s="78">
        <f t="shared" si="8"/>
        <v>4.713192767601881</v>
      </c>
      <c r="BH22" s="78">
        <f>'Alternative 3'!$B$39*$B22*$C22*COS($K$73)-($N$72/3)*$E22*SIN($K$73)-($N$72/3)*$F22*SIN($K$73)-($N$72/3)*$G22*SIN($K$73)</f>
        <v>143290.83112156249</v>
      </c>
      <c r="BI22" s="79">
        <f>IF(($A22&lt;'Alternative 3'!$B$27),(($H22*'Alternative 3'!$B$39)+(3*($N$72/3)*COS($K$73))),IF(($A22&lt;'Alternative 3'!$B$28),(($H22*'Alternative 3'!$B$39)+(2*(($N$72/3)*COS($K$73)))),IF(($A22&lt;'Alternative 3'!$B$29),(($H$3*'Alternative 3'!$B$39+(($N$72/3)*COS($K$73)))),($H22*'Alternative 3'!$B$39))))</f>
        <v>162884.84146076889</v>
      </c>
      <c r="BJ22" s="78">
        <f>BH22*'Alternative 3'!$K23/'Alternative 3'!$L23</f>
        <v>3089870.1464649877</v>
      </c>
      <c r="BK22" s="78">
        <f>BI22/'Alternative 3'!$M23</f>
        <v>70247.694760730359</v>
      </c>
      <c r="BL22" s="78">
        <f t="shared" si="9"/>
        <v>3.160117841225718</v>
      </c>
      <c r="BN22" s="78">
        <f>'Alternative 3'!$B$39*$B22*$C22*COS($K$83)-($N$82/3)*$E22*SIN($K$83)-($N$82/3)*$F22*SIN($K$83)-($N$82/3)*$G22*SIN($K$83)</f>
        <v>66372.332631274505</v>
      </c>
      <c r="BO22" s="79">
        <f>IF(($A22&lt;'Alternative 3'!$B$27),(($H22*'Alternative 3'!$B$39)+(3*($N$82/3)*COS($K$83))),IF(($A22&lt;'Alternative 3'!$B$28),(($H22*'Alternative 3'!$B$39)+(2*(($N$82/3)*COS($K$83)))),IF(($A22&lt;'Alternative 3'!$B$29),(($H$3*'Alternative 3'!$B$39+(($N$82/3)*COS($K$83)))),($H22*'Alternative 3'!$B$39))))</f>
        <v>149269.18930088769</v>
      </c>
      <c r="BP22" s="78">
        <f>BN22*'Alternative 3'!$K23/'Alternative 3'!$L23</f>
        <v>1431228.2756922205</v>
      </c>
      <c r="BQ22" s="78">
        <f>BO22/'Alternative 3'!$M23</f>
        <v>64375.643265220388</v>
      </c>
      <c r="BR22" s="78">
        <f t="shared" si="10"/>
        <v>1.4956039189574408</v>
      </c>
      <c r="BT22" s="78">
        <f>'Alternative 3'!$B$39*$B22*$C22*COS($K$93)-($K$92/3)*$E22*SIN($K$93)-($K$92/3)*$F22*SIN($K$93)-($K$92/3)*$G22*SIN($K$93)</f>
        <v>-5.6955911255995604</v>
      </c>
      <c r="BU22" s="79">
        <f>IF(($A22&lt;'Alternative 3'!$B$27),(($H22*'Alternative 3'!$B$39)+(3*($N$92/3)*COS($K$93))),IF(($A22&lt;'Alternative 3'!$B$28),(($H22*'Alternative 3'!$B$39)+(2*(($N$92/3)*COS($K$93)))),IF(($A22&lt;'Alternative 3'!$B$29),(($H$3*'Alternative 3'!$B$39+(($N$92/3)*COS($K$93)))),($H22*'Alternative 3'!$B$39))))</f>
        <v>144556.62257292212</v>
      </c>
      <c r="BV22" s="78">
        <f>BT22*'Alternative 3'!$K23/'Alternative 3'!$L23</f>
        <v>-122.81760701444314</v>
      </c>
      <c r="BW22" s="78">
        <f>BU22/'Alternative 3'!$M23</f>
        <v>62343.244509898315</v>
      </c>
      <c r="BX22" s="78">
        <f t="shared" si="11"/>
        <v>6.2220426902883874E-2</v>
      </c>
      <c r="BZ22" s="77">
        <v>150</v>
      </c>
      <c r="CA22" s="77">
        <v>-150</v>
      </c>
    </row>
    <row r="23" spans="1:79" ht="15" customHeight="1" x14ac:dyDescent="0.25">
      <c r="A23" s="13">
        <f>IF('Alternative 3'!F24&gt;0,'Alternative 3'!F24,"x")</f>
        <v>21</v>
      </c>
      <c r="B23" s="13">
        <f t="shared" si="17"/>
        <v>16</v>
      </c>
      <c r="C23" s="13">
        <f t="shared" si="12"/>
        <v>8</v>
      </c>
      <c r="D23" s="13">
        <f t="shared" si="13"/>
        <v>21</v>
      </c>
      <c r="E23" s="74">
        <f>IF($A23&lt;='Alternative 3'!$B$27, IF($A23='Alternative 3'!$B$27,0,E24+1),0)</f>
        <v>0</v>
      </c>
      <c r="F23" s="74">
        <f>IF($A23&lt;=('Alternative 3'!$B$28), IF($A23=ROUNDDOWN('Alternative 3'!$B$28,0),0,F24+1),0)</f>
        <v>1</v>
      </c>
      <c r="G23" s="74">
        <f>IF($A23&lt;=('Alternative 3'!$B$29), IF($A23=ROUNDDOWN('Alternative 3'!$B$29,0),0,G24+1),0)</f>
        <v>8</v>
      </c>
      <c r="H23" s="13">
        <f t="shared" si="14"/>
        <v>16</v>
      </c>
      <c r="J23" s="77">
        <f t="shared" si="15"/>
        <v>20</v>
      </c>
      <c r="K23" s="82">
        <f t="shared" si="16"/>
        <v>0.3490658503988659</v>
      </c>
      <c r="L23" s="78">
        <f>'Alternative 3'!$B$27*SIN(K23)+'Alternative 3'!$B$28*SIN(K23)+'Alternative 3'!$B$29*SIN(K23)</f>
        <v>23.257369746145471</v>
      </c>
      <c r="M23" s="77">
        <f>(('Alternative 3'!$B$27)*(((('Alternative 3'!$B$28-'Alternative 3'!$B$27)/2)+'Alternative 3'!$B$27)*'Alternative 3'!$B$39)*COS('Alternative 3-Tilt Up'!K23))+(('Alternative 3'!$B$28)*((('Alternative 3'!$B$28-'Alternative 3'!$B$27)/2)+(('Alternative 3'!$B$29-'Alternative 3'!$B$28)/2))*('Alternative 3'!$B$39)*COS('Alternative 3-Tilt Up'!K23))+(('Alternative 3'!$B$29)*((('Alternative 3'!$B$12-'Alternative 3'!$B$29+(('Alternative 3'!$B$29-'Alternative 3'!$B$28)/2)*('Alternative 3'!$B$39)*COS('Alternative 3-Tilt Up'!K23)))))</f>
        <v>4459898.6195925968</v>
      </c>
      <c r="N23" s="77">
        <f t="shared" si="0"/>
        <v>575288.43565791682</v>
      </c>
      <c r="O23" s="77">
        <f>(((('Alternative 3'!$B$28-'Alternative 3'!$B$27)/2)+'Alternative 3'!$B$27)*('Alternative 3'!$B$39)*COS('Alternative 3-Tilt Up'!K23))+(((('Alternative 3'!$B$28-'Alternative 3'!$B$27)/2)+(('Alternative 3'!$B$29-'Alternative 3'!$B$28)/2))*('Alternative 3'!$B$39)*COS('Alternative 3-Tilt Up'!K23))+(((('Alternative 3'!$B$12-'Alternative 3'!$B$29)+(('Alternative 3'!$B$29-'Alternative 3'!$B$28)/2))*('Alternative 3'!$B$39)*COS('Alternative 3-Tilt Up'!K23)))</f>
        <v>287658.61733119469</v>
      </c>
      <c r="P23" s="82">
        <f t="shared" si="1"/>
        <v>540594.2978112133</v>
      </c>
      <c r="R23" s="78">
        <f>'Alternative 3'!$B$39*$B23*$C23*COS($K$5)-($N$5/3)*$E23*SIN($K$5)-($N$5/3)*$F23*SIN($K$5)-($N$5/3)*$G23*SIN($K$5)</f>
        <v>459983.9998817899</v>
      </c>
      <c r="S23" s="79">
        <f>IF(($A23&lt;'Alternative 3'!$B$27),(($H23*'Alternative 3'!$B$39)+(3*($N$5/3)*COS($K$5))),IF(($A23&lt;'Alternative 3'!$B$28),(($H23*'Alternative 3'!$B$39)+(2*(($N$5/3)*COS($K$5)))),IF(($A23&lt;'Alternative 3'!$B$29),(($H$3*'Alternative 3'!$B$39+(($N$5/3)*COS($K$5)))),($H23*'Alternative 3'!$B$39))))</f>
        <v>4130997.0459825229</v>
      </c>
      <c r="T23" s="78">
        <f>R23*'Alternative 3'!$K24/'Alternative 3'!$L24</f>
        <v>10152601.685936777</v>
      </c>
      <c r="U23" s="78">
        <f>S23/'Alternative 3'!$M24</f>
        <v>1823555.929524665</v>
      </c>
      <c r="V23" s="78">
        <f t="shared" si="2"/>
        <v>11.976157615461442</v>
      </c>
      <c r="X23" s="78">
        <f>'Alternative 3'!$B$39*$B23*$C23*COS($K$13)-($N$12/3)*$E23*SIN($K$13)-($N$12/3)*$F23*SIN($K$13)-($N$12/3)*$G23*SIN($K$13)</f>
        <v>383191.52718135819</v>
      </c>
      <c r="Y23" s="79">
        <f>IF(($A23&lt;'Alternative 3'!$B$27),(($H23*'Alternative 3'!$B$39)+(3*($N$12/3)*COS($K$13))),IF(($A23&lt;'Alternative 3'!$B$28),(($H23*'Alternative 3'!$B$39)+(2*(($N$12/3)*COS($K$13)))),IF(($A23&lt;'Alternative 3'!$B$29),(($H$3*'Alternative 3'!$B$39+(($N$12/3)*COS($K$13)))),($H23*'Alternative 3'!$B$39))))</f>
        <v>1004010.4158511382</v>
      </c>
      <c r="Z23" s="78">
        <f>X23*'Alternative 3'!$K24/'Alternative 3'!$L24</f>
        <v>8457665.8011972737</v>
      </c>
      <c r="AA23" s="78">
        <f>Y23/'Alternative 3'!$M24</f>
        <v>443202.72485075356</v>
      </c>
      <c r="AB23" s="78">
        <f t="shared" si="3"/>
        <v>8.9008685260480274</v>
      </c>
      <c r="AD23" s="78">
        <f>'Alternative 3'!$B$39*$B23*$C23*COS($K$23)-($N$22/3)*$E23*SIN($K$23)-($N$22/3)*$F23*SIN($K$23)-($N$22/3)*$G23*SIN($K$23)</f>
        <v>398832.32609520038</v>
      </c>
      <c r="AE23" s="79">
        <f>IF(($A23&lt;'Alternative 3'!$B$27),(($H23*'Alternative 3'!$B$39)+(3*($N$22/3)*COS($K$23))),IF(($A23&lt;'Alternative 3'!$B$28),(($H23*'Alternative 3'!$B$39)+(2*(($N$22/3)*COS($K$23)))),IF(($A23&lt;'Alternative 3'!$B$29),(($H$3*'Alternative 3'!$B$39+(($N$22/3)*COS($K$23)))),($H23*'Alternative 3'!$B$39))))</f>
        <v>517008.66193881317</v>
      </c>
      <c r="AF23" s="78">
        <f>AD23*'Alternative 3'!$K24/'Alternative 3'!$L24</f>
        <v>8802883.8989199772</v>
      </c>
      <c r="AG23" s="78">
        <f>AE23/'Alternative 3'!$M24</f>
        <v>228224.37309923084</v>
      </c>
      <c r="AH23" s="78">
        <f t="shared" si="4"/>
        <v>9.0311082720192069</v>
      </c>
      <c r="AJ23" s="78">
        <f>'Alternative 3'!$B$39*$B23*$C23*COS($K$33)-($N$32/3)*$E23*SIN($K$33)-($N$32/3)*$F23*SIN($K$33)-($N$32/3)*$G23*SIN($K$33)</f>
        <v>375984.44042203389</v>
      </c>
      <c r="AK23" s="79">
        <f>IF(($A23&lt;'Alternative 3'!$B$27),(($H23*'Alternative 3'!$B$39)+(3*($N$32/3)*COS($K$33))),IF(($A23&lt;'Alternative 3'!$B$28),(($H23*'Alternative 3'!$B$39)+(2*(($N$32/3)*COS($K$33)))),IF(($A23&lt;'Alternative 3'!$B$29),(($H$3*'Alternative 3'!$B$39+(($N$32/3)*COS($K$33)))),($H23*'Alternative 3'!$B$39))))</f>
        <v>354145.59146305971</v>
      </c>
      <c r="AL23" s="78">
        <f>AJ23*'Alternative 3'!$K24/'Alternative 3'!$L24</f>
        <v>8298593.5699844221</v>
      </c>
      <c r="AM23" s="78">
        <f>AK23/'Alternative 3'!$M24</f>
        <v>156331.33745654445</v>
      </c>
      <c r="AN23" s="78">
        <f t="shared" si="5"/>
        <v>8.4549249074409651</v>
      </c>
      <c r="AP23" s="78">
        <f>'Alternative 3'!$B$39*$B23*$C23*COS($K$43)-($N$42/3)*$E23*SIN($K$43)-($N$42/3)*$F23*SIN($K$43)-($N$42/3)*$G23*SIN($K$43)</f>
        <v>335156.80939124897</v>
      </c>
      <c r="AQ23" s="79">
        <f>IF(($A23&lt;'Alternative 3'!$B$27),(($H23*'Alternative 3'!$B$39)+(3*($N$42/3)*COS($K$43))),IF(($A23&lt;'Alternative 3'!$B$28),(($H23*'Alternative 3'!$B$39)+(2*(($N$42/3)*COS($K$43)))),IF(($A23&lt;'Alternative 3'!$B$29),(($H$3*'Alternative 3'!$B$39+(($N$42/3)*COS($K$43)))),($H23*'Alternative 3'!$B$39))))</f>
        <v>268106.51160414168</v>
      </c>
      <c r="AR23" s="78">
        <f>AP23*'Alternative 3'!$K24/'Alternative 3'!$L24</f>
        <v>7397460.7572290339</v>
      </c>
      <c r="AS23" s="78">
        <f>AQ23/'Alternative 3'!$M24</f>
        <v>118350.90016715892</v>
      </c>
      <c r="AT23" s="78">
        <f t="shared" si="6"/>
        <v>7.5158116573961928</v>
      </c>
      <c r="AV23" s="78">
        <f>'Alternative 3'!$B$39*$B23*$C23*COS($K$53)-($N$52/3)*$E23*SIN($K$53)-($N$52/3)*$F23*SIN($K$53)-($N$52/3)*$G23*SIN($K$53)</f>
        <v>281317.17734873295</v>
      </c>
      <c r="AW23" s="79">
        <f>IF(($A23&lt;'Alternative 3'!$B$27),(($H23*'Alternative 3'!$B$39)+(3*($N$52/3)*COS($K$53))),IF(($A23&lt;'Alternative 3'!$B$28),(($H23*'Alternative 3'!$B$39)+(2*(($N$52/3)*COS($K$53)))),IF(($A23&lt;'Alternative 3'!$B$29),(($H$3*'Alternative 3'!$B$39+(($N$52/3)*COS($K$53)))),($H23*'Alternative 3'!$B$39))))</f>
        <v>214054.08872271416</v>
      </c>
      <c r="AX23" s="78">
        <f>AV23*'Alternative 3'!$K24/'Alternative 3'!$L24</f>
        <v>6209131.7301638825</v>
      </c>
      <c r="AY23" s="78">
        <f>AW23/'Alternative 3'!$M24</f>
        <v>94490.409551107572</v>
      </c>
      <c r="AZ23" s="78">
        <f t="shared" si="7"/>
        <v>6.3036221397149896</v>
      </c>
      <c r="BB23" s="78">
        <f>'Alternative 3'!$B$39*$B23*$C23*COS($K$63)-($N$62/3)*$E23*SIN($K$63)-($N$62/3)*$F23*SIN($K$63)-($N$62/3)*$G23*SIN($K$63)</f>
        <v>217329.78260695416</v>
      </c>
      <c r="BC23" s="79">
        <f>IF(($A23&lt;'Alternative 3'!$B$27),(($H23*'Alternative 3'!$B$39)+(3*($N$62/3)*COS($K$63))),IF(($A23&lt;'Alternative 3'!$B$28),(($H23*'Alternative 3'!$B$39)+(2*(($N$62/3)*COS($K$63)))),IF(($A23&lt;'Alternative 3'!$B$29),(($H$3*'Alternative 3'!$B$39+(($N$62/3)*COS($K$63)))),($H23*'Alternative 3'!$B$39))))</f>
        <v>177992.44964787248</v>
      </c>
      <c r="BD23" s="78">
        <f>BB23*'Alternative 3'!$K24/'Alternative 3'!$L24</f>
        <v>4796824.9284033123</v>
      </c>
      <c r="BE23" s="78">
        <f>BC23/'Alternative 3'!$M24</f>
        <v>78571.633761311445</v>
      </c>
      <c r="BF23" s="78">
        <f t="shared" si="8"/>
        <v>4.8753965621646245</v>
      </c>
      <c r="BH23" s="78">
        <f>'Alternative 3'!$B$39*$B23*$C23*COS($K$73)-($N$72/3)*$E23*SIN($K$73)-($N$72/3)*$F23*SIN($K$73)-($N$72/3)*$G23*SIN($K$73)</f>
        <v>145660.07708282676</v>
      </c>
      <c r="BI23" s="79">
        <f>IF(($A23&lt;'Alternative 3'!$B$27),(($H23*'Alternative 3'!$B$39)+(3*($N$72/3)*COS($K$73))),IF(($A23&lt;'Alternative 3'!$B$28),(($H23*'Alternative 3'!$B$39)+(2*(($N$72/3)*COS($K$73)))),IF(($A23&lt;'Alternative 3'!$B$29),(($H$3*'Alternative 3'!$B$39+(($N$72/3)*COS($K$73)))),($H23*'Alternative 3'!$B$39))))</f>
        <v>154381.51072118524</v>
      </c>
      <c r="BJ23" s="78">
        <f>BH23*'Alternative 3'!$K24/'Alternative 3'!$L24</f>
        <v>3214956.9214251544</v>
      </c>
      <c r="BK23" s="78">
        <f>BI23/'Alternative 3'!$M24</f>
        <v>68149.000386814616</v>
      </c>
      <c r="BL23" s="78">
        <f t="shared" si="9"/>
        <v>3.2831059218119689</v>
      </c>
      <c r="BN23" s="78">
        <f>'Alternative 3'!$B$39*$B23*$C23*COS($K$83)-($N$82/3)*$E23*SIN($K$83)-($N$82/3)*$F23*SIN($K$83)-($N$82/3)*$G23*SIN($K$83)</f>
        <v>68734.926503360824</v>
      </c>
      <c r="BO23" s="79">
        <f>IF(($A23&lt;'Alternative 3'!$B$27),(($H23*'Alternative 3'!$B$39)+(3*($N$82/3)*COS($K$83))),IF(($A23&lt;'Alternative 3'!$B$28),(($H23*'Alternative 3'!$B$39)+(2*(($N$82/3)*COS($K$83)))),IF(($A23&lt;'Alternative 3'!$B$29),(($H$3*'Alternative 3'!$B$39+(($N$82/3)*COS($K$83)))),($H23*'Alternative 3'!$B$39))))</f>
        <v>140765.85856130405</v>
      </c>
      <c r="BP23" s="78">
        <f>BN23*'Alternative 3'!$K24/'Alternative 3'!$L24</f>
        <v>1517092.6181782347</v>
      </c>
      <c r="BQ23" s="78">
        <f>BO23/'Alternative 3'!$M24</f>
        <v>62138.610412161099</v>
      </c>
      <c r="BR23" s="78">
        <f t="shared" si="10"/>
        <v>1.5792312285903958</v>
      </c>
      <c r="BT23" s="78">
        <f>'Alternative 3'!$B$39*$B23*$C23*COS($K$93)-($K$92/3)*$E23*SIN($K$93)-($K$92/3)*$F23*SIN($K$93)-($K$92/3)*$G23*SIN($K$93)</f>
        <v>-4.6600291027581857</v>
      </c>
      <c r="BU23" s="79">
        <f>IF(($A23&lt;'Alternative 3'!$B$27),(($H23*'Alternative 3'!$B$39)+(3*($N$92/3)*COS($K$93))),IF(($A23&lt;'Alternative 3'!$B$28),(($H23*'Alternative 3'!$B$39)+(2*(($N$92/3)*COS($K$93)))),IF(($A23&lt;'Alternative 3'!$B$29),(($H$3*'Alternative 3'!$B$39+(($N$92/3)*COS($K$93)))),($H23*'Alternative 3'!$B$39))))</f>
        <v>136053.29183333847</v>
      </c>
      <c r="BV23" s="78">
        <f>BT23*'Alternative 3'!$K24/'Alternative 3'!$L24</f>
        <v>-102.85448915035226</v>
      </c>
      <c r="BW23" s="78">
        <f>BU23/'Alternative 3'!$M24</f>
        <v>60058.330783682606</v>
      </c>
      <c r="BX23" s="78">
        <f t="shared" si="11"/>
        <v>5.9955476294532253E-2</v>
      </c>
      <c r="BZ23" s="77">
        <v>150</v>
      </c>
      <c r="CA23" s="77">
        <v>-150</v>
      </c>
    </row>
    <row r="24" spans="1:79" ht="15" customHeight="1" x14ac:dyDescent="0.25">
      <c r="A24" s="13">
        <f>IF('Alternative 3'!F25&gt;0,'Alternative 3'!F25,"x")</f>
        <v>22</v>
      </c>
      <c r="B24" s="13">
        <f t="shared" si="17"/>
        <v>15</v>
      </c>
      <c r="C24" s="13">
        <f t="shared" si="12"/>
        <v>7.5</v>
      </c>
      <c r="D24" s="13">
        <f t="shared" si="13"/>
        <v>22</v>
      </c>
      <c r="E24" s="74">
        <f>IF($A24&lt;='Alternative 3'!$B$27, IF($A24='Alternative 3'!$B$27,0,E25+1),0)</f>
        <v>0</v>
      </c>
      <c r="F24" s="74">
        <f>IF($A24&lt;=('Alternative 3'!$B$28), IF($A24=ROUNDDOWN('Alternative 3'!$B$28,0),0,F25+1),0)</f>
        <v>0</v>
      </c>
      <c r="G24" s="74">
        <f>IF($A24&lt;=('Alternative 3'!$B$29), IF($A24=ROUNDDOWN('Alternative 3'!$B$29,0),0,G25+1),0)</f>
        <v>7</v>
      </c>
      <c r="H24" s="13">
        <f t="shared" si="14"/>
        <v>15</v>
      </c>
      <c r="J24" s="77">
        <f t="shared" si="15"/>
        <v>21</v>
      </c>
      <c r="K24" s="77">
        <f t="shared" si="16"/>
        <v>0.36651914291880922</v>
      </c>
      <c r="L24" s="78">
        <f>'Alternative 3'!$B$27*SIN(K24)+'Alternative 3'!$B$28*SIN(K24)+'Alternative 3'!$B$29*SIN(K24)</f>
        <v>24.369020569080419</v>
      </c>
      <c r="M24" s="77">
        <f>(('Alternative 3'!$B$27)*(((('Alternative 3'!$B$28-'Alternative 3'!$B$27)/2)+'Alternative 3'!$B$27)*'Alternative 3'!$B$39)*COS('Alternative 3-Tilt Up'!K24))+(('Alternative 3'!$B$28)*((('Alternative 3'!$B$28-'Alternative 3'!$B$27)/2)+(('Alternative 3'!$B$29-'Alternative 3'!$B$28)/2))*('Alternative 3'!$B$39)*COS('Alternative 3-Tilt Up'!K24))+(('Alternative 3'!$B$29)*((('Alternative 3'!$B$12-'Alternative 3'!$B$29+(('Alternative 3'!$B$29-'Alternative 3'!$B$28)/2)*('Alternative 3'!$B$39)*COS('Alternative 3-Tilt Up'!K24)))))</f>
        <v>4430890.6540806461</v>
      </c>
      <c r="N24" s="77">
        <f t="shared" si="0"/>
        <v>545474.19846277172</v>
      </c>
      <c r="O24" s="77">
        <f>(((('Alternative 3'!$B$28-'Alternative 3'!$B$27)/2)+'Alternative 3'!$B$27)*('Alternative 3'!$B$39)*COS('Alternative 3-Tilt Up'!K24))+(((('Alternative 3'!$B$28-'Alternative 3'!$B$27)/2)+(('Alternative 3'!$B$29-'Alternative 3'!$B$28)/2))*('Alternative 3'!$B$39)*COS('Alternative 3-Tilt Up'!K24))+(((('Alternative 3'!$B$12-'Alternative 3'!$B$29)+(('Alternative 3'!$B$29-'Alternative 3'!$B$28)/2))*('Alternative 3'!$B$39)*COS('Alternative 3-Tilt Up'!K24)))</f>
        <v>285787.55298626184</v>
      </c>
      <c r="P24" s="77">
        <f t="shared" si="1"/>
        <v>509244.03484409367</v>
      </c>
      <c r="R24" s="78">
        <f>'Alternative 3'!$B$39*$B24*$C24*COS($K$5)-($N$5/3)*$E24*SIN($K$5)-($N$5/3)*$F24*SIN($K$5)-($N$5/3)*$G24*SIN($K$5)</f>
        <v>467769.17337906495</v>
      </c>
      <c r="S24" s="79">
        <f>IF(($A24&lt;'Alternative 3'!$B$27),(($H24*'Alternative 3'!$B$39)+(3*($N$5/3)*COS($K$5))),IF(($A24&lt;'Alternative 3'!$B$28),(($H24*'Alternative 3'!$B$39)+(2*(($N$5/3)*COS($K$5)))),IF(($A24&lt;'Alternative 3'!$B$29),(($H$3*'Alternative 3'!$B$39+(($N$5/3)*COS($K$5)))),($H24*'Alternative 3'!$B$39))))</f>
        <v>4122493.7152429395</v>
      </c>
      <c r="T24" s="78">
        <f>R24*'Alternative 3'!$K25/'Alternative 3'!$L25</f>
        <v>10570563.653492259</v>
      </c>
      <c r="U24" s="78">
        <f>S24/'Alternative 3'!$M25</f>
        <v>1863185.6520284293</v>
      </c>
      <c r="V24" s="78">
        <f t="shared" si="2"/>
        <v>12.433749305520687</v>
      </c>
      <c r="X24" s="78">
        <f>'Alternative 3'!$B$39*$B24*$C24*COS($K$13)-($N$12/3)*$E24*SIN($K$13)-($N$12/3)*$F24*SIN($K$13)-($N$12/3)*$G24*SIN($K$13)</f>
        <v>406436.52264289965</v>
      </c>
      <c r="Y24" s="79">
        <f>IF(($A24&lt;'Alternative 3'!$B$27),(($H24*'Alternative 3'!$B$39)+(3*($N$12/3)*COS($K$13))),IF(($A24&lt;'Alternative 3'!$B$28),(($H24*'Alternative 3'!$B$39)+(2*(($N$12/3)*COS($K$13)))),IF(($A24&lt;'Alternative 3'!$B$29),(($H$3*'Alternative 3'!$B$39+(($N$12/3)*COS($K$13)))),($H24*'Alternative 3'!$B$39))))</f>
        <v>995507.0851115546</v>
      </c>
      <c r="Z24" s="78">
        <f>X24*'Alternative 3'!$K25/'Alternative 3'!$L25</f>
        <v>9184579.442603128</v>
      </c>
      <c r="AA24" s="78">
        <f>Y24/'Alternative 3'!$M25</f>
        <v>449925.37177541538</v>
      </c>
      <c r="AB24" s="78">
        <f t="shared" si="3"/>
        <v>9.634504814378543</v>
      </c>
      <c r="AD24" s="78">
        <f>'Alternative 3'!$B$39*$B24*$C24*COS($K$23)-($N$22/3)*$E24*SIN($K$23)-($N$22/3)*$F24*SIN($K$23)-($N$22/3)*$G24*SIN($K$23)</f>
        <v>413635.72560208238</v>
      </c>
      <c r="AE24" s="79">
        <f>IF(($A24&lt;'Alternative 3'!$B$27),(($H24*'Alternative 3'!$B$39)+(3*($N$22/3)*COS($K$23))),IF(($A24&lt;'Alternative 3'!$B$28),(($H24*'Alternative 3'!$B$39)+(2*(($N$22/3)*COS($K$23)))),IF(($A24&lt;'Alternative 3'!$B$29),(($H$3*'Alternative 3'!$B$39+(($N$22/3)*COS($K$23)))),($H24*'Alternative 3'!$B$39))))</f>
        <v>508505.33119922946</v>
      </c>
      <c r="AF24" s="78">
        <f>AD24*'Alternative 3'!$K25/'Alternative 3'!$L25</f>
        <v>9347265.7363251448</v>
      </c>
      <c r="AG24" s="78">
        <f>AE24/'Alternative 3'!$M25</f>
        <v>229822.0209692996</v>
      </c>
      <c r="AH24" s="78">
        <f t="shared" si="4"/>
        <v>9.5770877572944446</v>
      </c>
      <c r="AJ24" s="78">
        <f>'Alternative 3'!$B$39*$B24*$C24*COS($K$33)-($N$32/3)*$E24*SIN($K$33)-($N$32/3)*$F24*SIN($K$33)-($N$32/3)*$G24*SIN($K$33)</f>
        <v>387756.53154389927</v>
      </c>
      <c r="AK24" s="79">
        <f>IF(($A24&lt;'Alternative 3'!$B$27),(($H24*'Alternative 3'!$B$39)+(3*($N$32/3)*COS($K$33))),IF(($A24&lt;'Alternative 3'!$B$28),(($H24*'Alternative 3'!$B$39)+(2*(($N$32/3)*COS($K$33)))),IF(($A24&lt;'Alternative 3'!$B$29),(($H$3*'Alternative 3'!$B$39+(($N$32/3)*COS($K$33)))),($H24*'Alternative 3'!$B$39))))</f>
        <v>345642.26072347607</v>
      </c>
      <c r="AL24" s="78">
        <f>AJ24*'Alternative 3'!$K25/'Alternative 3'!$L25</f>
        <v>8762452.3632741142</v>
      </c>
      <c r="AM24" s="78">
        <f>AK24/'Alternative 3'!$M25</f>
        <v>156215.08373280789</v>
      </c>
      <c r="AN24" s="78">
        <f t="shared" si="5"/>
        <v>8.9186674470069214</v>
      </c>
      <c r="AP24" s="78">
        <f>'Alternative 3'!$B$39*$B24*$C24*COS($K$43)-($N$42/3)*$E24*SIN($K$43)-($N$42/3)*$F24*SIN($K$43)-($N$42/3)*$G24*SIN($K$43)</f>
        <v>344996.71385025902</v>
      </c>
      <c r="AQ24" s="79">
        <f>IF(($A24&lt;'Alternative 3'!$B$27),(($H24*'Alternative 3'!$B$39)+(3*($N$42/3)*COS($K$43))),IF(($A24&lt;'Alternative 3'!$B$28),(($H24*'Alternative 3'!$B$39)+(2*(($N$42/3)*COS($K$43)))),IF(($A24&lt;'Alternative 3'!$B$29),(($H$3*'Alternative 3'!$B$39+(($N$42/3)*COS($K$43)))),($H24*'Alternative 3'!$B$39))))</f>
        <v>259603.18086455797</v>
      </c>
      <c r="AR24" s="78">
        <f>AP24*'Alternative 3'!$K25/'Alternative 3'!$L25</f>
        <v>7796173.6932257423</v>
      </c>
      <c r="AS24" s="78">
        <f>AQ24/'Alternative 3'!$M25</f>
        <v>117329.20780918201</v>
      </c>
      <c r="AT24" s="78">
        <f t="shared" si="6"/>
        <v>7.9135029010349243</v>
      </c>
      <c r="AV24" s="78">
        <f>'Alternative 3'!$B$39*$B24*$C24*COS($K$53)-($N$52/3)*$E24*SIN($K$53)-($N$52/3)*$F24*SIN($K$53)-($N$52/3)*$G24*SIN($K$53)</f>
        <v>289554.45483955642</v>
      </c>
      <c r="AW24" s="79">
        <f>IF(($A24&lt;'Alternative 3'!$B$27),(($H24*'Alternative 3'!$B$39)+(3*($N$52/3)*COS($K$53))),IF(($A24&lt;'Alternative 3'!$B$28),(($H24*'Alternative 3'!$B$39)+(2*(($N$52/3)*COS($K$53)))),IF(($A24&lt;'Alternative 3'!$B$29),(($H$3*'Alternative 3'!$B$39+(($N$52/3)*COS($K$53)))),($H24*'Alternative 3'!$B$39))))</f>
        <v>205550.75798313052</v>
      </c>
      <c r="AX24" s="78">
        <f>AV24*'Alternative 3'!$K25/'Alternative 3'!$L25</f>
        <v>6543299.4951838041</v>
      </c>
      <c r="AY24" s="78">
        <f>AW24/'Alternative 3'!$M25</f>
        <v>92899.892514491759</v>
      </c>
      <c r="AZ24" s="78">
        <f t="shared" si="7"/>
        <v>6.6361993876982952</v>
      </c>
      <c r="BB24" s="78">
        <f>'Alternative 3'!$B$39*$B24*$C24*COS($K$63)-($N$62/3)*$E24*SIN($K$63)-($N$62/3)*$F24*SIN($K$63)-($N$62/3)*$G24*SIN($K$63)</f>
        <v>224069.721536603</v>
      </c>
      <c r="BC24" s="79">
        <f>IF(($A24&lt;'Alternative 3'!$B$27),(($H24*'Alternative 3'!$B$39)+(3*($N$62/3)*COS($K$63))),IF(($A24&lt;'Alternative 3'!$B$28),(($H24*'Alternative 3'!$B$39)+(2*(($N$62/3)*COS($K$63)))),IF(($A24&lt;'Alternative 3'!$B$29),(($H$3*'Alternative 3'!$B$39+(($N$62/3)*COS($K$63)))),($H24*'Alternative 3'!$B$39))))</f>
        <v>169489.11890828883</v>
      </c>
      <c r="BD24" s="78">
        <f>BB24*'Alternative 3'!$K25/'Alternative 3'!$L25</f>
        <v>5063487.2691868404</v>
      </c>
      <c r="BE24" s="78">
        <f>BC24/'Alternative 3'!$M25</f>
        <v>76601.61939294904</v>
      </c>
      <c r="BF24" s="78">
        <f t="shared" si="8"/>
        <v>5.1400888885797897</v>
      </c>
      <c r="BH24" s="78">
        <f>'Alternative 3'!$B$39*$B24*$C24*COS($K$73)-($N$72/3)*$E24*SIN($K$73)-($N$72/3)*$F24*SIN($K$73)-($N$72/3)*$G24*SIN($K$73)</f>
        <v>150937.63344238893</v>
      </c>
      <c r="BI24" s="79">
        <f>IF(($A24&lt;'Alternative 3'!$B$27),(($H24*'Alternative 3'!$B$39)+(3*($N$72/3)*COS($K$73))),IF(($A24&lt;'Alternative 3'!$B$28),(($H24*'Alternative 3'!$B$39)+(2*(($N$72/3)*COS($K$73)))),IF(($A24&lt;'Alternative 3'!$B$29),(($H$3*'Alternative 3'!$B$39+(($N$72/3)*COS($K$73)))),($H24*'Alternative 3'!$B$39))))</f>
        <v>145878.17998160157</v>
      </c>
      <c r="BJ24" s="78">
        <f>BH24*'Alternative 3'!$K25/'Alternative 3'!$L25</f>
        <v>3410861.4949649884</v>
      </c>
      <c r="BK24" s="78">
        <f>BI24/'Alternative 3'!$M25</f>
        <v>65930.514552579189</v>
      </c>
      <c r="BL24" s="78">
        <f t="shared" si="9"/>
        <v>3.4767920095175677</v>
      </c>
      <c r="BN24" s="78">
        <f>'Alternative 3'!$B$39*$B24*$C24*COS($K$83)-($N$82/3)*$E24*SIN($K$83)-($N$82/3)*$F24*SIN($K$83)-($N$82/3)*$G24*SIN($K$83)</f>
        <v>72574.108262475042</v>
      </c>
      <c r="BO24" s="79">
        <f>IF(($A24&lt;'Alternative 3'!$B$27),(($H24*'Alternative 3'!$B$39)+(3*($N$82/3)*COS($K$83))),IF(($A24&lt;'Alternative 3'!$B$28),(($H24*'Alternative 3'!$B$39)+(2*(($N$82/3)*COS($K$83)))),IF(($A24&lt;'Alternative 3'!$B$29),(($H$3*'Alternative 3'!$B$39+(($N$82/3)*COS($K$83)))),($H24*'Alternative 3'!$B$39))))</f>
        <v>132262.5278217204</v>
      </c>
      <c r="BP24" s="78">
        <f>BN24*'Alternative 3'!$K25/'Alternative 3'!$L25</f>
        <v>1640016.6463347897</v>
      </c>
      <c r="BQ24" s="78">
        <f>BO24/'Alternative 3'!$M25</f>
        <v>59776.839253208716</v>
      </c>
      <c r="BR24" s="78">
        <f t="shared" si="10"/>
        <v>1.6997934855879984</v>
      </c>
      <c r="BT24" s="78">
        <f>'Alternative 3'!$B$39*$B24*$C24*COS($K$93)-($K$92/3)*$E24*SIN($K$93)-($K$92/3)*$F24*SIN($K$93)-($K$92/3)*$G24*SIN($K$93)</f>
        <v>-3.624467079916291</v>
      </c>
      <c r="BU24" s="79">
        <f>IF(($A24&lt;'Alternative 3'!$B$27),(($H24*'Alternative 3'!$B$39)+(3*($N$92/3)*COS($K$93))),IF(($A24&lt;'Alternative 3'!$B$28),(($H24*'Alternative 3'!$B$39)+(2*(($N$92/3)*COS($K$93)))),IF(($A24&lt;'Alternative 3'!$B$29),(($H$3*'Alternative 3'!$B$39+(($N$92/3)*COS($K$93)))),($H24*'Alternative 3'!$B$39))))</f>
        <v>127549.96109375481</v>
      </c>
      <c r="BV24" s="78">
        <f>BT24*'Alternative 3'!$K25/'Alternative 3'!$L25</f>
        <v>-81.905055225165583</v>
      </c>
      <c r="BW24" s="78">
        <f>BU24/'Alternative 3'!$M25</f>
        <v>57646.966579465996</v>
      </c>
      <c r="BX24" s="78">
        <f t="shared" si="11"/>
        <v>5.7565061524240832E-2</v>
      </c>
      <c r="BZ24" s="77">
        <v>150</v>
      </c>
      <c r="CA24" s="77">
        <v>-150</v>
      </c>
    </row>
    <row r="25" spans="1:79" ht="15" customHeight="1" x14ac:dyDescent="0.25">
      <c r="A25" s="13">
        <f>IF('Alternative 3'!F26&gt;0,'Alternative 3'!F26,"x")</f>
        <v>23</v>
      </c>
      <c r="B25" s="13">
        <f t="shared" si="17"/>
        <v>14</v>
      </c>
      <c r="C25" s="13">
        <f t="shared" si="12"/>
        <v>7</v>
      </c>
      <c r="D25" s="13">
        <f t="shared" si="13"/>
        <v>23</v>
      </c>
      <c r="E25" s="74">
        <f>IF($A25&lt;='Alternative 3'!$B$27, IF($A25='Alternative 3'!$B$27,0,E26+1),0)</f>
        <v>0</v>
      </c>
      <c r="F25" s="74">
        <f>IF($A25&lt;=('Alternative 3'!$B$28), IF($A25=ROUNDDOWN('Alternative 3'!$B$28,0),0,F26+1),0)</f>
        <v>0</v>
      </c>
      <c r="G25" s="74">
        <f>IF($A25&lt;=('Alternative 3'!$B$29), IF($A25=ROUNDDOWN('Alternative 3'!$B$29,0),0,G26+1),0)</f>
        <v>6</v>
      </c>
      <c r="H25" s="13">
        <f t="shared" si="14"/>
        <v>14</v>
      </c>
      <c r="J25" s="77">
        <f t="shared" si="15"/>
        <v>22</v>
      </c>
      <c r="K25" s="77">
        <f t="shared" si="16"/>
        <v>0.38397243543875248</v>
      </c>
      <c r="L25" s="78">
        <f>'Alternative 3'!$B$27*SIN(K25)+'Alternative 3'!$B$28*SIN(K25)+'Alternative 3'!$B$29*SIN(K25)</f>
        <v>25.473248352282017</v>
      </c>
      <c r="M25" s="77">
        <f>(('Alternative 3'!$B$27)*(((('Alternative 3'!$B$28-'Alternative 3'!$B$27)/2)+'Alternative 3'!$B$27)*'Alternative 3'!$B$39)*COS('Alternative 3-Tilt Up'!K25))+(('Alternative 3'!$B$28)*((('Alternative 3'!$B$28-'Alternative 3'!$B$27)/2)+(('Alternative 3'!$B$29-'Alternative 3'!$B$28)/2))*('Alternative 3'!$B$39)*COS('Alternative 3-Tilt Up'!K25))+(('Alternative 3'!$B$29)*((('Alternative 3'!$B$12-'Alternative 3'!$B$29+(('Alternative 3'!$B$29-'Alternative 3'!$B$28)/2)*('Alternative 3'!$B$39)*COS('Alternative 3-Tilt Up'!K25)))))</f>
        <v>4400533.0559435887</v>
      </c>
      <c r="N25" s="77">
        <f t="shared" si="0"/>
        <v>518253.46281947987</v>
      </c>
      <c r="O25" s="77">
        <f>(((('Alternative 3'!$B$28-'Alternative 3'!$B$27)/2)+'Alternative 3'!$B$27)*('Alternative 3'!$B$39)*COS('Alternative 3-Tilt Up'!K25))+(((('Alternative 3'!$B$28-'Alternative 3'!$B$27)/2)+(('Alternative 3'!$B$29-'Alternative 3'!$B$28)/2))*('Alternative 3'!$B$39)*COS('Alternative 3-Tilt Up'!K25))+(((('Alternative 3'!$B$12-'Alternative 3'!$B$29)+(('Alternative 3'!$B$29-'Alternative 3'!$B$28)/2))*('Alternative 3'!$B$39)*COS('Alternative 3-Tilt Up'!K25)))</f>
        <v>283829.43498420325</v>
      </c>
      <c r="P25" s="77">
        <f t="shared" si="1"/>
        <v>480516.24329955061</v>
      </c>
      <c r="R25" s="78">
        <f>'Alternative 3'!$B$39*$B25*$C25*COS($K$5)-($N$5/3)*$E25*SIN($K$5)-($N$5/3)*$F25*SIN($K$5)-($N$5/3)*$G25*SIN($K$5)</f>
        <v>414299.24263101909</v>
      </c>
      <c r="S25" s="79">
        <f>IF(($A25&lt;'Alternative 3'!$B$27),(($H25*'Alternative 3'!$B$39)+(3*($N$5/3)*COS($K$5))),IF(($A25&lt;'Alternative 3'!$B$28),(($H25*'Alternative 3'!$B$39)+(2*(($N$5/3)*COS($K$5)))),IF(($A25&lt;'Alternative 3'!$B$29),(($H$3*'Alternative 3'!$B$39+(($N$5/3)*COS($K$5)))),($H25*'Alternative 3'!$B$39))))</f>
        <v>2303591.7836996038</v>
      </c>
      <c r="T25" s="78">
        <f>R25*'Alternative 3'!$K26/'Alternative 3'!$L26</f>
        <v>9588144.7625530791</v>
      </c>
      <c r="U25" s="78">
        <f>S25/'Alternative 3'!$M26</f>
        <v>1066241.4086968531</v>
      </c>
      <c r="V25" s="78">
        <f t="shared" si="2"/>
        <v>10.654386171249932</v>
      </c>
      <c r="X25" s="78">
        <f>'Alternative 3'!$B$39*$B25*$C25*COS($K$13)-($N$12/3)*$E25*SIN($K$13)-($N$12/3)*$F25*SIN($K$13)-($N$12/3)*$G25*SIN($K$13)</f>
        <v>361533.53461197967</v>
      </c>
      <c r="Y25" s="79">
        <f>IF(($A25&lt;'Alternative 3'!$B$27),(($H25*'Alternative 3'!$B$39)+(3*($N$12/3)*COS($K$13))),IF(($A25&lt;'Alternative 3'!$B$28),(($H25*'Alternative 3'!$B$39)+(2*(($N$12/3)*COS($K$13)))),IF(($A25&lt;'Alternative 3'!$B$29),(($H$3*'Alternative 3'!$B$39+(($N$12/3)*COS($K$13)))),($H25*'Alternative 3'!$B$39))))</f>
        <v>740098.46863391146</v>
      </c>
      <c r="Z25" s="78">
        <f>X25*'Alternative 3'!$K26/'Alternative 3'!$L26</f>
        <v>8366985.7670109561</v>
      </c>
      <c r="AA25" s="78">
        <f>Y25/'Alternative 3'!$M26</f>
        <v>342562.27138614847</v>
      </c>
      <c r="AB25" s="78">
        <f t="shared" si="3"/>
        <v>8.7095480383971058</v>
      </c>
      <c r="AD25" s="78">
        <f>'Alternative 3'!$B$39*$B25*$C25*COS($K$23)-($N$22/3)*$E25*SIN($K$23)-($N$22/3)*$F25*SIN($K$23)-($N$22/3)*$G25*SIN($K$23)</f>
        <v>367101.43460592447</v>
      </c>
      <c r="AE25" s="79">
        <f>IF(($A25&lt;'Alternative 3'!$B$27),(($H25*'Alternative 3'!$B$39)+(3*($N$22/3)*COS($K$23))),IF(($A25&lt;'Alternative 3'!$B$28),(($H25*'Alternative 3'!$B$39)+(2*(($N$22/3)*COS($K$23)))),IF(($A25&lt;'Alternative 3'!$B$29),(($H$3*'Alternative 3'!$B$39+(($N$22/3)*COS($K$23)))),($H25*'Alternative 3'!$B$39))))</f>
        <v>496597.59167774895</v>
      </c>
      <c r="AF25" s="78">
        <f>AD25*'Alternative 3'!$K26/'Alternative 3'!$L26</f>
        <v>8495843.9102852046</v>
      </c>
      <c r="AG25" s="78">
        <f>AE25/'Alternative 3'!$M26</f>
        <v>229855.35868493764</v>
      </c>
      <c r="AH25" s="78">
        <f t="shared" si="4"/>
        <v>8.7256992689701427</v>
      </c>
      <c r="AJ25" s="78">
        <f>'Alternative 3'!$B$39*$B25*$C25*COS($K$33)-($N$32/3)*$E25*SIN($K$33)-($N$32/3)*$F25*SIN($K$33)-($N$32/3)*$G25*SIN($K$33)</f>
        <v>343934.89915332315</v>
      </c>
      <c r="AK25" s="79">
        <f>IF(($A25&lt;'Alternative 3'!$B$27),(($H25*'Alternative 3'!$B$39)+(3*($N$32/3)*COS($K$33))),IF(($A25&lt;'Alternative 3'!$B$28),(($H25*'Alternative 3'!$B$39)+(2*(($N$32/3)*COS($K$33)))),IF(($A25&lt;'Alternative 3'!$B$29),(($H$3*'Alternative 3'!$B$39+(($N$32/3)*COS($K$33)))),($H25*'Alternative 3'!$B$39))))</f>
        <v>415166.05643987219</v>
      </c>
      <c r="AL25" s="78">
        <f>AJ25*'Alternative 3'!$K26/'Alternative 3'!$L26</f>
        <v>7959699.8078829078</v>
      </c>
      <c r="AM25" s="78">
        <f>AK25/'Alternative 3'!$M26</f>
        <v>192163.92591513594</v>
      </c>
      <c r="AN25" s="78">
        <f t="shared" si="5"/>
        <v>8.1518637337980433</v>
      </c>
      <c r="AP25" s="78">
        <f>'Alternative 3'!$B$39*$B25*$C25*COS($K$43)-($N$42/3)*$E25*SIN($K$43)-($N$42/3)*$F25*SIN($K$43)-($N$42/3)*$G25*SIN($K$43)</f>
        <v>305947.64356760343</v>
      </c>
      <c r="AQ25" s="79">
        <f>IF(($A25&lt;'Alternative 3'!$B$27),(($H25*'Alternative 3'!$B$39)+(3*($N$42/3)*COS($K$43))),IF(($A25&lt;'Alternative 3'!$B$28),(($H25*'Alternative 3'!$B$39)+(2*(($N$42/3)*COS($K$43)))),IF(($A25&lt;'Alternative 3'!$B$29),(($H$3*'Alternative 3'!$B$39+(($N$42/3)*COS($K$43)))),($H25*'Alternative 3'!$B$39))))</f>
        <v>372146.51651041314</v>
      </c>
      <c r="AR25" s="78">
        <f>AP25*'Alternative 3'!$K26/'Alternative 3'!$L26</f>
        <v>7080559.1573353764</v>
      </c>
      <c r="AS25" s="78">
        <f>AQ25/'Alternative 3'!$M26</f>
        <v>172251.88456282209</v>
      </c>
      <c r="AT25" s="78">
        <f t="shared" si="6"/>
        <v>7.2528110418981981</v>
      </c>
      <c r="AV25" s="78">
        <f>'Alternative 3'!$B$39*$B25*$C25*COS($K$53)-($N$52/3)*$E25*SIN($K$53)-($N$52/3)*$F25*SIN($K$53)-($N$52/3)*$G25*SIN($K$53)</f>
        <v>256778.70301178866</v>
      </c>
      <c r="AW25" s="79">
        <f>IF(($A25&lt;'Alternative 3'!$B$27),(($H25*'Alternative 3'!$B$39)+(3*($N$52/3)*COS($K$53))),IF(($A25&lt;'Alternative 3'!$B$28),(($H25*'Alternative 3'!$B$39)+(2*(($N$52/3)*COS($K$53)))),IF(($A25&lt;'Alternative 3'!$B$29),(($H$3*'Alternative 3'!$B$39+(($N$52/3)*COS($K$53)))),($H25*'Alternative 3'!$B$39))))</f>
        <v>345120.30506969942</v>
      </c>
      <c r="AX25" s="78">
        <f>AV25*'Alternative 3'!$K26/'Alternative 3'!$L26</f>
        <v>5942640.3021701267</v>
      </c>
      <c r="AY25" s="78">
        <f>AW25/'Alternative 3'!$M26</f>
        <v>159742.52159226753</v>
      </c>
      <c r="AZ25" s="78">
        <f t="shared" si="7"/>
        <v>6.1023828237623947</v>
      </c>
      <c r="BB25" s="78">
        <f>'Alternative 3'!$B$39*$B25*$C25*COS($K$63)-($N$62/3)*$E25*SIN($K$63)-($N$62/3)*$F25*SIN($K$63)-($N$62/3)*$G25*SIN($K$63)</f>
        <v>198740.94975533264</v>
      </c>
      <c r="BC25" s="79">
        <f>IF(($A25&lt;'Alternative 3'!$B$27),(($H25*'Alternative 3'!$B$39)+(3*($N$62/3)*COS($K$63))),IF(($A25&lt;'Alternative 3'!$B$28),(($H25*'Alternative 3'!$B$39)+(2*(($N$62/3)*COS($K$63)))),IF(($A25&lt;'Alternative 3'!$B$29),(($H$3*'Alternative 3'!$B$39+(($N$62/3)*COS($K$63)))),($H25*'Alternative 3'!$B$39))))</f>
        <v>327089.4855322786</v>
      </c>
      <c r="BD25" s="78">
        <f>BB25*'Alternative 3'!$K26/'Alternative 3'!$L26</f>
        <v>4599470.1424026834</v>
      </c>
      <c r="BE25" s="78">
        <f>BC25/'Alternative 3'!$M26</f>
        <v>151396.76929380154</v>
      </c>
      <c r="BF25" s="78">
        <f t="shared" si="8"/>
        <v>4.7508669116964857</v>
      </c>
      <c r="BH25" s="78">
        <f>'Alternative 3'!$B$39*$B25*$C25*COS($K$73)-($N$72/3)*$E25*SIN($K$73)-($N$72/3)*$F25*SIN($K$73)-($N$72/3)*$G25*SIN($K$73)</f>
        <v>133945.31643365874</v>
      </c>
      <c r="BI25" s="79">
        <f>IF(($A25&lt;'Alternative 3'!$B$27),(($H25*'Alternative 3'!$B$39)+(3*($N$72/3)*COS($K$73))),IF(($A25&lt;'Alternative 3'!$B$28),(($H25*'Alternative 3'!$B$39)+(2*(($N$72/3)*COS($K$73)))),IF(($A25&lt;'Alternative 3'!$B$29),(($H$3*'Alternative 3'!$B$39+(($N$72/3)*COS($K$73)))),($H25*'Alternative 3'!$B$39))))</f>
        <v>315284.01606893499</v>
      </c>
      <c r="BJ25" s="78">
        <f>BH25*'Alternative 3'!$K26/'Alternative 3'!$L26</f>
        <v>3099902.0806217226</v>
      </c>
      <c r="BK25" s="78">
        <f>BI25/'Alternative 3'!$M26</f>
        <v>145932.4850052426</v>
      </c>
      <c r="BL25" s="78">
        <f t="shared" si="9"/>
        <v>3.2458345656269652</v>
      </c>
      <c r="BN25" s="78">
        <f>'Alternative 3'!$B$39*$B25*$C25*COS($K$83)-($N$82/3)*$E25*SIN($K$83)-($N$82/3)*$F25*SIN($K$83)-($N$82/3)*$G25*SIN($K$83)</f>
        <v>64526.730904593875</v>
      </c>
      <c r="BO25" s="79">
        <f>IF(($A25&lt;'Alternative 3'!$B$27),(($H25*'Alternative 3'!$B$39)+(3*($N$82/3)*COS($K$83))),IF(($A25&lt;'Alternative 3'!$B$28),(($H25*'Alternative 3'!$B$39)+(2*(($N$82/3)*COS($K$83)))),IF(($A25&lt;'Alternative 3'!$B$29),(($H$3*'Alternative 3'!$B$39+(($N$82/3)*COS($K$83)))),($H25*'Alternative 3'!$B$39))))</f>
        <v>308476.18998899439</v>
      </c>
      <c r="BP25" s="78">
        <f>BN25*'Alternative 3'!$K26/'Alternative 3'!$L26</f>
        <v>1493344.8418552128</v>
      </c>
      <c r="BQ25" s="78">
        <f>BO25/'Alternative 3'!$M26</f>
        <v>142781.41191972338</v>
      </c>
      <c r="BR25" s="78">
        <f t="shared" si="10"/>
        <v>1.6361262537749364</v>
      </c>
      <c r="BT25" s="78">
        <f>'Alternative 3'!$B$39*$B25*$C25*COS($K$93)-($K$92/3)*$E25*SIN($K$93)-($K$92/3)*$F25*SIN($K$93)-($K$92/3)*$G25*SIN($K$93)</f>
        <v>-3.1066860684988593</v>
      </c>
      <c r="BU25" s="79">
        <f>IF(($A25&lt;'Alternative 3'!$B$27),(($H25*'Alternative 3'!$B$39)+(3*($N$92/3)*COS($K$93))),IF(($A25&lt;'Alternative 3'!$B$28),(($H25*'Alternative 3'!$B$39)+(2*(($N$92/3)*COS($K$93)))),IF(($A25&lt;'Alternative 3'!$B$29),(($H$3*'Alternative 3'!$B$39+(($N$92/3)*COS($K$93)))),($H25*'Alternative 3'!$B$39))))</f>
        <v>306119.90662501159</v>
      </c>
      <c r="BV25" s="78">
        <f>BT25*'Alternative 3'!$K26/'Alternative 3'!$L26</f>
        <v>-71.898166087411852</v>
      </c>
      <c r="BW25" s="78">
        <f>BU25/'Alternative 3'!$M26</f>
        <v>141690.78166523139</v>
      </c>
      <c r="BX25" s="78">
        <f t="shared" si="11"/>
        <v>0.141618883499144</v>
      </c>
      <c r="BZ25" s="77">
        <v>150</v>
      </c>
      <c r="CA25" s="77">
        <v>-150</v>
      </c>
    </row>
    <row r="26" spans="1:79" ht="15" customHeight="1" x14ac:dyDescent="0.25">
      <c r="A26" s="13">
        <f>IF('Alternative 3'!F27&gt;0,'Alternative 3'!F27,"x")</f>
        <v>24</v>
      </c>
      <c r="B26" s="13">
        <f t="shared" si="17"/>
        <v>13</v>
      </c>
      <c r="C26" s="13">
        <f t="shared" si="12"/>
        <v>6.5</v>
      </c>
      <c r="D26" s="13">
        <f t="shared" si="13"/>
        <v>24</v>
      </c>
      <c r="E26" s="74">
        <f>IF($A26&lt;='Alternative 3'!$B$27, IF($A26='Alternative 3'!$B$27,0,E27+1),0)</f>
        <v>0</v>
      </c>
      <c r="F26" s="74">
        <f>IF($A26&lt;=('Alternative 3'!$B$28), IF($A26=ROUNDDOWN('Alternative 3'!$B$28,0),0,F27+1),0)</f>
        <v>0</v>
      </c>
      <c r="G26" s="74">
        <f>IF($A26&lt;=('Alternative 3'!$B$29), IF($A26=ROUNDDOWN('Alternative 3'!$B$29,0),0,G27+1),0)</f>
        <v>5</v>
      </c>
      <c r="H26" s="13">
        <f t="shared" si="14"/>
        <v>13</v>
      </c>
      <c r="J26" s="77">
        <f t="shared" si="15"/>
        <v>23</v>
      </c>
      <c r="K26" s="77">
        <f t="shared" si="16"/>
        <v>0.40142572795869574</v>
      </c>
      <c r="L26" s="78">
        <f>'Alternative 3'!$B$27*SIN(K26)+'Alternative 3'!$B$28*SIN(K26)+'Alternative 3'!$B$29*SIN(K26)</f>
        <v>26.56971673727061</v>
      </c>
      <c r="M26" s="77">
        <f>(('Alternative 3'!$B$27)*(((('Alternative 3'!$B$28-'Alternative 3'!$B$27)/2)+'Alternative 3'!$B$27)*'Alternative 3'!$B$39)*COS('Alternative 3-Tilt Up'!K26))+(('Alternative 3'!$B$28)*((('Alternative 3'!$B$28-'Alternative 3'!$B$27)/2)+(('Alternative 3'!$B$29-'Alternative 3'!$B$28)/2))*('Alternative 3'!$B$39)*COS('Alternative 3-Tilt Up'!K26))+(('Alternative 3'!$B$29)*((('Alternative 3'!$B$12-'Alternative 3'!$B$29+(('Alternative 3'!$B$29-'Alternative 3'!$B$28)/2)*('Alternative 3'!$B$39)*COS('Alternative 3-Tilt Up'!K26)))))</f>
        <v>4368835.0723998984</v>
      </c>
      <c r="N26" s="77">
        <f t="shared" si="0"/>
        <v>493287.3521686655</v>
      </c>
      <c r="O26" s="77">
        <f>(((('Alternative 3'!$B$28-'Alternative 3'!$B$27)/2)+'Alternative 3'!$B$27)*('Alternative 3'!$B$39)*COS('Alternative 3-Tilt Up'!K26))+(((('Alternative 3'!$B$28-'Alternative 3'!$B$27)/2)+(('Alternative 3'!$B$29-'Alternative 3'!$B$28)/2))*('Alternative 3'!$B$39)*COS('Alternative 3-Tilt Up'!K26))+(((('Alternative 3'!$B$12-'Alternative 3'!$B$29)+(('Alternative 3'!$B$29-'Alternative 3'!$B$28)/2))*('Alternative 3'!$B$39)*COS('Alternative 3-Tilt Up'!K26)))</f>
        <v>281784.85978673096</v>
      </c>
      <c r="P26" s="77">
        <f t="shared" si="1"/>
        <v>454073.40181795979</v>
      </c>
      <c r="R26" s="78">
        <f>'Alternative 3'!$B$39*$B26*$C26*COS($K$5)-($N$5/3)*$E26*SIN($K$5)-($N$5/3)*$F26*SIN($K$5)-($N$5/3)*$G26*SIN($K$5)</f>
        <v>369327.4626232225</v>
      </c>
      <c r="S26" s="79">
        <f>IF(($A26&lt;'Alternative 3'!$B$27),(($H26*'Alternative 3'!$B$39)+(3*($N$5/3)*COS($K$5))),IF(($A26&lt;'Alternative 3'!$B$28),(($H26*'Alternative 3'!$B$39)+(2*(($N$5/3)*COS($K$5)))),IF(($A26&lt;'Alternative 3'!$B$29),(($H$3*'Alternative 3'!$B$39+(($N$5/3)*COS($K$5)))),($H26*'Alternative 3'!$B$39))))</f>
        <v>2303591.7836996038</v>
      </c>
      <c r="T26" s="78">
        <f>R26*'Alternative 3'!$K27/'Alternative 3'!$L27</f>
        <v>8756102.8287653644</v>
      </c>
      <c r="U26" s="78">
        <f>S26/'Alternative 3'!$M27</f>
        <v>1092280.9329647063</v>
      </c>
      <c r="V26" s="78">
        <f t="shared" si="2"/>
        <v>9.8483837617300711</v>
      </c>
      <c r="X26" s="78">
        <f>'Alternative 3'!$B$39*$B26*$C26*COS($K$13)-($N$12/3)*$E26*SIN($K$13)-($N$12/3)*$F26*SIN($K$13)-($N$12/3)*$G26*SIN($K$13)</f>
        <v>325004.69261982857</v>
      </c>
      <c r="Y26" s="79">
        <f>IF(($A26&lt;'Alternative 3'!$B$27),(($H26*'Alternative 3'!$B$39)+(3*($N$12/3)*COS($K$13))),IF(($A26&lt;'Alternative 3'!$B$28),(($H26*'Alternative 3'!$B$39)+(2*(($N$12/3)*COS($K$13)))),IF(($A26&lt;'Alternative 3'!$B$29),(($H$3*'Alternative 3'!$B$39+(($N$12/3)*COS($K$13)))),($H26*'Alternative 3'!$B$39))))</f>
        <v>740098.46863391146</v>
      </c>
      <c r="Z26" s="78">
        <f>X26*'Alternative 3'!$K27/'Alternative 3'!$L27</f>
        <v>7705288.1153159132</v>
      </c>
      <c r="AA26" s="78">
        <f>Y26/'Alternative 3'!$M27</f>
        <v>350928.2553990116</v>
      </c>
      <c r="AB26" s="78">
        <f t="shared" si="3"/>
        <v>8.0562163707149246</v>
      </c>
      <c r="AD26" s="78">
        <f>'Alternative 3'!$B$39*$B26*$C26*COS($K$23)-($N$22/3)*$E26*SIN($K$23)-($N$22/3)*$F26*SIN($K$23)-($N$22/3)*$G26*SIN($K$23)</f>
        <v>328557.66075785505</v>
      </c>
      <c r="AE26" s="79">
        <f>IF(($A26&lt;'Alternative 3'!$B$27),(($H26*'Alternative 3'!$B$39)+(3*($N$22/3)*COS($K$23))),IF(($A26&lt;'Alternative 3'!$B$28),(($H26*'Alternative 3'!$B$39)+(2*(($N$22/3)*COS($K$23)))),IF(($A26&lt;'Alternative 3'!$B$29),(($H$3*'Alternative 3'!$B$39+(($N$22/3)*COS($K$23)))),($H26*'Alternative 3'!$B$39))))</f>
        <v>496597.59167774895</v>
      </c>
      <c r="AF26" s="78">
        <f>AD26*'Alternative 3'!$K27/'Alternative 3'!$L27</f>
        <v>7789522.7241991004</v>
      </c>
      <c r="AG26" s="78">
        <f>AE26/'Alternative 3'!$M27</f>
        <v>235468.83809190206</v>
      </c>
      <c r="AH26" s="78">
        <f t="shared" si="4"/>
        <v>8.0249915622910031</v>
      </c>
      <c r="AJ26" s="78">
        <f>'Alternative 3'!$B$39*$B26*$C26*COS($K$33)-($N$32/3)*$E26*SIN($K$33)-($N$32/3)*$F26*SIN($K$33)-($N$32/3)*$G26*SIN($K$33)</f>
        <v>307477.3672000076</v>
      </c>
      <c r="AK26" s="79">
        <f>IF(($A26&lt;'Alternative 3'!$B$27),(($H26*'Alternative 3'!$B$39)+(3*($N$32/3)*COS($K$33))),IF(($A26&lt;'Alternative 3'!$B$28),(($H26*'Alternative 3'!$B$39)+(2*(($N$32/3)*COS($K$33)))),IF(($A26&lt;'Alternative 3'!$B$29),(($H$3*'Alternative 3'!$B$39+(($N$32/3)*COS($K$33)))),($H26*'Alternative 3'!$B$39))))</f>
        <v>415166.05643987219</v>
      </c>
      <c r="AL26" s="78">
        <f>AJ26*'Alternative 3'!$K27/'Alternative 3'!$L27</f>
        <v>7289746.1391002098</v>
      </c>
      <c r="AM26" s="78">
        <f>AK26/'Alternative 3'!$M27</f>
        <v>196856.91304868649</v>
      </c>
      <c r="AN26" s="78">
        <f t="shared" si="5"/>
        <v>7.4866030521488964</v>
      </c>
      <c r="AP26" s="78">
        <f>'Alternative 3'!$B$39*$B26*$C26*COS($K$43)-($N$42/3)*$E26*SIN($K$43)-($N$42/3)*$F26*SIN($K$43)-($N$42/3)*$G26*SIN($K$43)</f>
        <v>273412.50254600856</v>
      </c>
      <c r="AQ26" s="79">
        <f>IF(($A26&lt;'Alternative 3'!$B$27),(($H26*'Alternative 3'!$B$39)+(3*($N$42/3)*COS($K$43))),IF(($A26&lt;'Alternative 3'!$B$28),(($H26*'Alternative 3'!$B$39)+(2*(($N$42/3)*COS($K$43)))),IF(($A26&lt;'Alternative 3'!$B$29),(($H$3*'Alternative 3'!$B$39+(($N$42/3)*COS($K$43)))),($H26*'Alternative 3'!$B$39))))</f>
        <v>372146.51651041314</v>
      </c>
      <c r="AR26" s="78">
        <f>AP26*'Alternative 3'!$K27/'Alternative 3'!$L27</f>
        <v>6482128.2716396395</v>
      </c>
      <c r="AS26" s="78">
        <f>AQ26/'Alternative 3'!$M27</f>
        <v>176458.58399474437</v>
      </c>
      <c r="AT26" s="78">
        <f t="shared" si="6"/>
        <v>6.6585868556343835</v>
      </c>
      <c r="AV26" s="78">
        <f>'Alternative 3'!$B$39*$B26*$C26*COS($K$53)-($N$52/3)*$E26*SIN($K$53)-($N$52/3)*$F26*SIN($K$53)-($N$52/3)*$G26*SIN($K$53)</f>
        <v>229468.78682449184</v>
      </c>
      <c r="AW26" s="79">
        <f>IF(($A26&lt;'Alternative 3'!$B$27),(($H26*'Alternative 3'!$B$39)+(3*($N$52/3)*COS($K$53))),IF(($A26&lt;'Alternative 3'!$B$28),(($H26*'Alternative 3'!$B$39)+(2*(($N$52/3)*COS($K$53)))),IF(($A26&lt;'Alternative 3'!$B$29),(($H$3*'Alternative 3'!$B$39+(($N$52/3)*COS($K$53)))),($H26*'Alternative 3'!$B$39))))</f>
        <v>345120.30506969942</v>
      </c>
      <c r="AX26" s="78">
        <f>AV26*'Alternative 3'!$K27/'Alternative 3'!$L27</f>
        <v>5440300.2667501932</v>
      </c>
      <c r="AY26" s="78">
        <f>AW26/'Alternative 3'!$M27</f>
        <v>163643.71998287752</v>
      </c>
      <c r="AZ26" s="78">
        <f t="shared" si="7"/>
        <v>5.6039439867330705</v>
      </c>
      <c r="BB26" s="78">
        <f>'Alternative 3'!$B$39*$B26*$C26*COS($K$63)-($N$62/3)*$E26*SIN($K$63)-($N$62/3)*$F26*SIN($K$63)-($N$62/3)*$G26*SIN($K$63)</f>
        <v>177663.84334385398</v>
      </c>
      <c r="BC26" s="79">
        <f>IF(($A26&lt;'Alternative 3'!$B$27),(($H26*'Alternative 3'!$B$39)+(3*($N$62/3)*COS($K$63))),IF(($A26&lt;'Alternative 3'!$B$28),(($H26*'Alternative 3'!$B$39)+(2*(($N$62/3)*COS($K$63)))),IF(($A26&lt;'Alternative 3'!$B$29),(($H$3*'Alternative 3'!$B$39+(($N$62/3)*COS($K$63)))),($H26*'Alternative 3'!$B$39))))</f>
        <v>327089.4855322786</v>
      </c>
      <c r="BD26" s="78">
        <f>BB26*'Alternative 3'!$K27/'Alternative 3'!$L27</f>
        <v>4212096.4149895059</v>
      </c>
      <c r="BE26" s="78">
        <f>BC26/'Alternative 3'!$M27</f>
        <v>155094.14947050912</v>
      </c>
      <c r="BF26" s="78">
        <f t="shared" si="8"/>
        <v>4.3671905644600146</v>
      </c>
      <c r="BH26" s="78">
        <f>'Alternative 3'!$B$39*$B26*$C26*COS($K$73)-($N$72/3)*$E26*SIN($K$73)-($N$72/3)*$F26*SIN($K$73)-($N$72/3)*$G26*SIN($K$73)</f>
        <v>119861.30982322655</v>
      </c>
      <c r="BI26" s="79">
        <f>IF(($A26&lt;'Alternative 3'!$B$27),(($H26*'Alternative 3'!$B$39)+(3*($N$72/3)*COS($K$73))),IF(($A26&lt;'Alternative 3'!$B$28),(($H26*'Alternative 3'!$B$39)+(2*(($N$72/3)*COS($K$73)))),IF(($A26&lt;'Alternative 3'!$B$29),(($H$3*'Alternative 3'!$B$39+(($N$72/3)*COS($K$73)))),($H26*'Alternative 3'!$B$39))))</f>
        <v>315284.01606893499</v>
      </c>
      <c r="BJ26" s="78">
        <f>BH26*'Alternative 3'!$K27/'Alternative 3'!$L27</f>
        <v>2841700.2801477681</v>
      </c>
      <c r="BK26" s="78">
        <f>BI26/'Alternative 3'!$M27</f>
        <v>149496.4175760161</v>
      </c>
      <c r="BL26" s="78">
        <f t="shared" si="9"/>
        <v>2.991196697723784</v>
      </c>
      <c r="BN26" s="78">
        <f>'Alternative 3'!$B$39*$B26*$C26*COS($K$83)-($N$82/3)*$E26*SIN($K$83)-($N$82/3)*$F26*SIN($K$83)-($N$82/3)*$G26*SIN($K$83)</f>
        <v>57955.941433740591</v>
      </c>
      <c r="BO26" s="79">
        <f>IF(($A26&lt;'Alternative 3'!$B$27),(($H26*'Alternative 3'!$B$39)+(3*($N$82/3)*COS($K$83))),IF(($A26&lt;'Alternative 3'!$B$28),(($H26*'Alternative 3'!$B$39)+(2*(($N$82/3)*COS($K$83)))),IF(($A26&lt;'Alternative 3'!$B$29),(($H$3*'Alternative 3'!$B$39+(($N$82/3)*COS($K$83)))),($H26*'Alternative 3'!$B$39))))</f>
        <v>308476.18998899439</v>
      </c>
      <c r="BP26" s="78">
        <f>BN26*'Alternative 3'!$K27/'Alternative 3'!$L27</f>
        <v>1374033.1659263598</v>
      </c>
      <c r="BQ26" s="78">
        <f>BO26/'Alternative 3'!$M27</f>
        <v>146268.38964386375</v>
      </c>
      <c r="BR26" s="78">
        <f t="shared" si="10"/>
        <v>1.5203015555702235</v>
      </c>
      <c r="BT26" s="78">
        <f>'Alternative 3'!$B$39*$B26*$C26*COS($K$93)-($K$92/3)*$E26*SIN($K$93)-($K$92/3)*$F26*SIN($K$93)-($K$92/3)*$G26*SIN($K$93)</f>
        <v>-2.5889050570809067</v>
      </c>
      <c r="BU26" s="79">
        <f>IF(($A26&lt;'Alternative 3'!$B$27),(($H26*'Alternative 3'!$B$39)+(3*($N$92/3)*COS($K$93))),IF(($A26&lt;'Alternative 3'!$B$28),(($H26*'Alternative 3'!$B$39)+(2*(($N$92/3)*COS($K$93)))),IF(($A26&lt;'Alternative 3'!$B$29),(($H$3*'Alternative 3'!$B$39+(($N$92/3)*COS($K$93)))),($H26*'Alternative 3'!$B$39))))</f>
        <v>306119.90662501159</v>
      </c>
      <c r="BV26" s="78">
        <f>BT26*'Alternative 3'!$K27/'Alternative 3'!$L27</f>
        <v>-61.378373361953521</v>
      </c>
      <c r="BW26" s="78">
        <f>BU26/'Alternative 3'!$M27</f>
        <v>145151.12424582223</v>
      </c>
      <c r="BX26" s="78">
        <f t="shared" si="11"/>
        <v>0.14508974587246026</v>
      </c>
      <c r="BZ26" s="77">
        <v>150</v>
      </c>
      <c r="CA26" s="77">
        <v>-150</v>
      </c>
    </row>
    <row r="27" spans="1:79" ht="15" customHeight="1" x14ac:dyDescent="0.25">
      <c r="A27" s="13">
        <f>IF('Alternative 3'!F28&gt;0,'Alternative 3'!F28,"x")</f>
        <v>25</v>
      </c>
      <c r="B27" s="13">
        <f t="shared" si="17"/>
        <v>12</v>
      </c>
      <c r="C27" s="13">
        <f t="shared" si="12"/>
        <v>6</v>
      </c>
      <c r="D27" s="13">
        <f t="shared" si="13"/>
        <v>25</v>
      </c>
      <c r="E27" s="74">
        <f>IF($A27&lt;='Alternative 3'!$B$27, IF($A27='Alternative 3'!$B$27,0,E28+1),0)</f>
        <v>0</v>
      </c>
      <c r="F27" s="74">
        <f>IF($A27&lt;=('Alternative 3'!$B$28), IF($A27=ROUNDDOWN('Alternative 3'!$B$28,0),0,F28+1),0)</f>
        <v>0</v>
      </c>
      <c r="G27" s="74">
        <f>IF($A27&lt;=('Alternative 3'!$B$29), IF($A27=ROUNDDOWN('Alternative 3'!$B$29,0),0,G28+1),0)</f>
        <v>4</v>
      </c>
      <c r="H27" s="13">
        <f t="shared" si="14"/>
        <v>12</v>
      </c>
      <c r="J27" s="77">
        <f t="shared" si="15"/>
        <v>24</v>
      </c>
      <c r="K27" s="77">
        <f t="shared" si="16"/>
        <v>0.41887902047863906</v>
      </c>
      <c r="L27" s="78">
        <f>'Alternative 3'!$B$27*SIN(K27)+'Alternative 3'!$B$28*SIN(K27)+'Alternative 3'!$B$29*SIN(K27)</f>
        <v>27.65809172915441</v>
      </c>
      <c r="M27" s="77">
        <f>(('Alternative 3'!$B$27)*(((('Alternative 3'!$B$28-'Alternative 3'!$B$27)/2)+'Alternative 3'!$B$27)*'Alternative 3'!$B$39)*COS('Alternative 3-Tilt Up'!K27))+(('Alternative 3'!$B$28)*((('Alternative 3'!$B$28-'Alternative 3'!$B$27)/2)+(('Alternative 3'!$B$29-'Alternative 3'!$B$28)/2))*('Alternative 3'!$B$39)*COS('Alternative 3-Tilt Up'!K27))+(('Alternative 3'!$B$29)*((('Alternative 3'!$B$12-'Alternative 3'!$B$29+(('Alternative 3'!$B$29-'Alternative 3'!$B$28)/2)*('Alternative 3'!$B$39)*COS('Alternative 3-Tilt Up'!K27)))))</f>
        <v>4335806.3589624269</v>
      </c>
      <c r="N27" s="77">
        <f t="shared" si="0"/>
        <v>470293.43905082764</v>
      </c>
      <c r="O27" s="77">
        <f>(((('Alternative 3'!$B$28-'Alternative 3'!$B$27)/2)+'Alternative 3'!$B$27)*('Alternative 3'!$B$39)*COS('Alternative 3-Tilt Up'!K27))+(((('Alternative 3'!$B$28-'Alternative 3'!$B$27)/2)+(('Alternative 3'!$B$29-'Alternative 3'!$B$28)/2))*('Alternative 3'!$B$39)*COS('Alternative 3-Tilt Up'!K27))+(((('Alternative 3'!$B$12-'Alternative 3'!$B$29)+(('Alternative 3'!$B$29-'Alternative 3'!$B$28)/2))*('Alternative 3'!$B$39)*COS('Alternative 3-Tilt Up'!K27)))</f>
        <v>279654.45019125642</v>
      </c>
      <c r="P27" s="77">
        <f t="shared" si="1"/>
        <v>429634.43500400096</v>
      </c>
      <c r="R27" s="78">
        <f>'Alternative 3'!$B$39*$B27*$C27*COS($K$5)-($N$5/3)*$E27*SIN($K$5)-($N$5/3)*$F27*SIN($K$5)-($N$5/3)*$G27*SIN($K$5)</f>
        <v>332853.83335567551</v>
      </c>
      <c r="S27" s="79">
        <f>IF(($A27&lt;'Alternative 3'!$B$27),(($H27*'Alternative 3'!$B$39)+(3*($N$5/3)*COS($K$5))),IF(($A27&lt;'Alternative 3'!$B$28),(($H27*'Alternative 3'!$B$39)+(2*(($N$5/3)*COS($K$5)))),IF(($A27&lt;'Alternative 3'!$B$29),(($H$3*'Alternative 3'!$B$39+(($N$5/3)*COS($K$5)))),($H27*'Alternative 3'!$B$39))))</f>
        <v>2303591.7836996038</v>
      </c>
      <c r="T27" s="78">
        <f>R27*'Alternative 3'!$K28/'Alternative 3'!$L28</f>
        <v>8086481.2707050098</v>
      </c>
      <c r="U27" s="78">
        <f>S27/'Alternative 3'!$M28</f>
        <v>1119286.1345808781</v>
      </c>
      <c r="V27" s="78">
        <f t="shared" si="2"/>
        <v>9.2057674052858882</v>
      </c>
      <c r="X27" s="78">
        <f>'Alternative 3'!$B$39*$B27*$C27*COS($K$13)-($N$12/3)*$E27*SIN($K$13)-($N$12/3)*$F27*SIN($K$13)-($N$12/3)*$G27*SIN($K$13)</f>
        <v>296849.99666644656</v>
      </c>
      <c r="Y27" s="79">
        <f>IF(($A27&lt;'Alternative 3'!$B$27),(($H27*'Alternative 3'!$B$39)+(3*($N$12/3)*COS($K$13))),IF(($A27&lt;'Alternative 3'!$B$28),(($H27*'Alternative 3'!$B$39)+(2*(($N$12/3)*COS($K$13)))),IF(($A27&lt;'Alternative 3'!$B$29),(($H$3*'Alternative 3'!$B$39+(($N$12/3)*COS($K$13)))),($H27*'Alternative 3'!$B$39))))</f>
        <v>740098.46863391146</v>
      </c>
      <c r="Z27" s="78">
        <f>X27*'Alternative 3'!$K28/'Alternative 3'!$L28</f>
        <v>7211789.9741506288</v>
      </c>
      <c r="AA27" s="78">
        <f>Y27/'Alternative 3'!$M28</f>
        <v>359604.49244009884</v>
      </c>
      <c r="AB27" s="78">
        <f t="shared" si="3"/>
        <v>7.5713944665907276</v>
      </c>
      <c r="AD27" s="78">
        <f>'Alternative 3'!$B$39*$B27*$C27*COS($K$23)-($N$22/3)*$E27*SIN($K$23)-($N$22/3)*$F27*SIN($K$23)-($N$22/3)*$G27*SIN($K$23)</f>
        <v>298004.40405787452</v>
      </c>
      <c r="AE27" s="79">
        <f>IF(($A27&lt;'Alternative 3'!$B$27),(($H27*'Alternative 3'!$B$39)+(3*($N$22/3)*COS($K$23))),IF(($A27&lt;'Alternative 3'!$B$28),(($H27*'Alternative 3'!$B$39)+(2*(($N$22/3)*COS($K$23)))),IF(($A27&lt;'Alternative 3'!$B$29),(($H$3*'Alternative 3'!$B$39+(($N$22/3)*COS($K$23)))),($H27*'Alternative 3'!$B$39))))</f>
        <v>496597.59167774895</v>
      </c>
      <c r="AF27" s="78">
        <f>AD27*'Alternative 3'!$K28/'Alternative 3'!$L28</f>
        <v>7239835.5990287745</v>
      </c>
      <c r="AG27" s="78">
        <f>AE27/'Alternative 3'!$M28</f>
        <v>241290.49372562079</v>
      </c>
      <c r="AH27" s="78">
        <f t="shared" si="4"/>
        <v>7.4811260927543959</v>
      </c>
      <c r="AJ27" s="78">
        <f>'Alternative 3'!$B$39*$B27*$C27*COS($K$33)-($N$32/3)*$E27*SIN($K$33)-($N$32/3)*$F27*SIN($K$33)-($N$32/3)*$G27*SIN($K$33)</f>
        <v>278383.93568395253</v>
      </c>
      <c r="AK27" s="79">
        <f>IF(($A27&lt;'Alternative 3'!$B$27),(($H27*'Alternative 3'!$B$39)+(3*($N$32/3)*COS($K$33))),IF(($A27&lt;'Alternative 3'!$B$28),(($H27*'Alternative 3'!$B$39)+(2*(($N$32/3)*COS($K$33)))),IF(($A27&lt;'Alternative 3'!$B$29),(($H$3*'Alternative 3'!$B$39+(($N$32/3)*COS($K$33)))),($H27*'Alternative 3'!$B$39))))</f>
        <v>415166.05643987219</v>
      </c>
      <c r="AL27" s="78">
        <f>AJ27*'Alternative 3'!$K28/'Alternative 3'!$L28</f>
        <v>6763168.2630133238</v>
      </c>
      <c r="AM27" s="78">
        <f>AK27/'Alternative 3'!$M28</f>
        <v>201723.93989679567</v>
      </c>
      <c r="AN27" s="78">
        <f t="shared" si="5"/>
        <v>6.9648922029101197</v>
      </c>
      <c r="AP27" s="78">
        <f>'Alternative 3'!$B$39*$B27*$C27*COS($K$43)-($N$42/3)*$E27*SIN($K$43)-($N$42/3)*$F27*SIN($K$43)-($N$42/3)*$G27*SIN($K$43)</f>
        <v>247391.29078547464</v>
      </c>
      <c r="AQ27" s="79">
        <f>IF(($A27&lt;'Alternative 3'!$B$27),(($H27*'Alternative 3'!$B$39)+(3*($N$42/3)*COS($K$43))),IF(($A27&lt;'Alternative 3'!$B$28),(($H27*'Alternative 3'!$B$39)+(2*(($N$42/3)*COS($K$43)))),IF(($A27&lt;'Alternative 3'!$B$29),(($H$3*'Alternative 3'!$B$39+(($N$42/3)*COS($K$43)))),($H27*'Alternative 3'!$B$39))))</f>
        <v>372146.51651041314</v>
      </c>
      <c r="AR27" s="78">
        <f>AP27*'Alternative 3'!$K28/'Alternative 3'!$L28</f>
        <v>6010220.8206645157</v>
      </c>
      <c r="AS27" s="78">
        <f>AQ27/'Alternative 3'!$M28</f>
        <v>180821.2891321014</v>
      </c>
      <c r="AT27" s="78">
        <f t="shared" si="6"/>
        <v>6.1910421097966175</v>
      </c>
      <c r="AV27" s="78">
        <f>'Alternative 3'!$B$39*$B27*$C27*COS($K$53)-($N$52/3)*$E27*SIN($K$53)-($N$52/3)*$F27*SIN($K$53)-($N$52/3)*$G27*SIN($K$53)</f>
        <v>207624.70627766609</v>
      </c>
      <c r="AW27" s="79">
        <f>IF(($A27&lt;'Alternative 3'!$B$27),(($H27*'Alternative 3'!$B$39)+(3*($N$52/3)*COS($K$53))),IF(($A27&lt;'Alternative 3'!$B$28),(($H27*'Alternative 3'!$B$39)+(2*(($N$52/3)*COS($K$53)))),IF(($A27&lt;'Alternative 3'!$B$29),(($H$3*'Alternative 3'!$B$39+(($N$52/3)*COS($K$53)))),($H27*'Alternative 3'!$B$39))))</f>
        <v>345120.30506969942</v>
      </c>
      <c r="AX27" s="78">
        <f>AV27*'Alternative 3'!$K28/'Alternative 3'!$L28</f>
        <v>5044115.8562710844</v>
      </c>
      <c r="AY27" s="78">
        <f>AW27/'Alternative 3'!$M28</f>
        <v>167689.59455414111</v>
      </c>
      <c r="AZ27" s="78">
        <f t="shared" si="7"/>
        <v>5.2118054508252252</v>
      </c>
      <c r="BB27" s="78">
        <f>'Alternative 3'!$B$39*$B27*$C27*COS($K$63)-($N$62/3)*$E27*SIN($K$63)-($N$62/3)*$F27*SIN($K$63)-($N$62/3)*$G27*SIN($K$63)</f>
        <v>160838.40230216726</v>
      </c>
      <c r="BC27" s="79">
        <f>IF(($A27&lt;'Alternative 3'!$B$27),(($H27*'Alternative 3'!$B$39)+(3*($N$62/3)*COS($K$63))),IF(($A27&lt;'Alternative 3'!$B$28),(($H27*'Alternative 3'!$B$39)+(2*(($N$62/3)*COS($K$63)))),IF(($A27&lt;'Alternative 3'!$B$29),(($H$3*'Alternative 3'!$B$39+(($N$62/3)*COS($K$63)))),($H27*'Alternative 3'!$B$39))))</f>
        <v>327089.4855322786</v>
      </c>
      <c r="BD27" s="78">
        <f>BB27*'Alternative 3'!$K28/'Alternative 3'!$L28</f>
        <v>3907471.0803669835</v>
      </c>
      <c r="BE27" s="78">
        <f>BC27/'Alternative 3'!$M28</f>
        <v>158928.64721695575</v>
      </c>
      <c r="BF27" s="78">
        <f t="shared" si="8"/>
        <v>4.0663997275839394</v>
      </c>
      <c r="BH27" s="78">
        <f>'Alternative 3'!$B$39*$B27*$C27*COS($K$73)-($N$72/3)*$E27*SIN($K$73)-($N$72/3)*$F27*SIN($K$73)-($N$72/3)*$G27*SIN($K$73)</f>
        <v>108685.6136110923</v>
      </c>
      <c r="BI27" s="79">
        <f>IF(($A27&lt;'Alternative 3'!$B$27),(($H27*'Alternative 3'!$B$39)+(3*($N$72/3)*COS($K$73))),IF(($A27&lt;'Alternative 3'!$B$28),(($H27*'Alternative 3'!$B$39)+(2*(($N$72/3)*COS($K$73)))),IF(($A27&lt;'Alternative 3'!$B$29),(($H$3*'Alternative 3'!$B$39+(($N$72/3)*COS($K$73)))),($H27*'Alternative 3'!$B$39))))</f>
        <v>315284.01606893499</v>
      </c>
      <c r="BJ27" s="78">
        <f>BH27*'Alternative 3'!$K28/'Alternative 3'!$L28</f>
        <v>2640450.8249182026</v>
      </c>
      <c r="BK27" s="78">
        <f>BI27/'Alternative 3'!$M28</f>
        <v>153192.5188039098</v>
      </c>
      <c r="BL27" s="78">
        <f t="shared" si="9"/>
        <v>2.7936433437221124</v>
      </c>
      <c r="BN27" s="78">
        <f>'Alternative 3'!$B$39*$B27*$C27*COS($K$83)-($N$82/3)*$E27*SIN($K$83)-($N$82/3)*$F27*SIN($K$83)-($N$82/3)*$G27*SIN($K$83)</f>
        <v>52861.739849915204</v>
      </c>
      <c r="BO27" s="79">
        <f>IF(($A27&lt;'Alternative 3'!$B$27),(($H27*'Alternative 3'!$B$39)+(3*($N$82/3)*COS($K$83))),IF(($A27&lt;'Alternative 3'!$B$28),(($H27*'Alternative 3'!$B$39)+(2*(($N$82/3)*COS($K$83)))),IF(($A27&lt;'Alternative 3'!$B$29),(($H$3*'Alternative 3'!$B$39+(($N$82/3)*COS($K$83)))),($H27*'Alternative 3'!$B$39))))</f>
        <v>308476.18998899439</v>
      </c>
      <c r="BP27" s="78">
        <f>BN27*'Alternative 3'!$K28/'Alternative 3'!$L28</f>
        <v>1284243.7923088179</v>
      </c>
      <c r="BQ27" s="78">
        <f>BO27/'Alternative 3'!$M28</f>
        <v>149884.68214993548</v>
      </c>
      <c r="BR27" s="78">
        <f t="shared" si="10"/>
        <v>1.4341284744587535</v>
      </c>
      <c r="BT27" s="78">
        <f>'Alternative 3'!$B$39*$B27*$C27*COS($K$93)-($K$92/3)*$E27*SIN($K$93)-($K$92/3)*$F27*SIN($K$93)-($K$92/3)*$G27*SIN($K$93)</f>
        <v>-2.0711240456624336</v>
      </c>
      <c r="BU27" s="79">
        <f>IF(($A27&lt;'Alternative 3'!$B$27),(($H27*'Alternative 3'!$B$39)+(3*($N$92/3)*COS($K$93))),IF(($A27&lt;'Alternative 3'!$B$28),(($H27*'Alternative 3'!$B$39)+(2*(($N$92/3)*COS($K$93)))),IF(($A27&lt;'Alternative 3'!$B$29),(($H$3*'Alternative 3'!$B$39+(($N$92/3)*COS($K$93)))),($H27*'Alternative 3'!$B$39))))</f>
        <v>306119.90662501159</v>
      </c>
      <c r="BV27" s="78">
        <f>BT27*'Alternative 3'!$K28/'Alternative 3'!$L28</f>
        <v>-50.316697980340344</v>
      </c>
      <c r="BW27" s="78">
        <f>BU27/'Alternative 3'!$M28</f>
        <v>148739.79384241864</v>
      </c>
      <c r="BX27" s="78">
        <f t="shared" si="11"/>
        <v>0.14868947714443831</v>
      </c>
      <c r="BZ27" s="77">
        <v>150</v>
      </c>
      <c r="CA27" s="77">
        <v>-150</v>
      </c>
    </row>
    <row r="28" spans="1:79" ht="15" customHeight="1" x14ac:dyDescent="0.25">
      <c r="A28" s="13">
        <f>IF('Alternative 3'!F29&gt;0,'Alternative 3'!F29,"x")</f>
        <v>26</v>
      </c>
      <c r="B28" s="13">
        <f t="shared" si="17"/>
        <v>11</v>
      </c>
      <c r="C28" s="13">
        <f t="shared" si="12"/>
        <v>5.5</v>
      </c>
      <c r="D28" s="13">
        <f t="shared" si="13"/>
        <v>26</v>
      </c>
      <c r="E28" s="74">
        <f>IF($A28&lt;='Alternative 3'!$B$27, IF($A28='Alternative 3'!$B$27,0,E29+1),0)</f>
        <v>0</v>
      </c>
      <c r="F28" s="74">
        <f>IF($A28&lt;=('Alternative 3'!$B$28), IF($A28=ROUNDDOWN('Alternative 3'!$B$28,0),0,F29+1),0)</f>
        <v>0</v>
      </c>
      <c r="G28" s="74">
        <f>IF($A28&lt;=('Alternative 3'!$B$29), IF($A28=ROUNDDOWN('Alternative 3'!$B$29,0),0,G29+1),0)</f>
        <v>3</v>
      </c>
      <c r="H28" s="13">
        <f t="shared" si="14"/>
        <v>11</v>
      </c>
      <c r="J28" s="77">
        <f t="shared" si="15"/>
        <v>25</v>
      </c>
      <c r="K28" s="77">
        <f t="shared" si="16"/>
        <v>0.43633231299858238</v>
      </c>
      <c r="L28" s="78">
        <f>'Alternative 3'!$B$27*SIN(K28)+'Alternative 3'!$B$28*SIN(K28)+'Alternative 3'!$B$29*SIN(K28)</f>
        <v>28.738041798367561</v>
      </c>
      <c r="M28" s="77">
        <f>(('Alternative 3'!$B$27)*(((('Alternative 3'!$B$28-'Alternative 3'!$B$27)/2)+'Alternative 3'!$B$27)*'Alternative 3'!$B$39)*COS('Alternative 3-Tilt Up'!K28))+(('Alternative 3'!$B$28)*((('Alternative 3'!$B$28-'Alternative 3'!$B$27)/2)+(('Alternative 3'!$B$29-'Alternative 3'!$B$28)/2))*('Alternative 3'!$B$39)*COS('Alternative 3-Tilt Up'!K28))+(('Alternative 3'!$B$29)*((('Alternative 3'!$B$12-'Alternative 3'!$B$29+(('Alternative 3'!$B$29-'Alternative 3'!$B$28)/2)*('Alternative 3'!$B$39)*COS('Alternative 3-Tilt Up'!K28)))))</f>
        <v>4301456.976497245</v>
      </c>
      <c r="N28" s="77">
        <f t="shared" si="0"/>
        <v>449034.45474927098</v>
      </c>
      <c r="O28" s="77">
        <f>(((('Alternative 3'!$B$28-'Alternative 3'!$B$27)/2)+'Alternative 3'!$B$27)*('Alternative 3'!$B$39)*COS('Alternative 3-Tilt Up'!K28))+(((('Alternative 3'!$B$28-'Alternative 3'!$B$27)/2)+(('Alternative 3'!$B$29-'Alternative 3'!$B$28)/2))*('Alternative 3'!$B$39)*COS('Alternative 3-Tilt Up'!K28))+(((('Alternative 3'!$B$12-'Alternative 3'!$B$29)+(('Alternative 3'!$B$29-'Alternative 3'!$B$28)/2))*('Alternative 3'!$B$39)*COS('Alternative 3-Tilt Up'!K28)))</f>
        <v>277438.8551411801</v>
      </c>
      <c r="P28" s="77">
        <f t="shared" si="1"/>
        <v>406963.42298702052</v>
      </c>
      <c r="R28" s="78">
        <f>'Alternative 3'!$B$39*$B28*$C28*COS($K$5)-($N$5/3)*$E28*SIN($K$5)-($N$5/3)*$F28*SIN($K$5)-($N$5/3)*$G28*SIN($K$5)</f>
        <v>304878.35482837772</v>
      </c>
      <c r="S28" s="79">
        <f>IF(($A28&lt;'Alternative 3'!$B$27),(($H28*'Alternative 3'!$B$39)+(3*($N$5/3)*COS($K$5))),IF(($A28&lt;'Alternative 3'!$B$28),(($H28*'Alternative 3'!$B$39)+(2*(($N$5/3)*COS($K$5)))),IF(($A28&lt;'Alternative 3'!$B$29),(($H$3*'Alternative 3'!$B$39+(($N$5/3)*COS($K$5)))),($H28*'Alternative 3'!$B$39))))</f>
        <v>2303591.7836996038</v>
      </c>
      <c r="T28" s="78">
        <f>R28*'Alternative 3'!$K29/'Alternative 3'!$L29</f>
        <v>7592250.2240657741</v>
      </c>
      <c r="U28" s="78">
        <f>S28/'Alternative 3'!$M29</f>
        <v>1147305.3601726778</v>
      </c>
      <c r="V28" s="78">
        <f t="shared" si="2"/>
        <v>8.7395555842384507</v>
      </c>
      <c r="X28" s="78">
        <f>'Alternative 3'!$B$39*$B28*$C28*COS($K$13)-($N$12/3)*$E28*SIN($K$13)-($N$12/3)*$F28*SIN($K$13)-($N$12/3)*$G28*SIN($K$13)</f>
        <v>277069.44675183354</v>
      </c>
      <c r="Y28" s="79">
        <f>IF(($A28&lt;'Alternative 3'!$B$27),(($H28*'Alternative 3'!$B$39)+(3*($N$12/3)*COS($K$13))),IF(($A28&lt;'Alternative 3'!$B$28),(($H28*'Alternative 3'!$B$39)+(2*(($N$12/3)*COS($K$13)))),IF(($A28&lt;'Alternative 3'!$B$29),(($H$3*'Alternative 3'!$B$39+(($N$12/3)*COS($K$13)))),($H28*'Alternative 3'!$B$39))))</f>
        <v>740098.46863391146</v>
      </c>
      <c r="Z28" s="78">
        <f>X28*'Alternative 3'!$K29/'Alternative 3'!$L29</f>
        <v>6899737.3407093361</v>
      </c>
      <c r="AA28" s="78">
        <f>Y28/'Alternative 3'!$M29</f>
        <v>368606.51532433362</v>
      </c>
      <c r="AB28" s="78">
        <f t="shared" si="3"/>
        <v>7.2683438560336695</v>
      </c>
      <c r="AD28" s="78">
        <f>'Alternative 3'!$B$39*$B28*$C28*COS($K$23)-($N$22/3)*$E28*SIN($K$23)-($N$22/3)*$F28*SIN($K$23)-($N$22/3)*$G28*SIN($K$23)</f>
        <v>275441.66450598277</v>
      </c>
      <c r="AE28" s="79">
        <f>IF(($A28&lt;'Alternative 3'!$B$27),(($H28*'Alternative 3'!$B$39)+(3*($N$22/3)*COS($K$23))),IF(($A28&lt;'Alternative 3'!$B$28),(($H28*'Alternative 3'!$B$39)+(2*(($N$22/3)*COS($K$23)))),IF(($A28&lt;'Alternative 3'!$B$29),(($H$3*'Alternative 3'!$B$39+(($N$22/3)*COS($K$23)))),($H28*'Alternative 3'!$B$39))))</f>
        <v>496597.59167774895</v>
      </c>
      <c r="AF28" s="78">
        <f>AD28*'Alternative 3'!$K29/'Alternative 3'!$L29</f>
        <v>6859201.40260462</v>
      </c>
      <c r="AG28" s="78">
        <f>AE28/'Alternative 3'!$M29</f>
        <v>247330.74792691713</v>
      </c>
      <c r="AH28" s="78">
        <f t="shared" si="4"/>
        <v>7.1065321505315371</v>
      </c>
      <c r="AJ28" s="78">
        <f>'Alternative 3'!$B$39*$B28*$C28*COS($K$33)-($N$32/3)*$E28*SIN($K$33)-($N$32/3)*$F28*SIN($K$33)-($N$32/3)*$G28*SIN($K$33)</f>
        <v>256654.60460515809</v>
      </c>
      <c r="AK28" s="79">
        <f>IF(($A28&lt;'Alternative 3'!$B$27),(($H28*'Alternative 3'!$B$39)+(3*($N$32/3)*COS($K$33))),IF(($A28&lt;'Alternative 3'!$B$28),(($H28*'Alternative 3'!$B$39)+(2*(($N$32/3)*COS($K$33)))),IF(($A28&lt;'Alternative 3'!$B$29),(($H$3*'Alternative 3'!$B$39+(($N$32/3)*COS($K$33)))),($H28*'Alternative 3'!$B$39))))</f>
        <v>415166.05643987219</v>
      </c>
      <c r="AL28" s="78">
        <f>AJ28*'Alternative 3'!$K29/'Alternative 3'!$L29</f>
        <v>6391355.5962932277</v>
      </c>
      <c r="AM28" s="78">
        <f>AK28/'Alternative 3'!$M29</f>
        <v>206773.71975612667</v>
      </c>
      <c r="AN28" s="78">
        <f t="shared" si="5"/>
        <v>6.5981293160493539</v>
      </c>
      <c r="AP28" s="78">
        <f>'Alternative 3'!$B$39*$B28*$C28*COS($K$43)-($N$42/3)*$E28*SIN($K$43)-($N$42/3)*$F28*SIN($K$43)-($N$42/3)*$G28*SIN($K$43)</f>
        <v>227884.00828600145</v>
      </c>
      <c r="AQ28" s="79">
        <f>IF(($A28&lt;'Alternative 3'!$B$27),(($H28*'Alternative 3'!$B$39)+(3*($N$42/3)*COS($K$43))),IF(($A28&lt;'Alternative 3'!$B$28),(($H28*'Alternative 3'!$B$39)+(2*(($N$42/3)*COS($K$43)))),IF(($A28&lt;'Alternative 3'!$B$29),(($H$3*'Alternative 3'!$B$39+(($N$42/3)*COS($K$43)))),($H28*'Alternative 3'!$B$39))))</f>
        <v>372146.51651041314</v>
      </c>
      <c r="AR28" s="78">
        <f>AP28*'Alternative 3'!$K29/'Alternative 3'!$L29</f>
        <v>5674894.2178736813</v>
      </c>
      <c r="AS28" s="78">
        <f>AQ28/'Alternative 3'!$M29</f>
        <v>185347.81039906014</v>
      </c>
      <c r="AT28" s="78">
        <f t="shared" si="6"/>
        <v>5.8602420282727419</v>
      </c>
      <c r="AV28" s="78">
        <f>'Alternative 3'!$B$39*$B28*$C28*COS($K$53)-($N$52/3)*$E28*SIN($K$53)-($N$52/3)*$F28*SIN($K$53)-($N$52/3)*$G28*SIN($K$53)</f>
        <v>191246.46137131139</v>
      </c>
      <c r="AW28" s="79">
        <f>IF(($A28&lt;'Alternative 3'!$B$27),(($H28*'Alternative 3'!$B$39)+(3*($N$52/3)*COS($K$53))),IF(($A28&lt;'Alternative 3'!$B$28),(($H28*'Alternative 3'!$B$39)+(2*(($N$52/3)*COS($K$53)))),IF(($A28&lt;'Alternative 3'!$B$29),(($H$3*'Alternative 3'!$B$39+(($N$52/3)*COS($K$53)))),($H28*'Alternative 3'!$B$39))))</f>
        <v>345120.30506969942</v>
      </c>
      <c r="AX28" s="78">
        <f>AV28*'Alternative 3'!$K29/'Alternative 3'!$L29</f>
        <v>4762525.6637700014</v>
      </c>
      <c r="AY28" s="78">
        <f>AW28/'Alternative 3'!$M29</f>
        <v>171887.3885176742</v>
      </c>
      <c r="AZ28" s="78">
        <f t="shared" si="7"/>
        <v>4.9344130522876757</v>
      </c>
      <c r="BB28" s="78">
        <f>'Alternative 3'!$B$39*$B28*$C28*COS($K$63)-($N$62/3)*$E28*SIN($K$63)-($N$62/3)*$F28*SIN($K$63)-($N$62/3)*$G28*SIN($K$63)</f>
        <v>148264.62663027231</v>
      </c>
      <c r="BC28" s="79">
        <f>IF(($A28&lt;'Alternative 3'!$B$27),(($H28*'Alternative 3'!$B$39)+(3*($N$62/3)*COS($K$63))),IF(($A28&lt;'Alternative 3'!$B$28),(($H28*'Alternative 3'!$B$39)+(2*(($N$62/3)*COS($K$63)))),IF(($A28&lt;'Alternative 3'!$B$29),(($H$3*'Alternative 3'!$B$39+(($N$62/3)*COS($K$63)))),($H28*'Alternative 3'!$B$39))))</f>
        <v>327089.4855322786</v>
      </c>
      <c r="BD28" s="78">
        <f>BB28*'Alternative 3'!$K29/'Alternative 3'!$L29</f>
        <v>3692168.1284601903</v>
      </c>
      <c r="BE28" s="78">
        <f>BC28/'Alternative 3'!$M29</f>
        <v>162907.12732297339</v>
      </c>
      <c r="BF28" s="78">
        <f t="shared" si="8"/>
        <v>3.8550752557831633</v>
      </c>
      <c r="BH28" s="78">
        <f>'Alternative 3'!$B$39*$B28*$C28*COS($K$73)-($N$72/3)*$E28*SIN($K$73)-($N$72/3)*$F28*SIN($K$73)-($N$72/3)*$G28*SIN($K$73)</f>
        <v>100418.22779725598</v>
      </c>
      <c r="BI28" s="79">
        <f>IF(($A28&lt;'Alternative 3'!$B$27),(($H28*'Alternative 3'!$B$39)+(3*($N$72/3)*COS($K$73))),IF(($A28&lt;'Alternative 3'!$B$28),(($H28*'Alternative 3'!$B$39)+(2*(($N$72/3)*COS($K$73)))),IF(($A28&lt;'Alternative 3'!$B$29),(($H$3*'Alternative 3'!$B$39+(($N$72/3)*COS($K$73)))),($H28*'Alternative 3'!$B$39))))</f>
        <v>315284.01606893499</v>
      </c>
      <c r="BJ28" s="78">
        <f>BH28*'Alternative 3'!$K29/'Alternative 3'!$L29</f>
        <v>2500670.5147145507</v>
      </c>
      <c r="BK28" s="78">
        <f>BI28/'Alternative 3'!$M29</f>
        <v>157027.40571149223</v>
      </c>
      <c r="BL28" s="78">
        <f t="shared" si="9"/>
        <v>2.6576979204260427</v>
      </c>
      <c r="BN28" s="78">
        <f>'Alternative 3'!$B$39*$B28*$C28*COS($K$83)-($N$82/3)*$E28*SIN($K$83)-($N$82/3)*$F28*SIN($K$83)-($N$82/3)*$G28*SIN($K$83)</f>
        <v>49244.126153117708</v>
      </c>
      <c r="BO28" s="79">
        <f>IF(($A28&lt;'Alternative 3'!$B$27),(($H28*'Alternative 3'!$B$39)+(3*($N$82/3)*COS($K$83))),IF(($A28&lt;'Alternative 3'!$B$28),(($H28*'Alternative 3'!$B$39)+(2*(($N$82/3)*COS($K$83)))),IF(($A28&lt;'Alternative 3'!$B$29),(($H$3*'Alternative 3'!$B$39+(($N$82/3)*COS($K$83)))),($H28*'Alternative 3'!$B$39))))</f>
        <v>308476.18998899439</v>
      </c>
      <c r="BP28" s="78">
        <f>BN28*'Alternative 3'!$K29/'Alternative 3'!$L29</f>
        <v>1226304.5962393505</v>
      </c>
      <c r="BQ28" s="78">
        <f>BO28/'Alternative 3'!$M29</f>
        <v>153636.76358127283</v>
      </c>
      <c r="BR28" s="78">
        <f t="shared" si="10"/>
        <v>1.3799413598206234</v>
      </c>
      <c r="BT28" s="78">
        <f>'Alternative 3'!$B$39*$B28*$C28*COS($K$93)-($K$92/3)*$E28*SIN($K$93)-($K$92/3)*$F28*SIN($K$93)-($K$92/3)*$G28*SIN($K$93)</f>
        <v>-1.5533430342434396</v>
      </c>
      <c r="BU28" s="79">
        <f>IF(($A28&lt;'Alternative 3'!$B$27),(($H28*'Alternative 3'!$B$39)+(3*($N$92/3)*COS($K$93))),IF(($A28&lt;'Alternative 3'!$B$28),(($H28*'Alternative 3'!$B$39)+(2*(($N$92/3)*COS($K$93)))),IF(($A28&lt;'Alternative 3'!$B$29),(($H$3*'Alternative 3'!$B$39+(($N$92/3)*COS($K$93)))),($H28*'Alternative 3'!$B$39))))</f>
        <v>306119.90662501159</v>
      </c>
      <c r="BV28" s="78">
        <f>BT28*'Alternative 3'!$K29/'Alternative 3'!$L29</f>
        <v>-38.682211488659121</v>
      </c>
      <c r="BW28" s="78">
        <f>BU28/'Alternative 3'!$M29</f>
        <v>152463.21514586319</v>
      </c>
      <c r="BX28" s="78">
        <f t="shared" si="11"/>
        <v>0.15242453293437452</v>
      </c>
      <c r="BZ28" s="77">
        <v>150</v>
      </c>
      <c r="CA28" s="77">
        <v>-150</v>
      </c>
    </row>
    <row r="29" spans="1:79" ht="15" customHeight="1" x14ac:dyDescent="0.25">
      <c r="A29" s="13">
        <f>IF('Alternative 3'!F30&gt;0,'Alternative 3'!F30,"x")</f>
        <v>27</v>
      </c>
      <c r="B29" s="13">
        <f t="shared" si="17"/>
        <v>10</v>
      </c>
      <c r="C29" s="13">
        <f t="shared" si="12"/>
        <v>5</v>
      </c>
      <c r="D29" s="13">
        <f t="shared" si="13"/>
        <v>27</v>
      </c>
      <c r="E29" s="74">
        <f>IF($A29&lt;='Alternative 3'!$B$27, IF($A29='Alternative 3'!$B$27,0,E30+1),0)</f>
        <v>0</v>
      </c>
      <c r="F29" s="74">
        <f>IF($A29&lt;=('Alternative 3'!$B$28), IF($A29=ROUNDDOWN('Alternative 3'!$B$28,0),0,F30+1),0)</f>
        <v>0</v>
      </c>
      <c r="G29" s="74">
        <f>IF($A29&lt;=('Alternative 3'!$B$29), IF($A29=ROUNDDOWN('Alternative 3'!$B$29,0),0,G30+1),0)</f>
        <v>2</v>
      </c>
      <c r="H29" s="13">
        <f t="shared" si="14"/>
        <v>10</v>
      </c>
      <c r="J29" s="77">
        <f t="shared" si="15"/>
        <v>26</v>
      </c>
      <c r="K29" s="77">
        <f t="shared" si="16"/>
        <v>0.4537856055185257</v>
      </c>
      <c r="L29" s="78">
        <f>'Alternative 3'!$B$27*SIN(K29)+'Alternative 3'!$B$28*SIN(K29)+'Alternative 3'!$B$29*SIN(K29)</f>
        <v>29.809237981657262</v>
      </c>
      <c r="M29" s="77">
        <f>(('Alternative 3'!$B$27)*(((('Alternative 3'!$B$28-'Alternative 3'!$B$27)/2)+'Alternative 3'!$B$27)*'Alternative 3'!$B$39)*COS('Alternative 3-Tilt Up'!K29))+(('Alternative 3'!$B$28)*((('Alternative 3'!$B$28-'Alternative 3'!$B$27)/2)+(('Alternative 3'!$B$29-'Alternative 3'!$B$28)/2))*('Alternative 3'!$B$39)*COS('Alternative 3-Tilt Up'!K29))+(('Alternative 3'!$B$29)*((('Alternative 3'!$B$12-'Alternative 3'!$B$29+(('Alternative 3'!$B$29-'Alternative 3'!$B$28)/2)*('Alternative 3'!$B$39)*COS('Alternative 3-Tilt Up'!K29)))))</f>
        <v>4265797.3881590012</v>
      </c>
      <c r="N29" s="77">
        <f t="shared" si="0"/>
        <v>429309.60437001835</v>
      </c>
      <c r="O29" s="77">
        <f>(((('Alternative 3'!$B$28-'Alternative 3'!$B$27)/2)+'Alternative 3'!$B$27)*('Alternative 3'!$B$39)*COS('Alternative 3-Tilt Up'!K29))+(((('Alternative 3'!$B$28-'Alternative 3'!$B$27)/2)+(('Alternative 3'!$B$29-'Alternative 3'!$B$28)/2))*('Alternative 3'!$B$39)*COS('Alternative 3-Tilt Up'!K29))+(((('Alternative 3'!$B$12-'Alternative 3'!$B$29)+(('Alternative 3'!$B$29-'Alternative 3'!$B$28)/2))*('Alternative 3'!$B$39)*COS('Alternative 3-Tilt Up'!K29)))</f>
        <v>275138.7495282173</v>
      </c>
      <c r="P29" s="77">
        <f t="shared" si="1"/>
        <v>385860.91642682336</v>
      </c>
      <c r="R29" s="78">
        <f>'Alternative 3'!$B$39*$B29*$C29*COS($K$5)-($N$5/3)*$E29*SIN($K$5)-($N$5/3)*$F29*SIN($K$5)-($N$5/3)*$G29*SIN($K$5)</f>
        <v>285401.02704132942</v>
      </c>
      <c r="S29" s="79">
        <f>IF(($A29&lt;'Alternative 3'!$B$27),(($H29*'Alternative 3'!$B$39)+(3*($N$5/3)*COS($K$5))),IF(($A29&lt;'Alternative 3'!$B$28),(($H29*'Alternative 3'!$B$39)+(2*(($N$5/3)*COS($K$5)))),IF(($A29&lt;'Alternative 3'!$B$29),(($H$3*'Alternative 3'!$B$39+(($N$5/3)*COS($K$5)))),($H29*'Alternative 3'!$B$39))))</f>
        <v>2303591.7836996038</v>
      </c>
      <c r="T29" s="78">
        <f>R29*'Alternative 3'!$K30/'Alternative 3'!$L30</f>
        <v>7287385.7897117985</v>
      </c>
      <c r="U29" s="78">
        <f>S29/'Alternative 3'!$M30</f>
        <v>1176390.0202672526</v>
      </c>
      <c r="V29" s="78">
        <f t="shared" si="2"/>
        <v>8.463775809979051</v>
      </c>
      <c r="X29" s="78">
        <f>'Alternative 3'!$B$39*$B29*$C29*COS($K$13)-($N$12/3)*$E29*SIN($K$13)-($N$12/3)*$F29*SIN($K$13)-($N$12/3)*$G29*SIN($K$13)</f>
        <v>265663.04287598946</v>
      </c>
      <c r="Y29" s="79">
        <f>IF(($A29&lt;'Alternative 3'!$B$27),(($H29*'Alternative 3'!$B$39)+(3*($N$12/3)*COS($K$13))),IF(($A29&lt;'Alternative 3'!$B$28),(($H29*'Alternative 3'!$B$39)+(2*(($N$12/3)*COS($K$13)))),IF(($A29&lt;'Alternative 3'!$B$29),(($H$3*'Alternative 3'!$B$39+(($N$12/3)*COS($K$13)))),($H29*'Alternative 3'!$B$39))))</f>
        <v>740098.46863391146</v>
      </c>
      <c r="Z29" s="78">
        <f>X29*'Alternative 3'!$K30/'Alternative 3'!$L30</f>
        <v>6783399.1474239789</v>
      </c>
      <c r="AA29" s="78">
        <f>Y29/'Alternative 3'!$M30</f>
        <v>377950.84123704478</v>
      </c>
      <c r="AB29" s="78">
        <f t="shared" si="3"/>
        <v>7.1613499886610237</v>
      </c>
      <c r="AD29" s="78">
        <f>'Alternative 3'!$B$39*$B29*$C29*COS($K$23)-($N$22/3)*$E29*SIN($K$23)-($N$22/3)*$F29*SIN($K$23)-($N$22/3)*$G29*SIN($K$23)</f>
        <v>260869.44210217966</v>
      </c>
      <c r="AE29" s="79">
        <f>IF(($A29&lt;'Alternative 3'!$B$27),(($H29*'Alternative 3'!$B$39)+(3*($N$22/3)*COS($K$23))),IF(($A29&lt;'Alternative 3'!$B$28),(($H29*'Alternative 3'!$B$39)+(2*(($N$22/3)*COS($K$23)))),IF(($A29&lt;'Alternative 3'!$B$29),(($H$3*'Alternative 3'!$B$39+(($N$22/3)*COS($K$23)))),($H29*'Alternative 3'!$B$39))))</f>
        <v>496597.59167774895</v>
      </c>
      <c r="AF29" s="78">
        <f>AD29*'Alternative 3'!$K30/'Alternative 3'!$L30</f>
        <v>6661000.0848741643</v>
      </c>
      <c r="AG29" s="78">
        <f>AE29/'Alternative 3'!$M30</f>
        <v>253600.68353787661</v>
      </c>
      <c r="AH29" s="78">
        <f t="shared" si="4"/>
        <v>6.9146007684120407</v>
      </c>
      <c r="AJ29" s="78">
        <f>'Alternative 3'!$B$39*$B29*$C29*COS($K$33)-($N$32/3)*$E29*SIN($K$33)-($N$32/3)*$F29*SIN($K$33)-($N$32/3)*$G29*SIN($K$33)</f>
        <v>242289.37396362418</v>
      </c>
      <c r="AK29" s="79">
        <f>IF(($A29&lt;'Alternative 3'!$B$27),(($H29*'Alternative 3'!$B$39)+(3*($N$32/3)*COS($K$33))),IF(($A29&lt;'Alternative 3'!$B$28),(($H29*'Alternative 3'!$B$39)+(2*(($N$32/3)*COS($K$33)))),IF(($A29&lt;'Alternative 3'!$B$29),(($H$3*'Alternative 3'!$B$39+(($N$32/3)*COS($K$33)))),($H29*'Alternative 3'!$B$39))))</f>
        <v>415166.05643987219</v>
      </c>
      <c r="AL29" s="78">
        <f>AJ29*'Alternative 3'!$K30/'Alternative 3'!$L30</f>
        <v>6186579.4917584341</v>
      </c>
      <c r="AM29" s="78">
        <f>AK29/'Alternative 3'!$M30</f>
        <v>212015.51811632319</v>
      </c>
      <c r="AN29" s="78">
        <f t="shared" si="5"/>
        <v>6.3985950098747573</v>
      </c>
      <c r="AP29" s="78">
        <f>'Alternative 3'!$B$39*$B29*$C29*COS($K$43)-($N$42/3)*$E29*SIN($K$43)-($N$42/3)*$F29*SIN($K$43)-($N$42/3)*$G29*SIN($K$43)</f>
        <v>214890.65504758919</v>
      </c>
      <c r="AQ29" s="79">
        <f>IF(($A29&lt;'Alternative 3'!$B$27),(($H29*'Alternative 3'!$B$39)+(3*($N$42/3)*COS($K$43))),IF(($A29&lt;'Alternative 3'!$B$28),(($H29*'Alternative 3'!$B$39)+(2*(($N$42/3)*COS($K$43)))),IF(($A29&lt;'Alternative 3'!$B$29),(($H$3*'Alternative 3'!$B$39+(($N$42/3)*COS($K$43)))),($H29*'Alternative 3'!$B$39))))</f>
        <v>372146.51651041314</v>
      </c>
      <c r="AR29" s="78">
        <f>AP29*'Alternative 3'!$K30/'Alternative 3'!$L30</f>
        <v>5486984.830327495</v>
      </c>
      <c r="AS29" s="78">
        <f>AQ29/'Alternative 3'!$M30</f>
        <v>190046.45319448735</v>
      </c>
      <c r="AT29" s="78">
        <f t="shared" si="6"/>
        <v>5.6770312835219823</v>
      </c>
      <c r="AV29" s="78">
        <f>'Alternative 3'!$B$39*$B29*$C29*COS($K$53)-($N$52/3)*$E29*SIN($K$53)-($N$52/3)*$F29*SIN($K$53)-($N$52/3)*$G29*SIN($K$53)</f>
        <v>180334.05210542775</v>
      </c>
      <c r="AW29" s="79">
        <f>IF(($A29&lt;'Alternative 3'!$B$27),(($H29*'Alternative 3'!$B$39)+(3*($N$52/3)*COS($K$53))),IF(($A29&lt;'Alternative 3'!$B$28),(($H29*'Alternative 3'!$B$39)+(2*(($N$52/3)*COS($K$53)))),IF(($A29&lt;'Alternative 3'!$B$29),(($H$3*'Alternative 3'!$B$39+(($N$52/3)*COS($K$53)))),($H29*'Alternative 3'!$B$39))))</f>
        <v>345120.30506969942</v>
      </c>
      <c r="AX29" s="78">
        <f>AV29*'Alternative 3'!$K30/'Alternative 3'!$L30</f>
        <v>4604621.8625693135</v>
      </c>
      <c r="AY29" s="78">
        <f>AW29/'Alternative 3'!$M30</f>
        <v>176244.80411349106</v>
      </c>
      <c r="AZ29" s="78">
        <f t="shared" si="7"/>
        <v>4.7808666666828046</v>
      </c>
      <c r="BB29" s="78">
        <f>'Alternative 3'!$B$39*$B29*$C29*COS($K$63)-($N$62/3)*$E29*SIN($K$63)-($N$62/3)*$F29*SIN($K$63)-($N$62/3)*$G29*SIN($K$63)</f>
        <v>139942.51632816924</v>
      </c>
      <c r="BC29" s="79">
        <f>IF(($A29&lt;'Alternative 3'!$B$27),(($H29*'Alternative 3'!$B$39)+(3*($N$62/3)*COS($K$63))),IF(($A29&lt;'Alternative 3'!$B$28),(($H29*'Alternative 3'!$B$39)+(2*(($N$62/3)*COS($K$63)))),IF(($A29&lt;'Alternative 3'!$B$29),(($H$3*'Alternative 3'!$B$39+(($N$62/3)*COS($K$63)))),($H29*'Alternative 3'!$B$39))))</f>
        <v>327089.4855322786</v>
      </c>
      <c r="BD29" s="78">
        <f>BB29*'Alternative 3'!$K30/'Alternative 3'!$L30</f>
        <v>3573270.6200763979</v>
      </c>
      <c r="BE29" s="78">
        <f>BC29/'Alternative 3'!$M30</f>
        <v>167036.88962484151</v>
      </c>
      <c r="BF29" s="78">
        <f t="shared" si="8"/>
        <v>3.7403075097012395</v>
      </c>
      <c r="BH29" s="78">
        <f>'Alternative 3'!$B$39*$B29*$C29*COS($K$73)-($N$72/3)*$E29*SIN($K$73)-($N$72/3)*$F29*SIN($K$73)-($N$72/3)*$G29*SIN($K$73)</f>
        <v>95059.152381717679</v>
      </c>
      <c r="BI29" s="79">
        <f>IF(($A29&lt;'Alternative 3'!$B$27),(($H29*'Alternative 3'!$B$39)+(3*($N$72/3)*COS($K$73))),IF(($A29&lt;'Alternative 3'!$B$28),(($H29*'Alternative 3'!$B$39)+(2*(($N$72/3)*COS($K$73)))),IF(($A29&lt;'Alternative 3'!$B$29),(($H$3*'Alternative 3'!$B$39+(($N$72/3)*COS($K$73)))),($H29*'Alternative 3'!$B$39))))</f>
        <v>315284.01606893499</v>
      </c>
      <c r="BJ29" s="78">
        <f>BH29*'Alternative 3'!$K30/'Alternative 3'!$L30</f>
        <v>2427225.7301592059</v>
      </c>
      <c r="BK29" s="78">
        <f>BI29/'Alternative 3'!$M30</f>
        <v>161008.11466587582</v>
      </c>
      <c r="BL29" s="78">
        <f t="shared" si="9"/>
        <v>2.5882338448250817</v>
      </c>
      <c r="BN29" s="78">
        <f>'Alternative 3'!$B$39*$B29*$C29*COS($K$83)-($N$82/3)*$E29*SIN($K$83)-($N$82/3)*$F29*SIN($K$83)-($N$82/3)*$G29*SIN($K$83)</f>
        <v>47103.100343348102</v>
      </c>
      <c r="BO29" s="79">
        <f>IF(($A29&lt;'Alternative 3'!$B$27),(($H29*'Alternative 3'!$B$39)+(3*($N$82/3)*COS($K$83))),IF(($A29&lt;'Alternative 3'!$B$28),(($H29*'Alternative 3'!$B$39)+(2*(($N$82/3)*COS($K$83)))),IF(($A29&lt;'Alternative 3'!$B$29),(($H$3*'Alternative 3'!$B$39+(($N$82/3)*COS($K$83)))),($H29*'Alternative 3'!$B$39))))</f>
        <v>308476.18998899439</v>
      </c>
      <c r="BP29" s="78">
        <f>BN29*'Alternative 3'!$K30/'Alternative 3'!$L30</f>
        <v>1202723.2965905764</v>
      </c>
      <c r="BQ29" s="78">
        <f>BO29/'Alternative 3'!$M30</f>
        <v>157531.51837098229</v>
      </c>
      <c r="BR29" s="78">
        <f t="shared" si="10"/>
        <v>1.3602548149615588</v>
      </c>
      <c r="BT29" s="78">
        <f>'Alternative 3'!$B$39*$B29*$C29*COS($K$93)-($K$92/3)*$E29*SIN($K$93)-($K$92/3)*$F29*SIN($K$93)-($K$92/3)*$G29*SIN($K$93)</f>
        <v>-1.0355620228239244</v>
      </c>
      <c r="BU29" s="79">
        <f>IF(($A29&lt;'Alternative 3'!$B$27),(($H29*'Alternative 3'!$B$39)+(3*($N$92/3)*COS($K$93))),IF(($A29&lt;'Alternative 3'!$B$28),(($H29*'Alternative 3'!$B$39)+(2*(($N$92/3)*COS($K$93)))),IF(($A29&lt;'Alternative 3'!$B$29),(($H$3*'Alternative 3'!$B$39+(($N$92/3)*COS($K$93)))),($H29*'Alternative 3'!$B$39))))</f>
        <v>306119.90662501159</v>
      </c>
      <c r="BV29" s="78">
        <f>BT29*'Alternative 3'!$K30/'Alternative 3'!$L30</f>
        <v>-26.441880913061482</v>
      </c>
      <c r="BW29" s="78">
        <f>BU29/'Alternative 3'!$M30</f>
        <v>156328.22000278818</v>
      </c>
      <c r="BX29" s="78">
        <f t="shared" si="11"/>
        <v>0.1563017781218751</v>
      </c>
      <c r="BZ29" s="77">
        <v>150</v>
      </c>
      <c r="CA29" s="77">
        <v>-150</v>
      </c>
    </row>
    <row r="30" spans="1:79" ht="15" customHeight="1" x14ac:dyDescent="0.25">
      <c r="A30" s="13">
        <f>IF('Alternative 3'!F31&gt;0,'Alternative 3'!F31,"x")</f>
        <v>28</v>
      </c>
      <c r="B30" s="13">
        <f t="shared" si="17"/>
        <v>9</v>
      </c>
      <c r="C30" s="13">
        <f t="shared" si="12"/>
        <v>4.5</v>
      </c>
      <c r="D30" s="13">
        <f t="shared" si="13"/>
        <v>28</v>
      </c>
      <c r="E30" s="74">
        <f>IF($A30&lt;='Alternative 3'!$B$27, IF($A30='Alternative 3'!$B$27,0,E31+1),0)</f>
        <v>0</v>
      </c>
      <c r="F30" s="74">
        <f>IF($A30&lt;=('Alternative 3'!$B$28), IF($A30=ROUNDDOWN('Alternative 3'!$B$28,0),0,F31+1),0)</f>
        <v>0</v>
      </c>
      <c r="G30" s="74">
        <f>IF($A30&lt;=('Alternative 3'!$B$29), IF($A30=ROUNDDOWN('Alternative 3'!$B$29,0),0,G31+1),0)</f>
        <v>1</v>
      </c>
      <c r="H30" s="13">
        <f t="shared" si="14"/>
        <v>9</v>
      </c>
      <c r="J30" s="77">
        <f t="shared" si="15"/>
        <v>27</v>
      </c>
      <c r="K30" s="77">
        <f t="shared" si="16"/>
        <v>0.47123889803846897</v>
      </c>
      <c r="L30" s="78">
        <f>'Alternative 3'!$B$27*SIN(K30)+'Alternative 3'!$B$28*SIN(K30)+'Alternative 3'!$B$29*SIN(K30)</f>
        <v>30.871353982289179</v>
      </c>
      <c r="M30" s="77">
        <f>(('Alternative 3'!$B$27)*(((('Alternative 3'!$B$28-'Alternative 3'!$B$27)/2)+'Alternative 3'!$B$27)*'Alternative 3'!$B$39)*COS('Alternative 3-Tilt Up'!K30))+(('Alternative 3'!$B$28)*((('Alternative 3'!$B$28-'Alternative 3'!$B$27)/2)+(('Alternative 3'!$B$29-'Alternative 3'!$B$28)/2))*('Alternative 3'!$B$39)*COS('Alternative 3-Tilt Up'!K30))+(('Alternative 3'!$B$29)*((('Alternative 3'!$B$12-'Alternative 3'!$B$29+(('Alternative 3'!$B$29-'Alternative 3'!$B$28)/2)*('Alternative 3'!$B$39)*COS('Alternative 3-Tilt Up'!K30)))))</f>
        <v>4228838.4562037447</v>
      </c>
      <c r="N30" s="77">
        <f t="shared" si="0"/>
        <v>410947.81187405833</v>
      </c>
      <c r="O30" s="77">
        <f>(((('Alternative 3'!$B$28-'Alternative 3'!$B$27)/2)+'Alternative 3'!$B$27)*('Alternative 3'!$B$39)*COS('Alternative 3-Tilt Up'!K30))+(((('Alternative 3'!$B$28-'Alternative 3'!$B$27)/2)+(('Alternative 3'!$B$29-'Alternative 3'!$B$28)/2))*('Alternative 3'!$B$39)*COS('Alternative 3-Tilt Up'!K30))+(((('Alternative 3'!$B$12-'Alternative 3'!$B$29)+(('Alternative 3'!$B$29-'Alternative 3'!$B$28)/2))*('Alternative 3'!$B$39)*COS('Alternative 3-Tilt Up'!K30)))</f>
        <v>272754.83398681926</v>
      </c>
      <c r="P30" s="77">
        <f t="shared" si="1"/>
        <v>366157.18148072</v>
      </c>
      <c r="R30" s="78">
        <f>'Alternative 3'!$B$39*$B30*$C30*COS($K$5)-($N$5/3)*$E30*SIN($K$5)-($N$5/3)*$F30*SIN($K$5)-($N$5/3)*$G30*SIN($K$5)</f>
        <v>274421.84999453055</v>
      </c>
      <c r="S30" s="79">
        <f>IF(($A30&lt;'Alternative 3'!$B$27),(($H30*'Alternative 3'!$B$39)+(3*($N$5/3)*COS($K$5))),IF(($A30&lt;'Alternative 3'!$B$28),(($H30*'Alternative 3'!$B$39)+(2*(($N$5/3)*COS($K$5)))),IF(($A30&lt;'Alternative 3'!$B$29),(($H$3*'Alternative 3'!$B$39+(($N$5/3)*COS($K$5)))),($H30*'Alternative 3'!$B$39))))</f>
        <v>2303591.7836996038</v>
      </c>
      <c r="T30" s="78">
        <f>R30*'Alternative 3'!$K31/'Alternative 3'!$L31</f>
        <v>7186956.9661603868</v>
      </c>
      <c r="U30" s="78">
        <f>S30/'Alternative 3'!$M31</f>
        <v>1206594.8252839653</v>
      </c>
      <c r="V30" s="78">
        <f t="shared" si="2"/>
        <v>8.3935517914443523</v>
      </c>
      <c r="X30" s="78">
        <f>'Alternative 3'!$B$39*$B30*$C30*COS($K$13)-($N$12/3)*$E30*SIN($K$13)-($N$12/3)*$F30*SIN($K$13)-($N$12/3)*$G30*SIN($K$13)</f>
        <v>262630.78503891447</v>
      </c>
      <c r="Y30" s="79">
        <f>IF(($A30&lt;'Alternative 3'!$B$27),(($H30*'Alternative 3'!$B$39)+(3*($N$12/3)*COS($K$13))),IF(($A30&lt;'Alternative 3'!$B$28),(($H30*'Alternative 3'!$B$39)+(2*(($N$12/3)*COS($K$13)))),IF(($A30&lt;'Alternative 3'!$B$29),(($H$3*'Alternative 3'!$B$39+(($N$12/3)*COS($K$13)))),($H30*'Alternative 3'!$B$39))))</f>
        <v>740098.46863391146</v>
      </c>
      <c r="Z30" s="78">
        <f>X30*'Alternative 3'!$K31/'Alternative 3'!$L31</f>
        <v>6878155.4752335399</v>
      </c>
      <c r="AA30" s="78">
        <f>Y30/'Alternative 3'!$M31</f>
        <v>387655.04755364888</v>
      </c>
      <c r="AB30" s="78">
        <f t="shared" si="3"/>
        <v>7.2658105227871888</v>
      </c>
      <c r="AD30" s="78">
        <f>'Alternative 3'!$B$39*$B30*$C30*COS($K$23)-($N$22/3)*$E30*SIN($K$23)-($N$22/3)*$F30*SIN($K$23)-($N$22/3)*$G30*SIN($K$23)</f>
        <v>254287.73684646533</v>
      </c>
      <c r="AE30" s="79">
        <f>IF(($A30&lt;'Alternative 3'!$B$27),(($H30*'Alternative 3'!$B$39)+(3*($N$22/3)*COS($K$23))),IF(($A30&lt;'Alternative 3'!$B$28),(($H30*'Alternative 3'!$B$39)+(2*(($N$22/3)*COS($K$23)))),IF(($A30&lt;'Alternative 3'!$B$29),(($H$3*'Alternative 3'!$B$39+(($N$22/3)*COS($K$23)))),($H30*'Alternative 3'!$B$39))))</f>
        <v>496597.59167774895</v>
      </c>
      <c r="AF30" s="78">
        <f>AD30*'Alternative 3'!$K31/'Alternative 3'!$L31</f>
        <v>6659655.6424872428</v>
      </c>
      <c r="AG30" s="78">
        <f>AE30/'Alternative 3'!$M31</f>
        <v>260112.09477598494</v>
      </c>
      <c r="AH30" s="78">
        <f t="shared" si="4"/>
        <v>6.9197677372632276</v>
      </c>
      <c r="AJ30" s="78">
        <f>'Alternative 3'!$B$39*$B30*$C30*COS($K$33)-($N$32/3)*$E30*SIN($K$33)-($N$32/3)*$F30*SIN($K$33)-($N$32/3)*$G30*SIN($K$33)</f>
        <v>235288.24375935085</v>
      </c>
      <c r="AK30" s="79">
        <f>IF(($A30&lt;'Alternative 3'!$B$27),(($H30*'Alternative 3'!$B$39)+(3*($N$32/3)*COS($K$33))),IF(($A30&lt;'Alternative 3'!$B$28),(($H30*'Alternative 3'!$B$39)+(2*(($N$32/3)*COS($K$33)))),IF(($A30&lt;'Alternative 3'!$B$29),(($H$3*'Alternative 3'!$B$39+(($N$32/3)*COS($K$33)))),($H30*'Alternative 3'!$B$39))))</f>
        <v>415166.05643987219</v>
      </c>
      <c r="AL30" s="78">
        <f>AJ30*'Alternative 3'!$K31/'Alternative 3'!$L31</f>
        <v>6162069.3927091183</v>
      </c>
      <c r="AM30" s="78">
        <f>AK30/'Alternative 3'!$M31</f>
        <v>217459.19519186151</v>
      </c>
      <c r="AN30" s="78">
        <f t="shared" si="5"/>
        <v>6.3795285879009791</v>
      </c>
      <c r="AP30" s="78">
        <f>'Alternative 3'!$B$39*$B30*$C30*COS($K$43)-($N$42/3)*$E30*SIN($K$43)-($N$42/3)*$F30*SIN($K$43)-($N$42/3)*$G30*SIN($K$43)</f>
        <v>208411.23107023776</v>
      </c>
      <c r="AQ30" s="79">
        <f>IF(($A30&lt;'Alternative 3'!$B$27),(($H30*'Alternative 3'!$B$39)+(3*($N$42/3)*COS($K$43))),IF(($A30&lt;'Alternative 3'!$B$28),(($H30*'Alternative 3'!$B$39)+(2*(($N$42/3)*COS($K$43)))),IF(($A30&lt;'Alternative 3'!$B$29),(($H$3*'Alternative 3'!$B$39+(($N$42/3)*COS($K$43)))),($H30*'Alternative 3'!$B$39))))</f>
        <v>372146.51651041314</v>
      </c>
      <c r="AR30" s="78">
        <f>AP30*'Alternative 3'!$K31/'Alternative 3'!$L31</f>
        <v>5458175.2473287405</v>
      </c>
      <c r="AS30" s="78">
        <f>AQ30/'Alternative 3'!$M31</f>
        <v>194926.05601664766</v>
      </c>
      <c r="AT30" s="78">
        <f t="shared" si="6"/>
        <v>5.6531013033453874</v>
      </c>
      <c r="AV30" s="78">
        <f>'Alternative 3'!$B$39*$B30*$C30*COS($K$53)-($N$52/3)*$E30*SIN($K$53)-($N$52/3)*$F30*SIN($K$53)-($N$52/3)*$G30*SIN($K$53)</f>
        <v>174887.47848001518</v>
      </c>
      <c r="AW30" s="79">
        <f>IF(($A30&lt;'Alternative 3'!$B$27),(($H30*'Alternative 3'!$B$39)+(3*($N$52/3)*COS($K$53))),IF(($A30&lt;'Alternative 3'!$B$28),(($H30*'Alternative 3'!$B$39)+(2*(($N$52/3)*COS($K$53)))),IF(($A30&lt;'Alternative 3'!$B$29),(($H$3*'Alternative 3'!$B$39+(($N$52/3)*COS($K$53)))),($H30*'Alternative 3'!$B$39))))</f>
        <v>345120.30506969942</v>
      </c>
      <c r="AX30" s="78">
        <f>AV30*'Alternative 3'!$K31/'Alternative 3'!$L31</f>
        <v>4580206.6481995555</v>
      </c>
      <c r="AY30" s="78">
        <f>AW30/'Alternative 3'!$M31</f>
        <v>180770.03796599121</v>
      </c>
      <c r="AZ30" s="78">
        <f t="shared" si="7"/>
        <v>4.7609766861655469</v>
      </c>
      <c r="BB30" s="78">
        <f>'Alternative 3'!$B$39*$B30*$C30*COS($K$63)-($N$62/3)*$E30*SIN($K$63)-($N$62/3)*$F30*SIN($K$63)-($N$62/3)*$G30*SIN($K$63)</f>
        <v>135872.07139585796</v>
      </c>
      <c r="BC30" s="79">
        <f>IF(($A30&lt;'Alternative 3'!$B$27),(($H30*'Alternative 3'!$B$39)+(3*($N$62/3)*COS($K$63))),IF(($A30&lt;'Alternative 3'!$B$28),(($H30*'Alternative 3'!$B$39)+(2*(($N$62/3)*COS($K$63)))),IF(($A30&lt;'Alternative 3'!$B$29),(($H$3*'Alternative 3'!$B$39+(($N$62/3)*COS($K$63)))),($H30*'Alternative 3'!$B$39))))</f>
        <v>327089.4855322786</v>
      </c>
      <c r="BD30" s="78">
        <f>BB30*'Alternative 3'!$K31/'Alternative 3'!$L31</f>
        <v>3558414.645351911</v>
      </c>
      <c r="BE30" s="78">
        <f>BC30/'Alternative 3'!$M31</f>
        <v>171325.70251409936</v>
      </c>
      <c r="BF30" s="78">
        <f t="shared" si="8"/>
        <v>3.7297403478660103</v>
      </c>
      <c r="BH30" s="78">
        <f>'Alternative 3'!$B$39*$B30*$C30*COS($K$73)-($N$72/3)*$E30*SIN($K$73)-($N$72/3)*$F30*SIN($K$73)-($N$72/3)*$G30*SIN($K$73)</f>
        <v>92608.387364477327</v>
      </c>
      <c r="BI30" s="79">
        <f>IF(($A30&lt;'Alternative 3'!$B$27),(($H30*'Alternative 3'!$B$39)+(3*($N$72/3)*COS($K$73))),IF(($A30&lt;'Alternative 3'!$B$28),(($H30*'Alternative 3'!$B$39)+(2*(($N$72/3)*COS($K$73)))),IF(($A30&lt;'Alternative 3'!$B$29),(($H$3*'Alternative 3'!$B$39+(($N$72/3)*COS($K$73)))),($H30*'Alternative 3'!$B$39))))</f>
        <v>315284.01606893499</v>
      </c>
      <c r="BJ30" s="78">
        <f>BH30*'Alternative 3'!$K31/'Alternative 3'!$L31</f>
        <v>2425362.6112763076</v>
      </c>
      <c r="BK30" s="78">
        <f>BI30/'Alternative 3'!$M31</f>
        <v>165142.13367811337</v>
      </c>
      <c r="BL30" s="78">
        <f t="shared" si="9"/>
        <v>2.5905047449544214</v>
      </c>
      <c r="BN30" s="78">
        <f>'Alternative 3'!$B$39*$B30*$C30*COS($K$83)-($N$82/3)*$E30*SIN($K$83)-($N$82/3)*$F30*SIN($K$83)-($N$82/3)*$G30*SIN($K$83)</f>
        <v>46438.662420606401</v>
      </c>
      <c r="BO30" s="79">
        <f>IF(($A30&lt;'Alternative 3'!$B$27),(($H30*'Alternative 3'!$B$39)+(3*($N$82/3)*COS($K$83))),IF(($A30&lt;'Alternative 3'!$B$28),(($H30*'Alternative 3'!$B$39)+(2*(($N$82/3)*COS($K$83)))),IF(($A30&lt;'Alternative 3'!$B$29),(($H$3*'Alternative 3'!$B$39+(($N$82/3)*COS($K$83)))),($H30*'Alternative 3'!$B$39))))</f>
        <v>308476.18998899439</v>
      </c>
      <c r="BP30" s="78">
        <f>BN30*'Alternative 3'!$K31/'Alternative 3'!$L31</f>
        <v>1216202.9677651387</v>
      </c>
      <c r="BQ30" s="78">
        <f>BO30/'Alternative 3'!$M31</f>
        <v>161576.27284390893</v>
      </c>
      <c r="BR30" s="78">
        <f t="shared" si="10"/>
        <v>1.3777792406090477</v>
      </c>
      <c r="BT30" s="78">
        <f>'Alternative 3'!$B$39*$B30*$C30*COS($K$93)-($K$92/3)*$E30*SIN($K$93)-($K$92/3)*$F30*SIN($K$93)-($K$92/3)*$G30*SIN($K$93)</f>
        <v>-0.51778101140388832</v>
      </c>
      <c r="BU30" s="79">
        <f>IF(($A30&lt;'Alternative 3'!$B$27),(($H30*'Alternative 3'!$B$39)+(3*($N$92/3)*COS($K$93))),IF(($A30&lt;'Alternative 3'!$B$28),(($H30*'Alternative 3'!$B$39)+(2*(($N$92/3)*COS($K$93)))),IF(($A30&lt;'Alternative 3'!$B$29),(($H$3*'Alternative 3'!$B$39+(($N$92/3)*COS($K$93)))),($H30*'Alternative 3'!$B$39))))</f>
        <v>306119.90662501159</v>
      </c>
      <c r="BV30" s="78">
        <f>BT30*'Alternative 3'!$K31/'Alternative 3'!$L31</f>
        <v>-13.560399242731268</v>
      </c>
      <c r="BW30" s="78">
        <f>BU30/'Alternative 3'!$M31</f>
        <v>160342.07877619163</v>
      </c>
      <c r="BX30" s="78">
        <f t="shared" si="11"/>
        <v>0.16032851837694889</v>
      </c>
      <c r="BZ30" s="77">
        <v>150</v>
      </c>
      <c r="CA30" s="77">
        <v>-150</v>
      </c>
    </row>
    <row r="31" spans="1:79" ht="15" customHeight="1" x14ac:dyDescent="0.25">
      <c r="A31" s="13">
        <f>IF('Alternative 3'!F32&gt;0,'Alternative 3'!F32,"x")</f>
        <v>29</v>
      </c>
      <c r="B31" s="13">
        <f t="shared" si="17"/>
        <v>8</v>
      </c>
      <c r="C31" s="13">
        <f t="shared" si="12"/>
        <v>4</v>
      </c>
      <c r="D31" s="13">
        <f t="shared" si="13"/>
        <v>29</v>
      </c>
      <c r="E31" s="74">
        <f>IF($A31&lt;='Alternative 3'!$B$27, IF($A31='Alternative 3'!$B$27,0,E32+1),0)</f>
        <v>0</v>
      </c>
      <c r="F31" s="74">
        <f>IF($A31&lt;=('Alternative 3'!$B$28), IF($A31=ROUNDDOWN('Alternative 3'!$B$28,0),0,F32+1),0)</f>
        <v>0</v>
      </c>
      <c r="G31" s="74">
        <f>IF($A31&lt;=('Alternative 3'!$B$29), IF($A31=ROUNDDOWN('Alternative 3'!$B$29,0),0,G32+1),0)</f>
        <v>0</v>
      </c>
      <c r="H31" s="13">
        <f t="shared" si="14"/>
        <v>8</v>
      </c>
      <c r="J31" s="77">
        <f t="shared" si="15"/>
        <v>28</v>
      </c>
      <c r="K31" s="77">
        <f t="shared" si="16"/>
        <v>0.48869219055841229</v>
      </c>
      <c r="L31" s="78">
        <f>'Alternative 3'!$B$27*SIN(K31)+'Alternative 3'!$B$28*SIN(K31)+'Alternative 3'!$B$29*SIN(K31)</f>
        <v>31.924066269440576</v>
      </c>
      <c r="M31" s="77">
        <f>(('Alternative 3'!$B$27)*(((('Alternative 3'!$B$28-'Alternative 3'!$B$27)/2)+'Alternative 3'!$B$27)*'Alternative 3'!$B$39)*COS('Alternative 3-Tilt Up'!K31))+(('Alternative 3'!$B$28)*((('Alternative 3'!$B$28-'Alternative 3'!$B$27)/2)+(('Alternative 3'!$B$29-'Alternative 3'!$B$28)/2))*('Alternative 3'!$B$39)*COS('Alternative 3-Tilt Up'!K31))+(('Alternative 3'!$B$29)*((('Alternative 3'!$B$12-'Alternative 3'!$B$29+(('Alternative 3'!$B$29-'Alternative 3'!$B$28)/2)*('Alternative 3'!$B$39)*COS('Alternative 3-Tilt Up'!K31)))))</f>
        <v>4190591.4386801785</v>
      </c>
      <c r="N31" s="77">
        <f t="shared" si="0"/>
        <v>393802.41257282783</v>
      </c>
      <c r="O31" s="77">
        <f>(((('Alternative 3'!$B$28-'Alternative 3'!$B$27)/2)+'Alternative 3'!$B$27)*('Alternative 3'!$B$39)*COS('Alternative 3-Tilt Up'!K31))+(((('Alternative 3'!$B$28-'Alternative 3'!$B$27)/2)+(('Alternative 3'!$B$29-'Alternative 3'!$B$28)/2))*('Alternative 3'!$B$39)*COS('Alternative 3-Tilt Up'!K31))+(((('Alternative 3'!$B$12-'Alternative 3'!$B$29)+(('Alternative 3'!$B$29-'Alternative 3'!$B$28)/2))*('Alternative 3'!$B$39)*COS('Alternative 3-Tilt Up'!K31)))</f>
        <v>270287.83468075341</v>
      </c>
      <c r="P31" s="77">
        <f t="shared" si="1"/>
        <v>347706.8922432164</v>
      </c>
      <c r="R31" s="78">
        <f>'Alternative 3'!$B$39*$B31*$C31*COS($K$5)-($N$5/3)*$E31*SIN($K$5)-($N$5/3)*$F31*SIN($K$5)-($N$5/3)*$G31*SIN($K$5)</f>
        <v>271940.82368798106</v>
      </c>
      <c r="S31" s="79">
        <f>IF(($A31&lt;'Alternative 3'!$B$27),(($H31*'Alternative 3'!$B$39)+(3*($N$5/3)*COS($K$5))),IF(($A31&lt;'Alternative 3'!$B$28),(($H31*'Alternative 3'!$B$39)+(2*(($N$5/3)*COS($K$5)))),IF(($A31&lt;'Alternative 3'!$B$29),(($H$3*'Alternative 3'!$B$39+(($N$5/3)*COS($K$5)))),($H31*'Alternative 3'!$B$39))))</f>
        <v>2303591.7836996038</v>
      </c>
      <c r="T31" s="78">
        <f>R31*'Alternative 3'!$K32/'Alternative 3'!$L32</f>
        <v>7307221.1098649828</v>
      </c>
      <c r="U31" s="78">
        <f>S31/'Alternative 3'!$M32</f>
        <v>1237978.0430087</v>
      </c>
      <c r="V31" s="78">
        <f t="shared" si="2"/>
        <v>8.5451991528736837</v>
      </c>
      <c r="X31" s="78">
        <f>'Alternative 3'!$B$39*$B31*$C31*COS($K$13)-($N$12/3)*$E31*SIN($K$13)-($N$12/3)*$F31*SIN($K$13)-($N$12/3)*$G31*SIN($K$13)</f>
        <v>267972.67324060854</v>
      </c>
      <c r="Y31" s="79">
        <f>IF(($A31&lt;'Alternative 3'!$B$27),(($H31*'Alternative 3'!$B$39)+(3*($N$12/3)*COS($K$13))),IF(($A31&lt;'Alternative 3'!$B$28),(($H31*'Alternative 3'!$B$39)+(2*(($N$12/3)*COS($K$13)))),IF(($A31&lt;'Alternative 3'!$B$29),(($H$3*'Alternative 3'!$B$39+(($N$12/3)*COS($K$13)))),($H31*'Alternative 3'!$B$39))))</f>
        <v>740098.46863391146</v>
      </c>
      <c r="Z31" s="78">
        <f>X31*'Alternative 3'!$K32/'Alternative 3'!$L32</f>
        <v>7200594.4095302438</v>
      </c>
      <c r="AA31" s="78">
        <f>Y31/'Alternative 3'!$M32</f>
        <v>397737.85456105118</v>
      </c>
      <c r="AB31" s="78">
        <f t="shared" si="3"/>
        <v>7.5983322640912956</v>
      </c>
      <c r="AD31" s="78">
        <f>'Alternative 3'!$B$39*$B31*$C31*COS($K$23)-($N$22/3)*$E31*SIN($K$23)-($N$22/3)*$F31*SIN($K$23)-($N$22/3)*$G31*SIN($K$23)</f>
        <v>255696.54873883972</v>
      </c>
      <c r="AE31" s="79">
        <f>IF(($A31&lt;'Alternative 3'!$B$27),(($H31*'Alternative 3'!$B$39)+(3*($N$22/3)*COS($K$23))),IF(($A31&lt;'Alternative 3'!$B$28),(($H31*'Alternative 3'!$B$39)+(2*(($N$22/3)*COS($K$23)))),IF(($A31&lt;'Alternative 3'!$B$29),(($H$3*'Alternative 3'!$B$39+(($N$22/3)*COS($K$23)))),($H31*'Alternative 3'!$B$39))))</f>
        <v>496597.59167774895</v>
      </c>
      <c r="AF31" s="78">
        <f>AD31*'Alternative 3'!$K32/'Alternative 3'!$L32</f>
        <v>6870727.2167707598</v>
      </c>
      <c r="AG31" s="78">
        <f>AE31/'Alternative 3'!$M32</f>
        <v>266877.54273924005</v>
      </c>
      <c r="AH31" s="78">
        <f t="shared" si="4"/>
        <v>7.1376047595100003</v>
      </c>
      <c r="AJ31" s="78">
        <f>'Alternative 3'!$B$39*$B31*$C31*COS($K$33)-($N$32/3)*$E31*SIN($K$33)-($N$32/3)*$F31*SIN($K$33)-($N$32/3)*$G31*SIN($K$33)</f>
        <v>235651.21399233805</v>
      </c>
      <c r="AK31" s="79">
        <f>IF(($A31&lt;'Alternative 3'!$B$27),(($H31*'Alternative 3'!$B$39)+(3*($N$32/3)*COS($K$33))),IF(($A31&lt;'Alternative 3'!$B$28),(($H31*'Alternative 3'!$B$39)+(2*(($N$32/3)*COS($K$33)))),IF(($A31&lt;'Alternative 3'!$B$29),(($H$3*'Alternative 3'!$B$39+(($N$32/3)*COS($K$33)))),($H31*'Alternative 3'!$B$39))))</f>
        <v>415166.05643987219</v>
      </c>
      <c r="AL31" s="78">
        <f>AJ31*'Alternative 3'!$K32/'Alternative 3'!$L32</f>
        <v>6332096.454285427</v>
      </c>
      <c r="AM31" s="78">
        <f>AK31/'Alternative 3'!$M32</f>
        <v>223115.25232549425</v>
      </c>
      <c r="AN31" s="78">
        <f t="shared" si="5"/>
        <v>6.5552117066109208</v>
      </c>
      <c r="AP31" s="78">
        <f>'Alternative 3'!$B$39*$B31*$C31*COS($K$43)-($N$42/3)*$E31*SIN($K$43)-($N$42/3)*$F31*SIN($K$43)-($N$42/3)*$G31*SIN($K$43)</f>
        <v>208445.73635394714</v>
      </c>
      <c r="AQ31" s="79">
        <f>IF(($A31&lt;'Alternative 3'!$B$27),(($H31*'Alternative 3'!$B$39)+(3*($N$42/3)*COS($K$43))),IF(($A31&lt;'Alternative 3'!$B$28),(($H31*'Alternative 3'!$B$39)+(2*(($N$42/3)*COS($K$43)))),IF(($A31&lt;'Alternative 3'!$B$29),(($H$3*'Alternative 3'!$B$39+(($N$42/3)*COS($K$43)))),($H31*'Alternative 3'!$B$39))))</f>
        <v>372146.51651041314</v>
      </c>
      <c r="AR31" s="78">
        <f>AP31*'Alternative 3'!$K32/'Alternative 3'!$L32</f>
        <v>5601068.1452320404</v>
      </c>
      <c r="AS31" s="78">
        <f>AQ31/'Alternative 3'!$M32</f>
        <v>199996.03205831899</v>
      </c>
      <c r="AT31" s="78">
        <f t="shared" si="6"/>
        <v>5.8010641772903595</v>
      </c>
      <c r="AV31" s="78">
        <f>'Alternative 3'!$B$39*$B31*$C31*COS($K$53)-($N$52/3)*$E31*SIN($K$53)-($N$52/3)*$F31*SIN($K$53)-($N$52/3)*$G31*SIN($K$53)</f>
        <v>174906.74049507361</v>
      </c>
      <c r="AW31" s="79">
        <f>IF(($A31&lt;'Alternative 3'!$B$27),(($H31*'Alternative 3'!$B$39)+(3*($N$52/3)*COS($K$53))),IF(($A31&lt;'Alternative 3'!$B$28),(($H31*'Alternative 3'!$B$39)+(2*(($N$52/3)*COS($K$53)))),IF(($A31&lt;'Alternative 3'!$B$29),(($H$3*'Alternative 3'!$B$39+(($N$52/3)*COS($K$53)))),($H31*'Alternative 3'!$B$39))))</f>
        <v>345120.30506969942</v>
      </c>
      <c r="AX31" s="78">
        <f>AV31*'Alternative 3'!$K32/'Alternative 3'!$L32</f>
        <v>4699854.2148630172</v>
      </c>
      <c r="AY31" s="78">
        <f>AW31/'Alternative 3'!$M32</f>
        <v>185471.81965833364</v>
      </c>
      <c r="AZ31" s="78">
        <f t="shared" si="7"/>
        <v>4.8853260345213503</v>
      </c>
      <c r="BB31" s="78">
        <f>'Alternative 3'!$B$39*$B31*$C31*COS($K$63)-($N$62/3)*$E31*SIN($K$63)-($N$62/3)*$F31*SIN($K$63)-($N$62/3)*$G31*SIN($K$63)</f>
        <v>136053.2918333385</v>
      </c>
      <c r="BC31" s="79">
        <f>IF(($A31&lt;'Alternative 3'!$B$27),(($H31*'Alternative 3'!$B$39)+(3*($N$62/3)*COS($K$63))),IF(($A31&lt;'Alternative 3'!$B$28),(($H31*'Alternative 3'!$B$39)+(2*(($N$62/3)*COS($K$63)))),IF(($A31&lt;'Alternative 3'!$B$29),(($H$3*'Alternative 3'!$B$39+(($N$62/3)*COS($K$63)))),($H31*'Alternative 3'!$B$39))))</f>
        <v>327089.4855322786</v>
      </c>
      <c r="BD31" s="78">
        <f>BB31*'Alternative 3'!$K32/'Alternative 3'!$L32</f>
        <v>3655837.5924163666</v>
      </c>
      <c r="BE31" s="78">
        <f>BC31/'Alternative 3'!$M32</f>
        <v>175781.83949660108</v>
      </c>
      <c r="BF31" s="78">
        <f t="shared" si="8"/>
        <v>3.8316194319129675</v>
      </c>
      <c r="BH31" s="78">
        <f>'Alternative 3'!$B$39*$B31*$C31*COS($K$73)-($N$72/3)*$E31*SIN($K$73)-($N$72/3)*$F31*SIN($K$73)-($N$72/3)*$G31*SIN($K$73)</f>
        <v>93065.932745534941</v>
      </c>
      <c r="BI31" s="79">
        <f>IF(($A31&lt;'Alternative 3'!$B$27),(($H31*'Alternative 3'!$B$39)+(3*($N$72/3)*COS($K$73))),IF(($A31&lt;'Alternative 3'!$B$28),(($H31*'Alternative 3'!$B$39)+(2*(($N$72/3)*COS($K$73)))),IF(($A31&lt;'Alternative 3'!$B$29),(($H$3*'Alternative 3'!$B$39+(($N$72/3)*COS($K$73)))),($H31*'Alternative 3'!$B$39))))</f>
        <v>315284.01606893499</v>
      </c>
      <c r="BJ31" s="78">
        <f>BH31*'Alternative 3'!$K32/'Alternative 3'!$L32</f>
        <v>2500740.1946672266</v>
      </c>
      <c r="BK31" s="78">
        <f>BI31/'Alternative 3'!$M32</f>
        <v>169437.43764274602</v>
      </c>
      <c r="BL31" s="78">
        <f t="shared" si="9"/>
        <v>2.6701776323099726</v>
      </c>
      <c r="BN31" s="78">
        <f>'Alternative 3'!$B$39*$B31*$C31*COS($K$83)-($N$82/3)*$E31*SIN($K$83)-($N$82/3)*$F31*SIN($K$83)-($N$82/3)*$G31*SIN($K$83)</f>
        <v>47250.812384892582</v>
      </c>
      <c r="BO31" s="79">
        <f>IF(($A31&lt;'Alternative 3'!$B$27),(($H31*'Alternative 3'!$B$39)+(3*($N$82/3)*COS($K$83))),IF(($A31&lt;'Alternative 3'!$B$28),(($H31*'Alternative 3'!$B$39)+(2*(($N$82/3)*COS($K$83)))),IF(($A31&lt;'Alternative 3'!$B$29),(($H$3*'Alternative 3'!$B$39+(($N$82/3)*COS($K$83)))),($H31*'Alternative 3'!$B$39))))</f>
        <v>308476.18998899439</v>
      </c>
      <c r="BP31" s="78">
        <f>BN31*'Alternative 3'!$K32/'Alternative 3'!$L32</f>
        <v>1269659.0715387203</v>
      </c>
      <c r="BQ31" s="78">
        <f>BO31/'Alternative 3'!$M32</f>
        <v>165778.82969526798</v>
      </c>
      <c r="BR31" s="78">
        <f t="shared" si="10"/>
        <v>1.4354379012339884</v>
      </c>
      <c r="BT31" s="78">
        <f>'Alternative 3'!$B$39*$B31*$C31*COS($K$93)-($K$92/3)*$E31*SIN($K$93)-($K$92/3)*$F31*SIN($K$93)-($K$92/3)*$G31*SIN($K$93)</f>
        <v>1.6668548027484621E-11</v>
      </c>
      <c r="BU31" s="79">
        <f>IF(($A31&lt;'Alternative 3'!$B$27),(($H31*'Alternative 3'!$B$39)+(3*($N$92/3)*COS($K$93))),IF(($A31&lt;'Alternative 3'!$B$28),(($H31*'Alternative 3'!$B$39)+(2*(($N$92/3)*COS($K$93)))),IF(($A31&lt;'Alternative 3'!$B$29),(($H$3*'Alternative 3'!$B$39+(($N$92/3)*COS($K$93)))),($H31*'Alternative 3'!$B$39))))</f>
        <v>306119.90662501159</v>
      </c>
      <c r="BV31" s="78">
        <f>BT31*'Alternative 3'!$K32/'Alternative 3'!$L32</f>
        <v>4.4789437777457599E-10</v>
      </c>
      <c r="BW31" s="78">
        <f>BU31/'Alternative 3'!$M32</f>
        <v>164512.5345607053</v>
      </c>
      <c r="BX31" s="78">
        <f t="shared" si="11"/>
        <v>0.16451253456070575</v>
      </c>
      <c r="BZ31" s="77">
        <v>150</v>
      </c>
      <c r="CA31" s="77">
        <v>-150</v>
      </c>
    </row>
    <row r="32" spans="1:79" ht="15" customHeight="1" x14ac:dyDescent="0.25">
      <c r="A32" s="13">
        <f>IF('Alternative 3'!F33&gt;0,'Alternative 3'!F33,"x")</f>
        <v>30</v>
      </c>
      <c r="B32" s="13">
        <f t="shared" si="17"/>
        <v>7</v>
      </c>
      <c r="C32" s="13">
        <f t="shared" si="12"/>
        <v>3.5</v>
      </c>
      <c r="D32" s="13">
        <f t="shared" si="13"/>
        <v>30</v>
      </c>
      <c r="E32" s="74">
        <f>IF($A32&lt;='Alternative 3'!$B$27, IF($A32='Alternative 3'!$B$27,0,E33+1),0)</f>
        <v>0</v>
      </c>
      <c r="F32" s="74">
        <f>IF($A32&lt;=('Alternative 3'!$B$28), IF($A32=ROUNDDOWN('Alternative 3'!$B$28,0),0,F33+1),0)</f>
        <v>0</v>
      </c>
      <c r="G32" s="74">
        <f>IF($A32&lt;=('Alternative 3'!$B$29), IF($A32=ROUNDDOWN('Alternative 3'!$B$29,0),0,G33+1),0)</f>
        <v>0</v>
      </c>
      <c r="H32" s="13">
        <f t="shared" si="14"/>
        <v>7</v>
      </c>
      <c r="J32" s="77">
        <f t="shared" si="15"/>
        <v>29</v>
      </c>
      <c r="K32" s="77">
        <f t="shared" si="16"/>
        <v>0.50614548307835561</v>
      </c>
      <c r="L32" s="78">
        <f>'Alternative 3'!$B$27*SIN(K32)+'Alternative 3'!$B$28*SIN(K32)+'Alternative 3'!$B$29*SIN(K32)</f>
        <v>32.967054176750921</v>
      </c>
      <c r="M32" s="77">
        <f>(('Alternative 3'!$B$27)*(((('Alternative 3'!$B$28-'Alternative 3'!$B$27)/2)+'Alternative 3'!$B$27)*'Alternative 3'!$B$39)*COS('Alternative 3-Tilt Up'!K32))+(('Alternative 3'!$B$28)*((('Alternative 3'!$B$28-'Alternative 3'!$B$27)/2)+(('Alternative 3'!$B$29-'Alternative 3'!$B$28)/2))*('Alternative 3'!$B$39)*COS('Alternative 3-Tilt Up'!K32))+(('Alternative 3'!$B$29)*((('Alternative 3'!$B$12-'Alternative 3'!$B$29+(('Alternative 3'!$B$29-'Alternative 3'!$B$28)/2)*('Alternative 3'!$B$39)*COS('Alternative 3-Tilt Up'!K32)))))</f>
        <v>4151067.9860003474</v>
      </c>
      <c r="N32" s="82">
        <f t="shared" si="0"/>
        <v>377746.94369821221</v>
      </c>
      <c r="O32" s="77">
        <f>(((('Alternative 3'!$B$28-'Alternative 3'!$B$27)/2)+'Alternative 3'!$B$27)*('Alternative 3'!$B$39)*COS('Alternative 3-Tilt Up'!K32))+(((('Alternative 3'!$B$28-'Alternative 3'!$B$27)/2)+(('Alternative 3'!$B$29-'Alternative 3'!$B$28)/2))*('Alternative 3'!$B$39)*COS('Alternative 3-Tilt Up'!K32))+(((('Alternative 3'!$B$12-'Alternative 3'!$B$29)+(('Alternative 3'!$B$29-'Alternative 3'!$B$28)/2))*('Alternative 3'!$B$39)*COS('Alternative 3-Tilt Up'!K32)))</f>
        <v>267738.50308190676</v>
      </c>
      <c r="P32" s="77">
        <f t="shared" si="1"/>
        <v>330384.92127013218</v>
      </c>
      <c r="R32" s="78">
        <f>'Alternative 3'!$B$39*$B32*$C32*COS($K$5)-($N$5/3)*$E32*SIN($K$5)-($N$5/3)*$F32*SIN($K$5)-($N$5/3)*$G32*SIN($K$5)</f>
        <v>208204.69313611049</v>
      </c>
      <c r="S32" s="79">
        <f>IF(($A32&lt;'Alternative 3'!$B$27),(($H32*'Alternative 3'!$B$39)+(3*($N$5/3)*COS($K$5))),IF(($A32&lt;'Alternative 3'!$B$28),(($H32*'Alternative 3'!$B$39)+(2*(($N$5/3)*COS($K$5)))),IF(($A32&lt;'Alternative 3'!$B$29),(($H$3*'Alternative 3'!$B$39+(($N$5/3)*COS($K$5)))),($H32*'Alternative 3'!$B$39))))</f>
        <v>59523.315177085584</v>
      </c>
      <c r="T32" s="78">
        <f>R32*'Alternative 3'!$K33/'Alternative 3'!$L33</f>
        <v>5742022.2662431486</v>
      </c>
      <c r="U32" s="78">
        <f>S32/'Alternative 3'!$M33</f>
        <v>32831.524552058392</v>
      </c>
      <c r="V32" s="78">
        <f t="shared" si="2"/>
        <v>5.7748537907952073</v>
      </c>
      <c r="X32" s="78">
        <f>'Alternative 3'!$B$39*$B32*$C32*COS($K$13)-($N$12/3)*$E32*SIN($K$13)-($N$12/3)*$F32*SIN($K$13)-($N$12/3)*$G32*SIN($K$13)</f>
        <v>205166.5779498409</v>
      </c>
      <c r="Y32" s="79">
        <f>IF(($A32&lt;'Alternative 3'!$B$27),(($H32*'Alternative 3'!$B$39)+(3*($N$12/3)*COS($K$13))),IF(($A32&lt;'Alternative 3'!$B$28),(($H32*'Alternative 3'!$B$39)+(2*(($N$12/3)*COS($K$13)))),IF(($A32&lt;'Alternative 3'!$B$29),(($H$3*'Alternative 3'!$B$39+(($N$12/3)*COS($K$13)))),($H32*'Alternative 3'!$B$39))))</f>
        <v>59523.315177085584</v>
      </c>
      <c r="Z32" s="78">
        <f>X32*'Alternative 3'!$K33/'Alternative 3'!$L33</f>
        <v>5658234.8895793241</v>
      </c>
      <c r="AA32" s="78">
        <f>Y32/'Alternative 3'!$M33</f>
        <v>32831.524552058392</v>
      </c>
      <c r="AB32" s="78">
        <f t="shared" si="3"/>
        <v>5.6910664141313827</v>
      </c>
      <c r="AD32" s="78">
        <f>'Alternative 3'!$B$39*$B32*$C32*COS($K$23)-($N$22/3)*$E32*SIN($K$23)-($N$22/3)*$F32*SIN($K$23)-($N$22/3)*$G32*SIN($K$23)</f>
        <v>195767.67012817418</v>
      </c>
      <c r="AE32" s="79">
        <f>IF(($A32&lt;'Alternative 3'!$B$27),(($H32*'Alternative 3'!$B$39)+(3*($N$22/3)*COS($K$23))),IF(($A32&lt;'Alternative 3'!$B$28),(($H32*'Alternative 3'!$B$39)+(2*(($N$22/3)*COS($K$23)))),IF(($A32&lt;'Alternative 3'!$B$29),(($H$3*'Alternative 3'!$B$39+(($N$22/3)*COS($K$23)))),($H32*'Alternative 3'!$B$39))))</f>
        <v>59523.315177085584</v>
      </c>
      <c r="AF32" s="78">
        <f>AD32*'Alternative 3'!$K33/'Alternative 3'!$L33</f>
        <v>5399024.8920645416</v>
      </c>
      <c r="AG32" s="78">
        <f>AE32/'Alternative 3'!$M33</f>
        <v>32831.524552058392</v>
      </c>
      <c r="AH32" s="78">
        <f t="shared" si="4"/>
        <v>5.4318564166165997</v>
      </c>
      <c r="AJ32" s="78">
        <f>'Alternative 3'!$B$39*$B32*$C32*COS($K$33)-($N$32/3)*$E32*SIN($K$33)-($N$32/3)*$F32*SIN($K$33)-($N$32/3)*$G32*SIN($K$33)</f>
        <v>180420.46071288383</v>
      </c>
      <c r="AK32" s="79">
        <f>IF(($A32&lt;'Alternative 3'!$B$27),(($H32*'Alternative 3'!$B$39)+(3*($N$32/3)*COS($K$33))),IF(($A32&lt;'Alternative 3'!$B$28),(($H32*'Alternative 3'!$B$39)+(2*(($N$32/3)*COS($K$33)))),IF(($A32&lt;'Alternative 3'!$B$29),(($H$3*'Alternative 3'!$B$39+(($N$32/3)*COS($K$33)))),($H32*'Alternative 3'!$B$39))))</f>
        <v>59523.315177085584</v>
      </c>
      <c r="AL32" s="78">
        <f>AJ32*'Alternative 3'!$K33/'Alternative 3'!$L33</f>
        <v>4975768.2552427957</v>
      </c>
      <c r="AM32" s="78">
        <f>AK32/'Alternative 3'!$M33</f>
        <v>32831.524552058392</v>
      </c>
      <c r="AN32" s="78">
        <f t="shared" si="5"/>
        <v>5.0085997797948538</v>
      </c>
      <c r="AP32" s="78">
        <f>'Alternative 3'!$B$39*$B32*$C32*COS($K$43)-($N$42/3)*$E32*SIN($K$43)-($N$42/3)*$F32*SIN($K$43)-($N$42/3)*$G32*SIN($K$43)</f>
        <v>159591.26689599079</v>
      </c>
      <c r="AQ32" s="79">
        <f>IF(($A32&lt;'Alternative 3'!$B$27),(($H32*'Alternative 3'!$B$39)+(3*($N$42/3)*COS($K$43))),IF(($A32&lt;'Alternative 3'!$B$28),(($H32*'Alternative 3'!$B$39)+(2*(($N$42/3)*COS($K$43)))),IF(($A32&lt;'Alternative 3'!$B$29),(($H$3*'Alternative 3'!$B$39+(($N$42/3)*COS($K$43)))),($H32*'Alternative 3'!$B$39))))</f>
        <v>59523.315177085584</v>
      </c>
      <c r="AR32" s="78">
        <f>AP32*'Alternative 3'!$K33/'Alternative 3'!$L33</f>
        <v>4401325.4178457242</v>
      </c>
      <c r="AS32" s="78">
        <f>AQ32/'Alternative 3'!$M33</f>
        <v>32831.524552058392</v>
      </c>
      <c r="AT32" s="78">
        <f t="shared" si="6"/>
        <v>4.4341569423977827</v>
      </c>
      <c r="AV32" s="78">
        <f>'Alternative 3'!$B$39*$B32*$C32*COS($K$53)-($N$52/3)*$E32*SIN($K$53)-($N$52/3)*$F32*SIN($K$53)-($N$52/3)*$G32*SIN($K$53)</f>
        <v>133912.97319154075</v>
      </c>
      <c r="AW32" s="79">
        <f>IF(($A32&lt;'Alternative 3'!$B$27),(($H32*'Alternative 3'!$B$39)+(3*($N$52/3)*COS($K$53))),IF(($A32&lt;'Alternative 3'!$B$28),(($H32*'Alternative 3'!$B$39)+(2*(($N$52/3)*COS($K$53)))),IF(($A32&lt;'Alternative 3'!$B$29),(($H$3*'Alternative 3'!$B$39+(($N$52/3)*COS($K$53)))),($H32*'Alternative 3'!$B$39))))</f>
        <v>59523.315177085584</v>
      </c>
      <c r="AX32" s="78">
        <f>AV32*'Alternative 3'!$K33/'Alternative 3'!$L33</f>
        <v>3693150.5348055358</v>
      </c>
      <c r="AY32" s="78">
        <f>AW32/'Alternative 3'!$M33</f>
        <v>32831.524552058392</v>
      </c>
      <c r="AZ32" s="78">
        <f t="shared" si="7"/>
        <v>3.7259820593575941</v>
      </c>
      <c r="BB32" s="78">
        <f>'Alternative 3'!$B$39*$B32*$C32*COS($K$63)-($N$62/3)*$E32*SIN($K$63)-($N$62/3)*$F32*SIN($K$63)-($N$62/3)*$G32*SIN($K$63)</f>
        <v>104165.8015598998</v>
      </c>
      <c r="BC32" s="79">
        <f>IF(($A32&lt;'Alternative 3'!$B$27),(($H32*'Alternative 3'!$B$39)+(3*($N$62/3)*COS($K$63))),IF(($A32&lt;'Alternative 3'!$B$28),(($H32*'Alternative 3'!$B$39)+(2*(($N$62/3)*COS($K$63)))),IF(($A32&lt;'Alternative 3'!$B$29),(($H$3*'Alternative 3'!$B$39+(($N$62/3)*COS($K$63)))),($H32*'Alternative 3'!$B$39))))</f>
        <v>59523.315177085584</v>
      </c>
      <c r="BD32" s="78">
        <f>BB32*'Alternative 3'!$K33/'Alternative 3'!$L33</f>
        <v>2872761.1415896234</v>
      </c>
      <c r="BE32" s="78">
        <f>BC32/'Alternative 3'!$M33</f>
        <v>32831.524552058392</v>
      </c>
      <c r="BF32" s="78">
        <f t="shared" si="8"/>
        <v>2.9055926661416818</v>
      </c>
      <c r="BH32" s="78">
        <f>'Alternative 3'!$B$39*$B32*$C32*COS($K$73)-($N$72/3)*$E32*SIN($K$73)-($N$72/3)*$F32*SIN($K$73)-($N$72/3)*$G32*SIN($K$73)</f>
        <v>71253.604758300193</v>
      </c>
      <c r="BI32" s="79">
        <f>IF(($A32&lt;'Alternative 3'!$B$27),(($H32*'Alternative 3'!$B$39)+(3*($N$72/3)*COS($K$73))),IF(($A32&lt;'Alternative 3'!$B$28),(($H32*'Alternative 3'!$B$39)+(2*(($N$72/3)*COS($K$73)))),IF(($A32&lt;'Alternative 3'!$B$29),(($H$3*'Alternative 3'!$B$39+(($N$72/3)*COS($K$73)))),($H32*'Alternative 3'!$B$39))))</f>
        <v>59523.315177085584</v>
      </c>
      <c r="BJ32" s="78">
        <f>BH32*'Alternative 3'!$K33/'Alternative 3'!$L33</f>
        <v>1965084.3547737894</v>
      </c>
      <c r="BK32" s="78">
        <f>BI32/'Alternative 3'!$M33</f>
        <v>32831.524552058392</v>
      </c>
      <c r="BL32" s="78">
        <f t="shared" si="9"/>
        <v>1.9979158793258478</v>
      </c>
      <c r="BN32" s="78">
        <f>'Alternative 3'!$B$39*$B32*$C32*COS($K$83)-($N$82/3)*$E32*SIN($K$83)-($N$82/3)*$F32*SIN($K$83)-($N$82/3)*$G32*SIN($K$83)</f>
        <v>36176.403232183387</v>
      </c>
      <c r="BO32" s="79">
        <f>IF(($A32&lt;'Alternative 3'!$B$27),(($H32*'Alternative 3'!$B$39)+(3*($N$82/3)*COS($K$83))),IF(($A32&lt;'Alternative 3'!$B$28),(($H32*'Alternative 3'!$B$39)+(2*(($N$82/3)*COS($K$83)))),IF(($A32&lt;'Alternative 3'!$B$29),(($H$3*'Alternative 3'!$B$39+(($N$82/3)*COS($K$83)))),($H32*'Alternative 3'!$B$39))))</f>
        <v>59523.315177085584</v>
      </c>
      <c r="BP32" s="78">
        <f>BN32*'Alternative 3'!$K33/'Alternative 3'!$L33</f>
        <v>997699.47421881731</v>
      </c>
      <c r="BQ32" s="78">
        <f>BO32/'Alternative 3'!$M33</f>
        <v>32831.524552058392</v>
      </c>
      <c r="BR32" s="78">
        <f t="shared" si="10"/>
        <v>1.0305309987708757</v>
      </c>
      <c r="BT32" s="78">
        <f>'Alternative 3'!$B$39*$B32*$C32*COS($K$93)-($K$92/3)*$E32*SIN($K$93)-($K$92/3)*$F32*SIN($K$93)-($K$92/3)*$G32*SIN($K$93)</f>
        <v>1.2761857083542913E-11</v>
      </c>
      <c r="BU32" s="79">
        <f>IF(($A32&lt;'Alternative 3'!$B$27),(($H32*'Alternative 3'!$B$39)+(3*($N$92/3)*COS($K$93))),IF(($A32&lt;'Alternative 3'!$B$28),(($H32*'Alternative 3'!$B$39)+(2*(($N$92/3)*COS($K$93)))),IF(($A32&lt;'Alternative 3'!$B$29),(($H$3*'Alternative 3'!$B$39+(($N$92/3)*COS($K$93)))),($H32*'Alternative 3'!$B$39))))</f>
        <v>59523.315177085584</v>
      </c>
      <c r="BV32" s="78">
        <f>BT32*'Alternative 3'!$K33/'Alternative 3'!$L33</f>
        <v>3.5195588739400495E-10</v>
      </c>
      <c r="BW32" s="78">
        <f>BU32/'Alternative 3'!$M33</f>
        <v>32831.524552058392</v>
      </c>
      <c r="BX32" s="78">
        <f t="shared" si="11"/>
        <v>3.283152455205874E-2</v>
      </c>
      <c r="BZ32" s="77">
        <v>150</v>
      </c>
      <c r="CA32" s="77">
        <v>-150</v>
      </c>
    </row>
    <row r="33" spans="1:79" ht="15" customHeight="1" x14ac:dyDescent="0.25">
      <c r="A33" s="13">
        <f>IF('Alternative 3'!F34&gt;0,'Alternative 3'!F34,"x")</f>
        <v>31</v>
      </c>
      <c r="B33" s="13">
        <f t="shared" si="17"/>
        <v>6</v>
      </c>
      <c r="C33" s="13">
        <f t="shared" si="12"/>
        <v>3</v>
      </c>
      <c r="D33" s="13">
        <f t="shared" si="13"/>
        <v>31</v>
      </c>
      <c r="E33" s="74">
        <f>IF($A33&lt;='Alternative 3'!$B$27, IF($A33='Alternative 3'!$B$27,0,E34+1),0)</f>
        <v>0</v>
      </c>
      <c r="F33" s="74">
        <f>IF($A33&lt;=('Alternative 3'!$B$28), IF($A33=ROUNDDOWN('Alternative 3'!$B$28,0),0,F34+1),0)</f>
        <v>0</v>
      </c>
      <c r="G33" s="74">
        <f>IF($A33&lt;=('Alternative 3'!$B$29), IF($A33=ROUNDDOWN('Alternative 3'!$B$29,0),0,G34+1),0)</f>
        <v>0</v>
      </c>
      <c r="H33" s="13">
        <f t="shared" si="14"/>
        <v>6</v>
      </c>
      <c r="J33" s="77">
        <f t="shared" si="15"/>
        <v>30</v>
      </c>
      <c r="K33" s="82">
        <f t="shared" si="16"/>
        <v>0.52359877559829882</v>
      </c>
      <c r="L33" s="78">
        <f>'Alternative 3'!$B$27*SIN(K33)+'Alternative 3'!$B$28*SIN(K33)+'Alternative 3'!$B$29*SIN(K33)</f>
        <v>33.999999999999993</v>
      </c>
      <c r="M33" s="77">
        <f>(('Alternative 3'!$B$27)*(((('Alternative 3'!$B$28-'Alternative 3'!$B$27)/2)+'Alternative 3'!$B$27)*'Alternative 3'!$B$39)*COS('Alternative 3-Tilt Up'!K33))+(('Alternative 3'!$B$28)*((('Alternative 3'!$B$28-'Alternative 3'!$B$27)/2)+(('Alternative 3'!$B$29-'Alternative 3'!$B$28)/2))*('Alternative 3'!$B$39)*COS('Alternative 3-Tilt Up'!K33))+(('Alternative 3'!$B$29)*((('Alternative 3'!$B$12-'Alternative 3'!$B$29+(('Alternative 3'!$B$29-'Alternative 3'!$B$28)/2)*('Alternative 3'!$B$39)*COS('Alternative 3-Tilt Up'!K33)))))</f>
        <v>4110280.1373908115</v>
      </c>
      <c r="N33" s="77">
        <f t="shared" si="0"/>
        <v>362671.77682860108</v>
      </c>
      <c r="O33" s="77">
        <f>(((('Alternative 3'!$B$28-'Alternative 3'!$B$27)/2)+'Alternative 3'!$B$27)*('Alternative 3'!$B$39)*COS('Alternative 3-Tilt Up'!K33))+(((('Alternative 3'!$B$28-'Alternative 3'!$B$27)/2)+(('Alternative 3'!$B$29-'Alternative 3'!$B$28)/2))*('Alternative 3'!$B$39)*COS('Alternative 3-Tilt Up'!K33))+(((('Alternative 3'!$B$12-'Alternative 3'!$B$29)+(('Alternative 3'!$B$29-'Alternative 3'!$B$28)/2))*('Alternative 3'!$B$39)*COS('Alternative 3-Tilt Up'!K33)))</f>
        <v>265107.61574138032</v>
      </c>
      <c r="P33" s="82">
        <f t="shared" si="1"/>
        <v>314082.97196920909</v>
      </c>
      <c r="R33" s="78">
        <f>'Alternative 3'!$B$39*$B33*$C33*COS($K$5)-($N$5/3)*$E33*SIN($K$5)-($N$5/3)*$F33*SIN($K$5)-($N$5/3)*$G33*SIN($K$5)</f>
        <v>152966.71332448936</v>
      </c>
      <c r="S33" s="79">
        <f>IF(($A33&lt;'Alternative 3'!$B$27),(($H33*'Alternative 3'!$B$39)+(3*($N$5/3)*COS($K$5))),IF(($A33&lt;'Alternative 3'!$B$28),(($H33*'Alternative 3'!$B$39)+(2*(($N$5/3)*COS($K$5)))),IF(($A33&lt;'Alternative 3'!$B$29),(($H$3*'Alternative 3'!$B$39+(($N$5/3)*COS($K$5)))),($H33*'Alternative 3'!$B$39))))</f>
        <v>51019.984437501931</v>
      </c>
      <c r="T33" s="78">
        <f>R33*'Alternative 3'!$K34/'Alternative 3'!$L34</f>
        <v>4331284.0520286094</v>
      </c>
      <c r="U33" s="78">
        <f>S33/'Alternative 3'!$M34</f>
        <v>28892.800152912245</v>
      </c>
      <c r="V33" s="78">
        <f t="shared" si="2"/>
        <v>4.360176852181521</v>
      </c>
      <c r="X33" s="78">
        <f>'Alternative 3'!$B$39*$B33*$C33*COS($K$13)-($N$12/3)*$E33*SIN($K$13)-($N$12/3)*$F33*SIN($K$13)-($N$12/3)*$G33*SIN($K$13)</f>
        <v>150734.6286978423</v>
      </c>
      <c r="Y33" s="79">
        <f>IF(($A33&lt;'Alternative 3'!$B$27),(($H33*'Alternative 3'!$B$39)+(3*($N$12/3)*COS($K$13))),IF(($A33&lt;'Alternative 3'!$B$28),(($H33*'Alternative 3'!$B$39)+(2*(($N$12/3)*COS($K$13)))),IF(($A33&lt;'Alternative 3'!$B$29),(($H$3*'Alternative 3'!$B$39+(($N$12/3)*COS($K$13)))),($H33*'Alternative 3'!$B$39))))</f>
        <v>51019.984437501931</v>
      </c>
      <c r="Z33" s="78">
        <f>X33*'Alternative 3'!$K34/'Alternative 3'!$L34</f>
        <v>4268082.1152407909</v>
      </c>
      <c r="AA33" s="78">
        <f>Y33/'Alternative 3'!$M34</f>
        <v>28892.800152912245</v>
      </c>
      <c r="AB33" s="78">
        <f t="shared" si="3"/>
        <v>4.2969749153937027</v>
      </c>
      <c r="AD33" s="78">
        <f>'Alternative 3'!$B$39*$B33*$C33*COS($K$23)-($N$22/3)*$E33*SIN($K$23)-($N$22/3)*$F33*SIN($K$23)-($N$22/3)*$G33*SIN($K$23)</f>
        <v>143829.30866559735</v>
      </c>
      <c r="AE33" s="79">
        <f>IF(($A33&lt;'Alternative 3'!$B$27),(($H33*'Alternative 3'!$B$39)+(3*($N$22/3)*COS($K$23))),IF(($A33&lt;'Alternative 3'!$B$28),(($H33*'Alternative 3'!$B$39)+(2*(($N$22/3)*COS($K$23)))),IF(($A33&lt;'Alternative 3'!$B$29),(($H$3*'Alternative 3'!$B$39+(($N$22/3)*COS($K$23)))),($H33*'Alternative 3'!$B$39))))</f>
        <v>51019.984437501931</v>
      </c>
      <c r="AF33" s="78">
        <f>AD33*'Alternative 3'!$K34/'Alternative 3'!$L34</f>
        <v>4072556.5536346505</v>
      </c>
      <c r="AG33" s="78">
        <f>AE33/'Alternative 3'!$M34</f>
        <v>28892.800152912245</v>
      </c>
      <c r="AH33" s="78">
        <f t="shared" si="4"/>
        <v>4.1014493537875625</v>
      </c>
      <c r="AJ33" s="78">
        <f>'Alternative 3'!$B$39*$B33*$C33*COS($K$33)-($N$32/3)*$E33*SIN($K$33)-($N$32/3)*$F33*SIN($K$33)-($N$32/3)*$G33*SIN($K$33)</f>
        <v>132553.80787069016</v>
      </c>
      <c r="AK33" s="79">
        <f>IF(($A33&lt;'Alternative 3'!$B$27),(($H33*'Alternative 3'!$B$39)+(3*($N$32/3)*COS($K$33))),IF(($A33&lt;'Alternative 3'!$B$28),(($H33*'Alternative 3'!$B$39)+(2*(($N$32/3)*COS($K$33)))),IF(($A33&lt;'Alternative 3'!$B$29),(($H$3*'Alternative 3'!$B$39+(($N$32/3)*COS($K$33)))),($H33*'Alternative 3'!$B$39))))</f>
        <v>51019.984437501931</v>
      </c>
      <c r="AL33" s="78">
        <f>AJ33*'Alternative 3'!$K34/'Alternative 3'!$L34</f>
        <v>3753288.4219593736</v>
      </c>
      <c r="AM33" s="78">
        <f>AK33/'Alternative 3'!$M34</f>
        <v>28892.800152912245</v>
      </c>
      <c r="AN33" s="78">
        <f t="shared" si="5"/>
        <v>3.7821812221122859</v>
      </c>
      <c r="AP33" s="78">
        <f>'Alternative 3'!$B$39*$B33*$C33*COS($K$43)-($N$42/3)*$E33*SIN($K$43)-($N$42/3)*$F33*SIN($K$43)-($N$42/3)*$G33*SIN($K$43)</f>
        <v>117250.72669909528</v>
      </c>
      <c r="AQ33" s="79">
        <f>IF(($A33&lt;'Alternative 3'!$B$27),(($H33*'Alternative 3'!$B$39)+(3*($N$42/3)*COS($K$43))),IF(($A33&lt;'Alternative 3'!$B$28),(($H33*'Alternative 3'!$B$39)+(2*(($N$42/3)*COS($K$43)))),IF(($A33&lt;'Alternative 3'!$B$29),(($H$3*'Alternative 3'!$B$39+(($N$42/3)*COS($K$43)))),($H33*'Alternative 3'!$B$39))))</f>
        <v>51019.984437501931</v>
      </c>
      <c r="AR33" s="78">
        <f>AP33*'Alternative 3'!$K34/'Alternative 3'!$L34</f>
        <v>3319978.5208384437</v>
      </c>
      <c r="AS33" s="78">
        <f>AQ33/'Alternative 3'!$M34</f>
        <v>28892.800152912245</v>
      </c>
      <c r="AT33" s="78">
        <f t="shared" si="6"/>
        <v>3.3488713209913561</v>
      </c>
      <c r="AV33" s="78">
        <f>'Alternative 3'!$B$39*$B33*$C33*COS($K$53)-($N$52/3)*$E33*SIN($K$53)-($N$52/3)*$F33*SIN($K$53)-($N$52/3)*$G33*SIN($K$53)</f>
        <v>98385.041528478905</v>
      </c>
      <c r="AW33" s="79">
        <f>IF(($A33&lt;'Alternative 3'!$B$27),(($H33*'Alternative 3'!$B$39)+(3*($N$52/3)*COS($K$53))),IF(($A33&lt;'Alternative 3'!$B$28),(($H33*'Alternative 3'!$B$39)+(2*(($N$52/3)*COS($K$53)))),IF(($A33&lt;'Alternative 3'!$B$29),(($H$3*'Alternative 3'!$B$39+(($N$52/3)*COS($K$53)))),($H33*'Alternative 3'!$B$39))))</f>
        <v>51019.984437501931</v>
      </c>
      <c r="AX33" s="78">
        <f>AV33*'Alternative 3'!$K34/'Alternative 3'!$L34</f>
        <v>2785792.7523520296</v>
      </c>
      <c r="AY33" s="78">
        <f>AW33/'Alternative 3'!$M34</f>
        <v>28892.800152912245</v>
      </c>
      <c r="AZ33" s="78">
        <f t="shared" si="7"/>
        <v>2.8146855525049417</v>
      </c>
      <c r="BB33" s="78">
        <f>'Alternative 3'!$B$39*$B33*$C33*COS($K$63)-($N$62/3)*$E33*SIN($K$63)-($N$62/3)*$F33*SIN($K$63)-($N$62/3)*$G33*SIN($K$63)</f>
        <v>76529.976656252911</v>
      </c>
      <c r="BC33" s="79">
        <f>IF(($A33&lt;'Alternative 3'!$B$27),(($H33*'Alternative 3'!$B$39)+(3*($N$62/3)*COS($K$63))),IF(($A33&lt;'Alternative 3'!$B$28),(($H33*'Alternative 3'!$B$39)+(2*(($N$62/3)*COS($K$63)))),IF(($A33&lt;'Alternative 3'!$B$29),(($H$3*'Alternative 3'!$B$39+(($N$62/3)*COS($K$63)))),($H33*'Alternative 3'!$B$39))))</f>
        <v>51019.984437501931</v>
      </c>
      <c r="BD33" s="78">
        <f>BB33*'Alternative 3'!$K34/'Alternative 3'!$L34</f>
        <v>2166962.0807645503</v>
      </c>
      <c r="BE33" s="78">
        <f>BC33/'Alternative 3'!$M34</f>
        <v>28892.800152912245</v>
      </c>
      <c r="BF33" s="78">
        <f t="shared" si="8"/>
        <v>2.1958548809174627</v>
      </c>
      <c r="BH33" s="78">
        <f>'Alternative 3'!$B$39*$B33*$C33*COS($K$73)-($N$72/3)*$E33*SIN($K$73)-($N$72/3)*$F33*SIN($K$73)-($N$72/3)*$G33*SIN($K$73)</f>
        <v>52349.587169363411</v>
      </c>
      <c r="BI33" s="79">
        <f>IF(($A33&lt;'Alternative 3'!$B$27),(($H33*'Alternative 3'!$B$39)+(3*($N$72/3)*COS($K$73))),IF(($A33&lt;'Alternative 3'!$B$28),(($H33*'Alternative 3'!$B$39)+(2*(($N$72/3)*COS($K$73)))),IF(($A33&lt;'Alternative 3'!$B$29),(($H$3*'Alternative 3'!$B$39+(($N$72/3)*COS($K$73)))),($H33*'Alternative 3'!$B$39))))</f>
        <v>51019.984437501931</v>
      </c>
      <c r="BJ33" s="78">
        <f>BH33*'Alternative 3'!$K34/'Alternative 3'!$L34</f>
        <v>1482289.3628887618</v>
      </c>
      <c r="BK33" s="78">
        <f>BI33/'Alternative 3'!$M34</f>
        <v>28892.800152912245</v>
      </c>
      <c r="BL33" s="78">
        <f t="shared" si="9"/>
        <v>1.511182163041674</v>
      </c>
      <c r="BN33" s="78">
        <f>'Alternative 3'!$B$39*$B33*$C33*COS($K$83)-($N$82/3)*$E33*SIN($K$83)-($N$82/3)*$F33*SIN($K$83)-($N$82/3)*$G33*SIN($K$83)</f>
        <v>26578.581966502079</v>
      </c>
      <c r="BO33" s="79">
        <f>IF(($A33&lt;'Alternative 3'!$B$27),(($H33*'Alternative 3'!$B$39)+(3*($N$82/3)*COS($K$83))),IF(($A33&lt;'Alternative 3'!$B$28),(($H33*'Alternative 3'!$B$39)+(2*(($N$82/3)*COS($K$83)))),IF(($A33&lt;'Alternative 3'!$B$29),(($H$3*'Alternative 3'!$B$39+(($N$82/3)*COS($K$83)))),($H33*'Alternative 3'!$B$39))))</f>
        <v>51019.984437501931</v>
      </c>
      <c r="BP33" s="78">
        <f>BN33*'Alternative 3'!$K34/'Alternative 3'!$L34</f>
        <v>752578.03279620747</v>
      </c>
      <c r="BQ33" s="78">
        <f>BO33/'Alternative 3'!$M34</f>
        <v>28892.800152912245</v>
      </c>
      <c r="BR33" s="78">
        <f t="shared" si="10"/>
        <v>0.78147083294911979</v>
      </c>
      <c r="BT33" s="78">
        <f>'Alternative 3'!$B$39*$B33*$C33*COS($K$93)-($K$92/3)*$E33*SIN($K$93)-($K$92/3)*$F33*SIN($K$93)-($K$92/3)*$G33*SIN($K$93)</f>
        <v>9.3760582654600995E-12</v>
      </c>
      <c r="BU33" s="79">
        <f>IF(($A33&lt;'Alternative 3'!$B$27),(($H33*'Alternative 3'!$B$39)+(3*($N$92/3)*COS($K$93))),IF(($A33&lt;'Alternative 3'!$B$28),(($H33*'Alternative 3'!$B$39)+(2*(($N$92/3)*COS($K$93)))),IF(($A33&lt;'Alternative 3'!$B$29),(($H$3*'Alternative 3'!$B$39+(($N$92/3)*COS($K$93)))),($H33*'Alternative 3'!$B$39))))</f>
        <v>51019.984437501931</v>
      </c>
      <c r="BV33" s="78">
        <f>BT33*'Alternative 3'!$K34/'Alternative 3'!$L34</f>
        <v>2.654850245094257E-10</v>
      </c>
      <c r="BW33" s="78">
        <f>BU33/'Alternative 3'!$M34</f>
        <v>28892.800152912245</v>
      </c>
      <c r="BX33" s="78">
        <f t="shared" si="11"/>
        <v>2.8892800152912509E-2</v>
      </c>
      <c r="BZ33" s="77">
        <v>150</v>
      </c>
      <c r="CA33" s="77">
        <v>-150</v>
      </c>
    </row>
    <row r="34" spans="1:79" ht="15" customHeight="1" x14ac:dyDescent="0.25">
      <c r="A34" s="13">
        <f>IF('Alternative 3'!F35&gt;0,'Alternative 3'!F35,"x")</f>
        <v>32</v>
      </c>
      <c r="B34" s="13">
        <f t="shared" si="17"/>
        <v>5</v>
      </c>
      <c r="C34" s="13">
        <f t="shared" si="12"/>
        <v>2.5</v>
      </c>
      <c r="D34" s="13">
        <f t="shared" si="13"/>
        <v>32</v>
      </c>
      <c r="E34" s="74">
        <f>IF($A34&lt;='Alternative 3'!$B$27, IF($A34='Alternative 3'!$B$27,0,E35+1),0)</f>
        <v>0</v>
      </c>
      <c r="F34" s="74">
        <f>IF($A34&lt;=('Alternative 3'!$B$28), IF($A34=ROUNDDOWN('Alternative 3'!$B$28,0),0,F35+1),0)</f>
        <v>0</v>
      </c>
      <c r="G34" s="74">
        <f>IF($A34&lt;=('Alternative 3'!$B$29), IF($A34=ROUNDDOWN('Alternative 3'!$B$29,0),0,G35+1),0)</f>
        <v>0</v>
      </c>
      <c r="H34" s="13">
        <f t="shared" si="14"/>
        <v>5</v>
      </c>
      <c r="J34" s="77">
        <f t="shared" si="15"/>
        <v>31</v>
      </c>
      <c r="K34" s="77">
        <f t="shared" si="16"/>
        <v>0.54105206811824214</v>
      </c>
      <c r="L34" s="78">
        <f>'Alternative 3'!$B$27*SIN(K34)+'Alternative 3'!$B$28*SIN(K34)+'Alternative 3'!$B$29*SIN(K34)</f>
        <v>35.022589093883681</v>
      </c>
      <c r="M34" s="77">
        <f>(('Alternative 3'!$B$27)*(((('Alternative 3'!$B$28-'Alternative 3'!$B$27)/2)+'Alternative 3'!$B$27)*'Alternative 3'!$B$39)*COS('Alternative 3-Tilt Up'!K34))+(('Alternative 3'!$B$28)*((('Alternative 3'!$B$28-'Alternative 3'!$B$27)/2)+(('Alternative 3'!$B$29-'Alternative 3'!$B$28)/2))*('Alternative 3'!$B$39)*COS('Alternative 3-Tilt Up'!K34))+(('Alternative 3'!$B$29)*((('Alternative 3'!$B$12-'Alternative 3'!$B$29+(('Alternative 3'!$B$29-'Alternative 3'!$B$28)/2)*('Alternative 3'!$B$39)*COS('Alternative 3-Tilt Up'!K34)))))</f>
        <v>4068240.3172253761</v>
      </c>
      <c r="N34" s="77">
        <f t="shared" si="0"/>
        <v>348481.40207337076</v>
      </c>
      <c r="O34" s="77">
        <f>(((('Alternative 3'!$B$28-'Alternative 3'!$B$27)/2)+'Alternative 3'!$B$27)*('Alternative 3'!$B$39)*COS('Alternative 3-Tilt Up'!K34))+(((('Alternative 3'!$B$28-'Alternative 3'!$B$27)/2)+(('Alternative 3'!$B$29-'Alternative 3'!$B$28)/2))*('Alternative 3'!$B$39)*COS('Alternative 3-Tilt Up'!K34))+(((('Alternative 3'!$B$12-'Alternative 3'!$B$29)+(('Alternative 3'!$B$29-'Alternative 3'!$B$28)/2))*('Alternative 3'!$B$39)*COS('Alternative 3-Tilt Up'!K34)))</f>
        <v>262395.97405294381</v>
      </c>
      <c r="P34" s="77">
        <f t="shared" si="1"/>
        <v>298706.86276011873</v>
      </c>
      <c r="R34" s="78">
        <f>'Alternative 3'!$B$39*$B34*$C34*COS($K$5)-($N$5/3)*$E34*SIN($K$5)-($N$5/3)*$F34*SIN($K$5)-($N$5/3)*$G34*SIN($K$5)</f>
        <v>106226.88425311761</v>
      </c>
      <c r="S34" s="79">
        <f>IF(($A34&lt;'Alternative 3'!$B$27),(($H34*'Alternative 3'!$B$39)+(3*($N$5/3)*COS($K$5))),IF(($A34&lt;'Alternative 3'!$B$28),(($H34*'Alternative 3'!$B$39)+(2*(($N$5/3)*COS($K$5)))),IF(($A34&lt;'Alternative 3'!$B$29),(($H$3*'Alternative 3'!$B$39+(($N$5/3)*COS($K$5)))),($H34*'Alternative 3'!$B$39))))</f>
        <v>42516.653697918271</v>
      </c>
      <c r="T34" s="78">
        <f>R34*'Alternative 3'!$K35/'Alternative 3'!$L35</f>
        <v>3089245.1893918416</v>
      </c>
      <c r="U34" s="78">
        <f>S34/'Alternative 3'!$M35</f>
        <v>24729.002155000053</v>
      </c>
      <c r="V34" s="78">
        <f t="shared" si="2"/>
        <v>3.1139741915468417</v>
      </c>
      <c r="X34" s="78">
        <f>'Alternative 3'!$B$39*$B34*$C34*COS($K$13)-($N$12/3)*$E34*SIN($K$13)-($N$12/3)*$F34*SIN($K$13)-($N$12/3)*$G34*SIN($K$13)</f>
        <v>104676.82548461269</v>
      </c>
      <c r="Y34" s="79">
        <f>IF(($A34&lt;'Alternative 3'!$B$27),(($H34*'Alternative 3'!$B$39)+(3*($N$12/3)*COS($K$13))),IF(($A34&lt;'Alternative 3'!$B$28),(($H34*'Alternative 3'!$B$39)+(2*(($N$12/3)*COS($K$13)))),IF(($A34&lt;'Alternative 3'!$B$29),(($H$3*'Alternative 3'!$B$39+(($N$12/3)*COS($K$13)))),($H34*'Alternative 3'!$B$39))))</f>
        <v>42516.653697918271</v>
      </c>
      <c r="Z34" s="78">
        <f>X34*'Alternative 3'!$K35/'Alternative 3'!$L35</f>
        <v>3044167.0377775254</v>
      </c>
      <c r="AA34" s="78">
        <f>Y34/'Alternative 3'!$M35</f>
        <v>24729.002155000053</v>
      </c>
      <c r="AB34" s="78">
        <f t="shared" si="3"/>
        <v>3.0688960399325254</v>
      </c>
      <c r="AD34" s="78">
        <f>'Alternative 3'!$B$39*$B34*$C34*COS($K$23)-($N$22/3)*$E34*SIN($K$23)-($N$22/3)*$F34*SIN($K$23)-($N$22/3)*$G34*SIN($K$23)</f>
        <v>99881.464351109273</v>
      </c>
      <c r="AE34" s="79">
        <f>IF(($A34&lt;'Alternative 3'!$B$27),(($H34*'Alternative 3'!$B$39)+(3*($N$22/3)*COS($K$23))),IF(($A34&lt;'Alternative 3'!$B$28),(($H34*'Alternative 3'!$B$39)+(2*(($N$22/3)*COS($K$23)))),IF(($A34&lt;'Alternative 3'!$B$29),(($H$3*'Alternative 3'!$B$39+(($N$22/3)*COS($K$23)))),($H34*'Alternative 3'!$B$39))))</f>
        <v>42516.653697918271</v>
      </c>
      <c r="AF34" s="78">
        <f>AD34*'Alternative 3'!$K35/'Alternative 3'!$L35</f>
        <v>2904710.3793503321</v>
      </c>
      <c r="AG34" s="78">
        <f>AE34/'Alternative 3'!$M35</f>
        <v>24729.002155000053</v>
      </c>
      <c r="AH34" s="78">
        <f t="shared" si="4"/>
        <v>2.9294393815053321</v>
      </c>
      <c r="AJ34" s="78">
        <f>'Alternative 3'!$B$39*$B34*$C34*COS($K$33)-($N$32/3)*$E34*SIN($K$33)-($N$32/3)*$F34*SIN($K$33)-($N$32/3)*$G34*SIN($K$33)</f>
        <v>92051.255465757058</v>
      </c>
      <c r="AK34" s="79">
        <f>IF(($A34&lt;'Alternative 3'!$B$27),(($H34*'Alternative 3'!$B$39)+(3*($N$32/3)*COS($K$33))),IF(($A34&lt;'Alternative 3'!$B$28),(($H34*'Alternative 3'!$B$39)+(2*(($N$32/3)*COS($K$33)))),IF(($A34&lt;'Alternative 3'!$B$29),(($H$3*'Alternative 3'!$B$39+(($N$32/3)*COS($K$33)))),($H34*'Alternative 3'!$B$39))))</f>
        <v>42516.653697918271</v>
      </c>
      <c r="AL34" s="78">
        <f>AJ34*'Alternative 3'!$K35/'Alternative 3'!$L35</f>
        <v>2676995.5659009516</v>
      </c>
      <c r="AM34" s="78">
        <f>AK34/'Alternative 3'!$M35</f>
        <v>24729.002155000053</v>
      </c>
      <c r="AN34" s="78">
        <f t="shared" si="5"/>
        <v>2.7017245680559516</v>
      </c>
      <c r="AP34" s="78">
        <f>'Alternative 3'!$B$39*$B34*$C34*COS($K$43)-($N$42/3)*$E34*SIN($K$43)-($N$42/3)*$F34*SIN($K$43)-($N$42/3)*$G34*SIN($K$43)</f>
        <v>81424.115763260605</v>
      </c>
      <c r="AQ34" s="79">
        <f>IF(($A34&lt;'Alternative 3'!$B$27),(($H34*'Alternative 3'!$B$39)+(3*($N$42/3)*COS($K$43))),IF(($A34&lt;'Alternative 3'!$B$28),(($H34*'Alternative 3'!$B$39)+(2*(($N$42/3)*COS($K$43)))),IF(($A34&lt;'Alternative 3'!$B$29),(($H$3*'Alternative 3'!$B$39+(($N$42/3)*COS($K$43)))),($H34*'Alternative 3'!$B$39))))</f>
        <v>42516.653697918271</v>
      </c>
      <c r="AR34" s="78">
        <f>AP34*'Alternative 3'!$K35/'Alternative 3'!$L35</f>
        <v>2367941.5968067888</v>
      </c>
      <c r="AS34" s="78">
        <f>AQ34/'Alternative 3'!$M35</f>
        <v>24729.002155000053</v>
      </c>
      <c r="AT34" s="78">
        <f t="shared" si="6"/>
        <v>2.3926705989617889</v>
      </c>
      <c r="AV34" s="78">
        <f>'Alternative 3'!$B$39*$B34*$C34*COS($K$53)-($N$52/3)*$E34*SIN($K$53)-($N$52/3)*$F34*SIN($K$53)-($N$52/3)*$G34*SIN($K$53)</f>
        <v>68322.945505888129</v>
      </c>
      <c r="AW34" s="79">
        <f>IF(($A34&lt;'Alternative 3'!$B$27),(($H34*'Alternative 3'!$B$39)+(3*($N$52/3)*COS($K$53))),IF(($A34&lt;'Alternative 3'!$B$28),(($H34*'Alternative 3'!$B$39)+(2*(($N$52/3)*COS($K$53)))),IF(($A34&lt;'Alternative 3'!$B$29),(($H$3*'Alternative 3'!$B$39+(($N$52/3)*COS($K$53)))),($H34*'Alternative 3'!$B$39))))</f>
        <v>42516.653697918271</v>
      </c>
      <c r="AX34" s="78">
        <f>AV34*'Alternative 3'!$K35/'Alternative 3'!$L35</f>
        <v>1986938.9205299162</v>
      </c>
      <c r="AY34" s="78">
        <f>AW34/'Alternative 3'!$M35</f>
        <v>24729.002155000053</v>
      </c>
      <c r="AZ34" s="78">
        <f t="shared" si="7"/>
        <v>2.0116679226849161</v>
      </c>
      <c r="BB34" s="78">
        <f>'Alternative 3'!$B$39*$B34*$C34*COS($K$63)-($N$62/3)*$E34*SIN($K$63)-($N$62/3)*$F34*SIN($K$63)-($N$62/3)*$G34*SIN($K$63)</f>
        <v>53145.817122397857</v>
      </c>
      <c r="BC34" s="79">
        <f>IF(($A34&lt;'Alternative 3'!$B$27),(($H34*'Alternative 3'!$B$39)+(3*($N$62/3)*COS($K$63))),IF(($A34&lt;'Alternative 3'!$B$28),(($H34*'Alternative 3'!$B$39)+(2*(($N$62/3)*COS($K$63)))),IF(($A34&lt;'Alternative 3'!$B$29),(($H$3*'Alternative 3'!$B$39+(($N$62/3)*COS($K$63)))),($H34*'Alternative 3'!$B$39))))</f>
        <v>42516.653697918271</v>
      </c>
      <c r="BD34" s="78">
        <f>BB34*'Alternative 3'!$K35/'Alternative 3'!$L35</f>
        <v>1545564.1105923492</v>
      </c>
      <c r="BE34" s="78">
        <f>BC34/'Alternative 3'!$M35</f>
        <v>24729.002155000053</v>
      </c>
      <c r="BF34" s="78">
        <f t="shared" si="8"/>
        <v>1.5702931127473494</v>
      </c>
      <c r="BH34" s="78">
        <f>'Alternative 3'!$B$39*$B34*$C34*COS($K$73)-($N$72/3)*$E34*SIN($K$73)-($N$72/3)*$F34*SIN($K$73)-($N$72/3)*$G34*SIN($K$73)</f>
        <v>36353.879978724588</v>
      </c>
      <c r="BI34" s="79">
        <f>IF(($A34&lt;'Alternative 3'!$B$27),(($H34*'Alternative 3'!$B$39)+(3*($N$72/3)*COS($K$73))),IF(($A34&lt;'Alternative 3'!$B$28),(($H34*'Alternative 3'!$B$39)+(2*(($N$72/3)*COS($K$73)))),IF(($A34&lt;'Alternative 3'!$B$29),(($H$3*'Alternative 3'!$B$39+(($N$72/3)*COS($K$73)))),($H34*'Alternative 3'!$B$39))))</f>
        <v>42516.653697918271</v>
      </c>
      <c r="BJ34" s="78">
        <f>BH34*'Alternative 3'!$K35/'Alternative 3'!$L35</f>
        <v>1057228.1172476101</v>
      </c>
      <c r="BK34" s="78">
        <f>BI34/'Alternative 3'!$M35</f>
        <v>24729.002155000053</v>
      </c>
      <c r="BL34" s="78">
        <f t="shared" si="9"/>
        <v>1.0819571194026103</v>
      </c>
      <c r="BN34" s="78">
        <f>'Alternative 3'!$B$39*$B34*$C34*COS($K$83)-($N$82/3)*$E34*SIN($K$83)-($N$82/3)*$F34*SIN($K$83)-($N$82/3)*$G34*SIN($K$83)</f>
        <v>18457.348587848664</v>
      </c>
      <c r="BO34" s="79">
        <f>IF(($A34&lt;'Alternative 3'!$B$27),(($H34*'Alternative 3'!$B$39)+(3*($N$82/3)*COS($K$83))),IF(($A34&lt;'Alternative 3'!$B$28),(($H34*'Alternative 3'!$B$39)+(2*(($N$82/3)*COS($K$83)))),IF(($A34&lt;'Alternative 3'!$B$29),(($H$3*'Alternative 3'!$B$39+(($N$82/3)*COS($K$83)))),($H34*'Alternative 3'!$B$39))))</f>
        <v>42516.653697918271</v>
      </c>
      <c r="BP34" s="78">
        <f>BN34*'Alternative 3'!$K35/'Alternative 3'!$L35</f>
        <v>536768.78254354291</v>
      </c>
      <c r="BQ34" s="78">
        <f>BO34/'Alternative 3'!$M35</f>
        <v>24729.002155000053</v>
      </c>
      <c r="BR34" s="78">
        <f t="shared" si="10"/>
        <v>0.56149778469854295</v>
      </c>
      <c r="BT34" s="78">
        <f>'Alternative 3'!$B$39*$B34*$C34*COS($K$93)-($K$92/3)*$E34*SIN($K$93)-($K$92/3)*$F34*SIN($K$93)-($K$92/3)*$G34*SIN($K$93)</f>
        <v>6.5111515732361798E-12</v>
      </c>
      <c r="BU34" s="79">
        <f>IF(($A34&lt;'Alternative 3'!$B$27),(($H34*'Alternative 3'!$B$39)+(3*($N$92/3)*COS($K$93))),IF(($A34&lt;'Alternative 3'!$B$28),(($H34*'Alternative 3'!$B$39)+(2*(($N$92/3)*COS($K$93)))),IF(($A34&lt;'Alternative 3'!$B$29),(($H$3*'Alternative 3'!$B$39+(($N$92/3)*COS($K$93)))),($H34*'Alternative 3'!$B$39))))</f>
        <v>42516.653697918271</v>
      </c>
      <c r="BV34" s="78">
        <f>BT34*'Alternative 3'!$K35/'Alternative 3'!$L35</f>
        <v>1.8935454820544316E-10</v>
      </c>
      <c r="BW34" s="78">
        <f>BU34/'Alternative 3'!$M35</f>
        <v>24729.002155000053</v>
      </c>
      <c r="BX34" s="78">
        <f t="shared" si="11"/>
        <v>2.4729002155000242E-2</v>
      </c>
      <c r="BZ34" s="77">
        <v>150</v>
      </c>
      <c r="CA34" s="77">
        <v>-150</v>
      </c>
    </row>
    <row r="35" spans="1:79" ht="15" customHeight="1" x14ac:dyDescent="0.25">
      <c r="A35" s="13">
        <f>IF('Alternative 3'!F36&gt;0,'Alternative 3'!F36,"x")</f>
        <v>33</v>
      </c>
      <c r="B35" s="13">
        <f t="shared" si="17"/>
        <v>4</v>
      </c>
      <c r="C35" s="13">
        <f t="shared" si="12"/>
        <v>2</v>
      </c>
      <c r="D35" s="13">
        <f t="shared" si="13"/>
        <v>33</v>
      </c>
      <c r="E35" s="74">
        <f>IF($A35&lt;='Alternative 3'!$B$27, IF($A35='Alternative 3'!$B$27,0,E36+1),0)</f>
        <v>0</v>
      </c>
      <c r="F35" s="74">
        <f>IF($A35&lt;=('Alternative 3'!$B$28), IF($A35=ROUNDDOWN('Alternative 3'!$B$28,0),0,F36+1),0)</f>
        <v>0</v>
      </c>
      <c r="G35" s="74">
        <f>IF($A35&lt;=('Alternative 3'!$B$29), IF($A35=ROUNDDOWN('Alternative 3'!$B$29,0),0,G36+1),0)</f>
        <v>0</v>
      </c>
      <c r="H35" s="13">
        <f t="shared" si="14"/>
        <v>4</v>
      </c>
      <c r="J35" s="77">
        <f t="shared" si="15"/>
        <v>32</v>
      </c>
      <c r="K35" s="77">
        <f t="shared" si="16"/>
        <v>0.55850536063818546</v>
      </c>
      <c r="L35" s="78">
        <f>'Alternative 3'!$B$27*SIN(K35)+'Alternative 3'!$B$28*SIN(K35)+'Alternative 3'!$B$29*SIN(K35)</f>
        <v>36.034509967857936</v>
      </c>
      <c r="M35" s="77">
        <f>(('Alternative 3'!$B$27)*(((('Alternative 3'!$B$28-'Alternative 3'!$B$27)/2)+'Alternative 3'!$B$27)*'Alternative 3'!$B$39)*COS('Alternative 3-Tilt Up'!K35))+(('Alternative 3'!$B$28)*((('Alternative 3'!$B$28-'Alternative 3'!$B$27)/2)+(('Alternative 3'!$B$29-'Alternative 3'!$B$28)/2))*('Alternative 3'!$B$39)*COS('Alternative 3-Tilt Up'!K35))+(('Alternative 3'!$B$29)*((('Alternative 3'!$B$12-'Alternative 3'!$B$29+(('Alternative 3'!$B$29-'Alternative 3'!$B$28)/2)*('Alternative 3'!$B$39)*COS('Alternative 3-Tilt Up'!K35)))))</f>
        <v>4024961.3312405124</v>
      </c>
      <c r="N35" s="77">
        <f t="shared" si="0"/>
        <v>335092.2214425031</v>
      </c>
      <c r="O35" s="77">
        <f>(((('Alternative 3'!$B$28-'Alternative 3'!$B$27)/2)+'Alternative 3'!$B$27)*('Alternative 3'!$B$39)*COS('Alternative 3-Tilt Up'!K35))+(((('Alternative 3'!$B$28-'Alternative 3'!$B$27)/2)+(('Alternative 3'!$B$29-'Alternative 3'!$B$28)/2))*('Alternative 3'!$B$39)*COS('Alternative 3-Tilt Up'!K35))+(((('Alternative 3'!$B$12-'Alternative 3'!$B$29)+(('Alternative 3'!$B$29-'Alternative 3'!$B$28)/2))*('Alternative 3'!$B$39)*COS('Alternative 3-Tilt Up'!K35)))</f>
        <v>259604.40400892391</v>
      </c>
      <c r="P35" s="77">
        <f t="shared" si="1"/>
        <v>284174.32043114223</v>
      </c>
      <c r="R35" s="78">
        <f>'Alternative 3'!$B$39*$B35*$C35*COS($K$5)-($N$5/3)*$E35*SIN($K$5)-($N$5/3)*$F35*SIN($K$5)-($N$5/3)*$G35*SIN($K$5)</f>
        <v>67985.205921995264</v>
      </c>
      <c r="S35" s="79">
        <f>IF(($A35&lt;'Alternative 3'!$B$27),(($H35*'Alternative 3'!$B$39)+(3*($N$5/3)*COS($K$5))),IF(($A35&lt;'Alternative 3'!$B$28),(($H35*'Alternative 3'!$B$39)+(2*(($N$5/3)*COS($K$5)))),IF(($A35&lt;'Alternative 3'!$B$29),(($H$3*'Alternative 3'!$B$39+(($N$5/3)*COS($K$5)))),($H35*'Alternative 3'!$B$39))))</f>
        <v>34013.322958334618</v>
      </c>
      <c r="T35" s="78">
        <f>R35*'Alternative 3'!$K36/'Alternative 3'!$L36</f>
        <v>2031362.9457554095</v>
      </c>
      <c r="U35" s="78">
        <f>S35/'Alternative 3'!$M36</f>
        <v>20325.992104669225</v>
      </c>
      <c r="V35" s="78">
        <f t="shared" si="2"/>
        <v>2.0516889378600789</v>
      </c>
      <c r="X35" s="78">
        <f>'Alternative 3'!$B$39*$B35*$C35*COS($K$13)-($N$12/3)*$E35*SIN($K$13)-($N$12/3)*$F35*SIN($K$13)-($N$12/3)*$G35*SIN($K$13)</f>
        <v>66993.168310152134</v>
      </c>
      <c r="Y35" s="79">
        <f>IF(($A35&lt;'Alternative 3'!$B$27),(($H35*'Alternative 3'!$B$39)+(3*($N$12/3)*COS($K$13))),IF(($A35&lt;'Alternative 3'!$B$28),(($H35*'Alternative 3'!$B$39)+(2*(($N$12/3)*COS($K$13)))),IF(($A35&lt;'Alternative 3'!$B$29),(($H$3*'Alternative 3'!$B$39+(($N$12/3)*COS($K$13)))),($H35*'Alternative 3'!$B$39))))</f>
        <v>34013.322958334618</v>
      </c>
      <c r="Z35" s="78">
        <f>X35*'Alternative 3'!$K36/'Alternative 3'!$L36</f>
        <v>2001721.3727372149</v>
      </c>
      <c r="AA35" s="78">
        <f>Y35/'Alternative 3'!$M36</f>
        <v>20325.992104669225</v>
      </c>
      <c r="AB35" s="78">
        <f t="shared" si="3"/>
        <v>2.0220473648418844</v>
      </c>
      <c r="AD35" s="78">
        <f>'Alternative 3'!$B$39*$B35*$C35*COS($K$23)-($N$22/3)*$E35*SIN($K$23)-($N$22/3)*$F35*SIN($K$23)-($N$22/3)*$G35*SIN($K$23)</f>
        <v>63924.137184709929</v>
      </c>
      <c r="AE35" s="79">
        <f>IF(($A35&lt;'Alternative 3'!$B$27),(($H35*'Alternative 3'!$B$39)+(3*($N$22/3)*COS($K$23))),IF(($A35&lt;'Alternative 3'!$B$28),(($H35*'Alternative 3'!$B$39)+(2*(($N$22/3)*COS($K$23)))),IF(($A35&lt;'Alternative 3'!$B$29),(($H$3*'Alternative 3'!$B$39+(($N$22/3)*COS($K$23)))),($H35*'Alternative 3'!$B$39))))</f>
        <v>34013.322958334618</v>
      </c>
      <c r="AF35" s="78">
        <f>AD35*'Alternative 3'!$K36/'Alternative 3'!$L36</f>
        <v>1910020.3030258657</v>
      </c>
      <c r="AG35" s="78">
        <f>AE35/'Alternative 3'!$M36</f>
        <v>20325.992104669225</v>
      </c>
      <c r="AH35" s="78">
        <f t="shared" si="4"/>
        <v>1.930346295130535</v>
      </c>
      <c r="AJ35" s="78">
        <f>'Alternative 3'!$B$39*$B35*$C35*COS($K$33)-($N$32/3)*$E35*SIN($K$33)-($N$32/3)*$F35*SIN($K$33)-($N$32/3)*$G35*SIN($K$33)</f>
        <v>58912.803498084511</v>
      </c>
      <c r="AK35" s="79">
        <f>IF(($A35&lt;'Alternative 3'!$B$27),(($H35*'Alternative 3'!$B$39)+(3*($N$32/3)*COS($K$33))),IF(($A35&lt;'Alternative 3'!$B$28),(($H35*'Alternative 3'!$B$39)+(2*(($N$32/3)*COS($K$33)))),IF(($A35&lt;'Alternative 3'!$B$29),(($H$3*'Alternative 3'!$B$39+(($N$32/3)*COS($K$33)))),($H35*'Alternative 3'!$B$39))))</f>
        <v>34013.322958334618</v>
      </c>
      <c r="AL35" s="78">
        <f>AJ35*'Alternative 3'!$K36/'Alternative 3'!$L36</f>
        <v>1760284.2329239843</v>
      </c>
      <c r="AM35" s="78">
        <f>AK35/'Alternative 3'!$M36</f>
        <v>20325.992104669225</v>
      </c>
      <c r="AN35" s="78">
        <f t="shared" si="5"/>
        <v>1.7806102250286537</v>
      </c>
      <c r="AP35" s="78">
        <f>'Alternative 3'!$B$39*$B35*$C35*COS($K$43)-($N$42/3)*$E35*SIN($K$43)-($N$42/3)*$F35*SIN($K$43)-($N$42/3)*$G35*SIN($K$43)</f>
        <v>52111.434088486785</v>
      </c>
      <c r="AQ35" s="79">
        <f>IF(($A35&lt;'Alternative 3'!$B$27),(($H35*'Alternative 3'!$B$39)+(3*($N$42/3)*COS($K$43))),IF(($A35&lt;'Alternative 3'!$B$28),(($H35*'Alternative 3'!$B$39)+(2*(($N$42/3)*COS($K$43)))),IF(($A35&lt;'Alternative 3'!$B$29),(($H$3*'Alternative 3'!$B$39+(($N$42/3)*COS($K$43)))),($H35*'Alternative 3'!$B$39))))</f>
        <v>34013.322958334618</v>
      </c>
      <c r="AR35" s="78">
        <f>AP35*'Alternative 3'!$K36/'Alternative 3'!$L36</f>
        <v>1557062.8171515088</v>
      </c>
      <c r="AS35" s="78">
        <f>AQ35/'Alternative 3'!$M36</f>
        <v>20325.992104669225</v>
      </c>
      <c r="AT35" s="78">
        <f t="shared" si="6"/>
        <v>1.5773888092561781</v>
      </c>
      <c r="AV35" s="78">
        <f>'Alternative 3'!$B$39*$B35*$C35*COS($K$53)-($N$52/3)*$E35*SIN($K$53)-($N$52/3)*$F35*SIN($K$53)-($N$52/3)*$G35*SIN($K$53)</f>
        <v>43726.685123768402</v>
      </c>
      <c r="AW35" s="79">
        <f>IF(($A35&lt;'Alternative 3'!$B$27),(($H35*'Alternative 3'!$B$39)+(3*($N$52/3)*COS($K$53))),IF(($A35&lt;'Alternative 3'!$B$28),(($H35*'Alternative 3'!$B$39)+(2*(($N$52/3)*COS($K$53)))),IF(($A35&lt;'Alternative 3'!$B$29),(($H$3*'Alternative 3'!$B$39+(($N$52/3)*COS($K$53)))),($H35*'Alternative 3'!$B$39))))</f>
        <v>34013.322958334618</v>
      </c>
      <c r="AX35" s="78">
        <f>AV35*'Alternative 3'!$K36/'Alternative 3'!$L36</f>
        <v>1306530.8355916878</v>
      </c>
      <c r="AY35" s="78">
        <f>AW35/'Alternative 3'!$M36</f>
        <v>20325.992104669225</v>
      </c>
      <c r="AZ35" s="78">
        <f t="shared" si="7"/>
        <v>1.3268568276963573</v>
      </c>
      <c r="BB35" s="78">
        <f>'Alternative 3'!$B$39*$B35*$C35*COS($K$63)-($N$62/3)*$E35*SIN($K$63)-($N$62/3)*$F35*SIN($K$63)-($N$62/3)*$G35*SIN($K$63)</f>
        <v>34013.322958334626</v>
      </c>
      <c r="BC35" s="79">
        <f>IF(($A35&lt;'Alternative 3'!$B$27),(($H35*'Alternative 3'!$B$39)+(3*($N$62/3)*COS($K$63))),IF(($A35&lt;'Alternative 3'!$B$28),(($H35*'Alternative 3'!$B$39)+(2*(($N$62/3)*COS($K$63)))),IF(($A35&lt;'Alternative 3'!$B$29),(($H$3*'Alternative 3'!$B$39+(($N$62/3)*COS($K$63)))),($H35*'Alternative 3'!$B$39))))</f>
        <v>34013.322958334618</v>
      </c>
      <c r="BD35" s="78">
        <f>BB35*'Alternative 3'!$K36/'Alternative 3'!$L36</f>
        <v>1016300.5757289164</v>
      </c>
      <c r="BE35" s="78">
        <f>BC35/'Alternative 3'!$M36</f>
        <v>20325.992104669225</v>
      </c>
      <c r="BF35" s="78">
        <f t="shared" si="8"/>
        <v>1.0366265678335858</v>
      </c>
      <c r="BH35" s="78">
        <f>'Alternative 3'!$B$39*$B35*$C35*COS($K$73)-($N$72/3)*$E35*SIN($K$73)-($N$72/3)*$F35*SIN($K$73)-($N$72/3)*$G35*SIN($K$73)</f>
        <v>23266.483186383735</v>
      </c>
      <c r="BI35" s="79">
        <f>IF(($A35&lt;'Alternative 3'!$B$27),(($H35*'Alternative 3'!$B$39)+(3*($N$72/3)*COS($K$73))),IF(($A35&lt;'Alternative 3'!$B$28),(($H35*'Alternative 3'!$B$39)+(2*(($N$72/3)*COS($K$73)))),IF(($A35&lt;'Alternative 3'!$B$29),(($H$3*'Alternative 3'!$B$39+(($N$72/3)*COS($K$73)))),($H35*'Alternative 3'!$B$39))))</f>
        <v>34013.322958334618</v>
      </c>
      <c r="BJ35" s="78">
        <f>BH35*'Alternative 3'!$K36/'Alternative 3'!$L36</f>
        <v>695190.53714552731</v>
      </c>
      <c r="BK35" s="78">
        <f>BI35/'Alternative 3'!$M36</f>
        <v>20325.992104669225</v>
      </c>
      <c r="BL35" s="78">
        <f t="shared" si="9"/>
        <v>0.71551652925019649</v>
      </c>
      <c r="BN35" s="78">
        <f>'Alternative 3'!$B$39*$B35*$C35*COS($K$83)-($N$82/3)*$E35*SIN($K$83)-($N$82/3)*$F35*SIN($K$83)-($N$82/3)*$G35*SIN($K$83)</f>
        <v>11812.703096223146</v>
      </c>
      <c r="BO35" s="79">
        <f>IF(($A35&lt;'Alternative 3'!$B$27),(($H35*'Alternative 3'!$B$39)+(3*($N$82/3)*COS($K$83))),IF(($A35&lt;'Alternative 3'!$B$28),(($H35*'Alternative 3'!$B$39)+(2*(($N$82/3)*COS($K$83)))),IF(($A35&lt;'Alternative 3'!$B$29),(($H$3*'Alternative 3'!$B$39+(($N$82/3)*COS($K$83)))),($H35*'Alternative 3'!$B$39))))</f>
        <v>34013.322958334618</v>
      </c>
      <c r="BP35" s="78">
        <f>BN35*'Alternative 3'!$K36/'Alternative 3'!$L36</f>
        <v>352957.48587435699</v>
      </c>
      <c r="BQ35" s="78">
        <f>BO35/'Alternative 3'!$M36</f>
        <v>20325.992104669225</v>
      </c>
      <c r="BR35" s="78">
        <f t="shared" si="10"/>
        <v>0.37328347797902622</v>
      </c>
      <c r="BT35" s="78">
        <f>'Alternative 3'!$B$39*$B35*$C35*COS($K$93)-($K$92/3)*$E35*SIN($K$93)-($K$92/3)*$F35*SIN($K$93)-($K$92/3)*$G35*SIN($K$93)</f>
        <v>4.1671370068711553E-12</v>
      </c>
      <c r="BU35" s="79">
        <f>IF(($A35&lt;'Alternative 3'!$B$27),(($H35*'Alternative 3'!$B$39)+(3*($N$92/3)*COS($K$93))),IF(($A35&lt;'Alternative 3'!$B$28),(($H35*'Alternative 3'!$B$39)+(2*(($N$92/3)*COS($K$93)))),IF(($A35&lt;'Alternative 3'!$B$29),(($H$3*'Alternative 3'!$B$39+(($N$92/3)*COS($K$93)))),($H35*'Alternative 3'!$B$39))))</f>
        <v>34013.322958334618</v>
      </c>
      <c r="BV35" s="78">
        <f>BT35*'Alternative 3'!$K36/'Alternative 3'!$L36</f>
        <v>1.2451190800770227E-10</v>
      </c>
      <c r="BW35" s="78">
        <f>BU35/'Alternative 3'!$M36</f>
        <v>20325.992104669225</v>
      </c>
      <c r="BX35" s="78">
        <f t="shared" si="11"/>
        <v>2.0325992104669351E-2</v>
      </c>
      <c r="BZ35" s="77">
        <v>150</v>
      </c>
      <c r="CA35" s="77">
        <v>-150</v>
      </c>
    </row>
    <row r="36" spans="1:79" ht="15" customHeight="1" x14ac:dyDescent="0.25">
      <c r="A36" s="13">
        <f>IF('Alternative 3'!F37&gt;0,'Alternative 3'!F37,"x")</f>
        <v>34</v>
      </c>
      <c r="B36" s="13">
        <f t="shared" si="17"/>
        <v>3</v>
      </c>
      <c r="C36" s="13">
        <f t="shared" si="12"/>
        <v>1.5</v>
      </c>
      <c r="D36" s="13">
        <f t="shared" si="13"/>
        <v>34</v>
      </c>
      <c r="E36" s="74">
        <f>IF($A36&lt;='Alternative 3'!$B$27, IF($A36='Alternative 3'!$B$27,0,E37+1),0)</f>
        <v>0</v>
      </c>
      <c r="F36" s="74">
        <f>IF($A36&lt;=('Alternative 3'!$B$28), IF($A36=ROUNDDOWN('Alternative 3'!$B$28,0),0,F37+1),0)</f>
        <v>0</v>
      </c>
      <c r="G36" s="74">
        <f>IF($A36&lt;=('Alternative 3'!$B$29), IF($A36=ROUNDDOWN('Alternative 3'!$B$29,0),0,G37+1),0)</f>
        <v>0</v>
      </c>
      <c r="H36" s="13">
        <f t="shared" si="14"/>
        <v>3</v>
      </c>
      <c r="J36" s="77">
        <f t="shared" si="15"/>
        <v>33</v>
      </c>
      <c r="K36" s="77">
        <f t="shared" si="16"/>
        <v>0.57595865315812877</v>
      </c>
      <c r="L36" s="78">
        <f>'Alternative 3'!$B$27*SIN(K36)+'Alternative 3'!$B$28*SIN(K36)+'Alternative 3'!$B$29*SIN(K36)</f>
        <v>37.035454381021843</v>
      </c>
      <c r="M36" s="77">
        <f>(('Alternative 3'!$B$27)*(((('Alternative 3'!$B$28-'Alternative 3'!$B$27)/2)+'Alternative 3'!$B$27)*'Alternative 3'!$B$39)*COS('Alternative 3-Tilt Up'!K36))+(('Alternative 3'!$B$28)*((('Alternative 3'!$B$28-'Alternative 3'!$B$27)/2)+(('Alternative 3'!$B$29-'Alternative 3'!$B$28)/2))*('Alternative 3'!$B$39)*COS('Alternative 3-Tilt Up'!K36))+(('Alternative 3'!$B$29)*((('Alternative 3'!$B$12-'Alternative 3'!$B$29+(('Alternative 3'!$B$29-'Alternative 3'!$B$28)/2)*('Alternative 3'!$B$39)*COS('Alternative 3-Tilt Up'!K36)))))</f>
        <v>3980456.3626346057</v>
      </c>
      <c r="N36" s="77">
        <f t="shared" si="0"/>
        <v>322430.74339120183</v>
      </c>
      <c r="O36" s="77">
        <f>(((('Alternative 3'!$B$28-'Alternative 3'!$B$27)/2)+'Alternative 3'!$B$27)*('Alternative 3'!$B$39)*COS('Alternative 3-Tilt Up'!K36))+(((('Alternative 3'!$B$28-'Alternative 3'!$B$27)/2)+(('Alternative 3'!$B$29-'Alternative 3'!$B$28)/2))*('Alternative 3'!$B$39)*COS('Alternative 3-Tilt Up'!K36))+(((('Alternative 3'!$B$12-'Alternative 3'!$B$29)+(('Alternative 3'!$B$29-'Alternative 3'!$B$28)/2))*('Alternative 3'!$B$39)*COS('Alternative 3-Tilt Up'!K36)))</f>
        <v>256733.75594859861</v>
      </c>
      <c r="P36" s="77">
        <f t="shared" si="1"/>
        <v>270413.17468296451</v>
      </c>
      <c r="R36" s="78">
        <f>'Alternative 3'!$B$39*$B36*$C36*COS($K$5)-($N$5/3)*$E36*SIN($K$5)-($N$5/3)*$F36*SIN($K$5)-($N$5/3)*$G36*SIN($K$5)</f>
        <v>38241.678331122341</v>
      </c>
      <c r="S36" s="79">
        <f>IF(($A36&lt;'Alternative 3'!$B$27),(($H36*'Alternative 3'!$B$39)+(3*($N$5/3)*COS($K$5))),IF(($A36&lt;'Alternative 3'!$B$28),(($H36*'Alternative 3'!$B$39)+(2*(($N$5/3)*COS($K$5)))),IF(($A36&lt;'Alternative 3'!$B$29),(($H$3*'Alternative 3'!$B$39+(($N$5/3)*COS($K$5)))),($H36*'Alternative 3'!$B$39))))</f>
        <v>25509.992218750966</v>
      </c>
      <c r="T36" s="78">
        <f>R36*'Alternative 3'!$K37/'Alternative 3'!$L37</f>
        <v>1174428.283124279</v>
      </c>
      <c r="U36" s="78">
        <f>S36/'Alternative 3'!$M37</f>
        <v>15668.573693450064</v>
      </c>
      <c r="V36" s="78">
        <f t="shared" si="2"/>
        <v>1.190096856817729</v>
      </c>
      <c r="X36" s="78">
        <f>'Alternative 3'!$B$39*$B36*$C36*COS($K$13)-($N$12/3)*$E36*SIN($K$13)-($N$12/3)*$F36*SIN($K$13)-($N$12/3)*$G36*SIN($K$13)</f>
        <v>37683.657174460575</v>
      </c>
      <c r="Y36" s="79">
        <f>IF(($A36&lt;'Alternative 3'!$B$27),(($H36*'Alternative 3'!$B$39)+(3*($N$12/3)*COS($K$13))),IF(($A36&lt;'Alternative 3'!$B$28),(($H36*'Alternative 3'!$B$39)+(2*(($N$12/3)*COS($K$13)))),IF(($A36&lt;'Alternative 3'!$B$29),(($H$3*'Alternative 3'!$B$39+(($N$12/3)*COS($K$13)))),($H36*'Alternative 3'!$B$39))))</f>
        <v>25509.992218750966</v>
      </c>
      <c r="Z36" s="78">
        <f>X36*'Alternative 3'!$K37/'Alternative 3'!$L37</f>
        <v>1157291.0690279</v>
      </c>
      <c r="AA36" s="78">
        <f>Y36/'Alternative 3'!$M37</f>
        <v>15668.573693450064</v>
      </c>
      <c r="AB36" s="78">
        <f t="shared" si="3"/>
        <v>1.17295964272135</v>
      </c>
      <c r="AD36" s="78">
        <f>'Alternative 3'!$B$39*$B36*$C36*COS($K$23)-($N$22/3)*$E36*SIN($K$23)-($N$22/3)*$F36*SIN($K$23)-($N$22/3)*$G36*SIN($K$23)</f>
        <v>35957.327166399336</v>
      </c>
      <c r="AE36" s="79">
        <f>IF(($A36&lt;'Alternative 3'!$B$27),(($H36*'Alternative 3'!$B$39)+(3*($N$22/3)*COS($K$23))),IF(($A36&lt;'Alternative 3'!$B$28),(($H36*'Alternative 3'!$B$39)+(2*(($N$22/3)*COS($K$23)))),IF(($A36&lt;'Alternative 3'!$B$29),(($H$3*'Alternative 3'!$B$39+(($N$22/3)*COS($K$23)))),($H36*'Alternative 3'!$B$39))))</f>
        <v>25509.992218750966</v>
      </c>
      <c r="AF36" s="78">
        <f>AD36*'Alternative 3'!$K37/'Alternative 3'!$L37</f>
        <v>1104274.2853522922</v>
      </c>
      <c r="AG36" s="78">
        <f>AE36/'Alternative 3'!$M37</f>
        <v>15668.573693450064</v>
      </c>
      <c r="AH36" s="78">
        <f t="shared" si="4"/>
        <v>1.1199428590457423</v>
      </c>
      <c r="AJ36" s="78">
        <f>'Alternative 3'!$B$39*$B36*$C36*COS($K$33)-($N$32/3)*$E36*SIN($K$33)-($N$32/3)*$F36*SIN($K$33)-($N$32/3)*$G36*SIN($K$33)</f>
        <v>33138.451967672539</v>
      </c>
      <c r="AK36" s="79">
        <f>IF(($A36&lt;'Alternative 3'!$B$27),(($H36*'Alternative 3'!$B$39)+(3*($N$32/3)*COS($K$33))),IF(($A36&lt;'Alternative 3'!$B$28),(($H36*'Alternative 3'!$B$39)+(2*(($N$32/3)*COS($K$33)))),IF(($A36&lt;'Alternative 3'!$B$29),(($H$3*'Alternative 3'!$B$39+(($N$32/3)*COS($K$33)))),($H36*'Alternative 3'!$B$39))))</f>
        <v>25509.992218750966</v>
      </c>
      <c r="AL36" s="78">
        <f>AJ36*'Alternative 3'!$K37/'Alternative 3'!$L37</f>
        <v>1017704.6863060059</v>
      </c>
      <c r="AM36" s="78">
        <f>AK36/'Alternative 3'!$M37</f>
        <v>15668.573693450064</v>
      </c>
      <c r="AN36" s="78">
        <f t="shared" si="5"/>
        <v>1.0333732599994561</v>
      </c>
      <c r="AP36" s="78">
        <f>'Alternative 3'!$B$39*$B36*$C36*COS($K$43)-($N$42/3)*$E36*SIN($K$43)-($N$42/3)*$F36*SIN($K$43)-($N$42/3)*$G36*SIN($K$43)</f>
        <v>29312.681674773819</v>
      </c>
      <c r="AQ36" s="79">
        <f>IF(($A36&lt;'Alternative 3'!$B$27),(($H36*'Alternative 3'!$B$39)+(3*($N$42/3)*COS($K$43))),IF(($A36&lt;'Alternative 3'!$B$28),(($H36*'Alternative 3'!$B$39)+(2*(($N$42/3)*COS($K$43)))),IF(($A36&lt;'Alternative 3'!$B$29),(($H$3*'Alternative 3'!$B$39+(($N$42/3)*COS($K$43)))),($H36*'Alternative 3'!$B$39))))</f>
        <v>25509.992218750966</v>
      </c>
      <c r="AR36" s="78">
        <f>AP36*'Alternative 3'!$K37/'Alternative 3'!$L37</f>
        <v>900212.64534973097</v>
      </c>
      <c r="AS36" s="78">
        <f>AQ36/'Alternative 3'!$M37</f>
        <v>15668.573693450064</v>
      </c>
      <c r="AT36" s="78">
        <f t="shared" si="6"/>
        <v>0.91588121904318109</v>
      </c>
      <c r="AV36" s="78">
        <f>'Alternative 3'!$B$39*$B36*$C36*COS($K$53)-($N$52/3)*$E36*SIN($K$53)-($N$52/3)*$F36*SIN($K$53)-($N$52/3)*$G36*SIN($K$53)</f>
        <v>24596.260382119726</v>
      </c>
      <c r="AW36" s="79">
        <f>IF(($A36&lt;'Alternative 3'!$B$27),(($H36*'Alternative 3'!$B$39)+(3*($N$52/3)*COS($K$53))),IF(($A36&lt;'Alternative 3'!$B$28),(($H36*'Alternative 3'!$B$39)+(2*(($N$52/3)*COS($K$53)))),IF(($A36&lt;'Alternative 3'!$B$29),(($H$3*'Alternative 3'!$B$39+(($N$52/3)*COS($K$53)))),($H36*'Alternative 3'!$B$39))))</f>
        <v>25509.992218750966</v>
      </c>
      <c r="AX36" s="78">
        <f>AV36*'Alternative 3'!$K37/'Alternative 3'!$L37</f>
        <v>755368.09869408282</v>
      </c>
      <c r="AY36" s="78">
        <f>AW36/'Alternative 3'!$M37</f>
        <v>15668.573693450064</v>
      </c>
      <c r="AZ36" s="78">
        <f t="shared" si="7"/>
        <v>0.77103667238753293</v>
      </c>
      <c r="BB36" s="78">
        <f>'Alternative 3'!$B$39*$B36*$C36*COS($K$63)-($N$62/3)*$E36*SIN($K$63)-($N$62/3)*$F36*SIN($K$63)-($N$62/3)*$G36*SIN($K$63)</f>
        <v>19132.494164063228</v>
      </c>
      <c r="BC36" s="79">
        <f>IF(($A36&lt;'Alternative 3'!$B$27),(($H36*'Alternative 3'!$B$39)+(3*($N$62/3)*COS($K$63))),IF(($A36&lt;'Alternative 3'!$B$28),(($H36*'Alternative 3'!$B$39)+(2*(($N$62/3)*COS($K$63)))),IF(($A36&lt;'Alternative 3'!$B$29),(($H$3*'Alternative 3'!$B$39+(($N$62/3)*COS($K$63)))),($H36*'Alternative 3'!$B$39))))</f>
        <v>25509.992218750966</v>
      </c>
      <c r="BD36" s="78">
        <f>BB36*'Alternative 3'!$K37/'Alternative 3'!$L37</f>
        <v>587572.07459431619</v>
      </c>
      <c r="BE36" s="78">
        <f>BC36/'Alternative 3'!$M37</f>
        <v>15668.573693450064</v>
      </c>
      <c r="BF36" s="78">
        <f t="shared" si="8"/>
        <v>0.60324064828776625</v>
      </c>
      <c r="BH36" s="78">
        <f>'Alternative 3'!$B$39*$B36*$C36*COS($K$73)-($N$72/3)*$E36*SIN($K$73)-($N$72/3)*$F36*SIN($K$73)-($N$72/3)*$G36*SIN($K$73)</f>
        <v>13087.396792340853</v>
      </c>
      <c r="BI36" s="79">
        <f>IF(($A36&lt;'Alternative 3'!$B$27),(($H36*'Alternative 3'!$B$39)+(3*($N$72/3)*COS($K$73))),IF(($A36&lt;'Alternative 3'!$B$28),(($H36*'Alternative 3'!$B$39)+(2*(($N$72/3)*COS($K$73)))),IF(($A36&lt;'Alternative 3'!$B$29),(($H$3*'Alternative 3'!$B$39+(($N$72/3)*COS($K$73)))),($H36*'Alternative 3'!$B$39))))</f>
        <v>25509.992218750966</v>
      </c>
      <c r="BJ36" s="78">
        <f>BH36*'Alternative 3'!$K37/'Alternative 3'!$L37</f>
        <v>401922.97033381718</v>
      </c>
      <c r="BK36" s="78">
        <f>BI36/'Alternative 3'!$M37</f>
        <v>15668.573693450064</v>
      </c>
      <c r="BL36" s="78">
        <f t="shared" si="9"/>
        <v>0.41759154402726728</v>
      </c>
      <c r="BN36" s="78">
        <f>'Alternative 3'!$B$39*$B36*$C36*COS($K$83)-($N$82/3)*$E36*SIN($K$83)-($N$82/3)*$F36*SIN($K$83)-($N$82/3)*$G36*SIN($K$83)</f>
        <v>6644.6454916255198</v>
      </c>
      <c r="BO36" s="79">
        <f>IF(($A36&lt;'Alternative 3'!$B$27),(($H36*'Alternative 3'!$B$39)+(3*($N$82/3)*COS($K$83))),IF(($A36&lt;'Alternative 3'!$B$28),(($H36*'Alternative 3'!$B$39)+(2*(($N$82/3)*COS($K$83)))),IF(($A36&lt;'Alternative 3'!$B$29),(($H$3*'Alternative 3'!$B$39+(($N$82/3)*COS($K$83)))),($H36*'Alternative 3'!$B$39))))</f>
        <v>25509.992218750966</v>
      </c>
      <c r="BP36" s="78">
        <f>BN36*'Alternative 3'!$K37/'Alternative 3'!$L37</f>
        <v>204061.64000256135</v>
      </c>
      <c r="BQ36" s="78">
        <f>BO36/'Alternative 3'!$M37</f>
        <v>15668.573693450064</v>
      </c>
      <c r="BR36" s="78">
        <f t="shared" si="10"/>
        <v>0.21973021369601142</v>
      </c>
      <c r="BT36" s="78">
        <f>'Alternative 3'!$B$39*$B36*$C36*COS($K$93)-($K$92/3)*$E36*SIN($K$93)-($K$92/3)*$F36*SIN($K$93)-($K$92/3)*$G36*SIN($K$93)</f>
        <v>2.3440145663650249E-12</v>
      </c>
      <c r="BU36" s="79">
        <f>IF(($A36&lt;'Alternative 3'!$B$27),(($H36*'Alternative 3'!$B$39)+(3*($N$92/3)*COS($K$93))),IF(($A36&lt;'Alternative 3'!$B$28),(($H36*'Alternative 3'!$B$39)+(2*(($N$92/3)*COS($K$93)))),IF(($A36&lt;'Alternative 3'!$B$29),(($H$3*'Alternative 3'!$B$39+(($N$92/3)*COS($K$93)))),($H36*'Alternative 3'!$B$39))))</f>
        <v>25509.992218750966</v>
      </c>
      <c r="BV36" s="78">
        <f>BT36*'Alternative 3'!$K37/'Alternative 3'!$L37</f>
        <v>7.1986301933667882E-11</v>
      </c>
      <c r="BW36" s="78">
        <f>BU36/'Alternative 3'!$M37</f>
        <v>15668.573693450064</v>
      </c>
      <c r="BX36" s="78">
        <f t="shared" si="11"/>
        <v>1.5668573693450136E-2</v>
      </c>
      <c r="BZ36" s="77">
        <v>150</v>
      </c>
      <c r="CA36" s="77">
        <v>-150</v>
      </c>
    </row>
    <row r="37" spans="1:79" ht="15" customHeight="1" x14ac:dyDescent="0.25">
      <c r="A37" s="13">
        <f>IF('Alternative 3'!F38&gt;0,'Alternative 3'!F38,"x")</f>
        <v>35</v>
      </c>
      <c r="B37" s="13">
        <f t="shared" si="17"/>
        <v>2</v>
      </c>
      <c r="C37" s="13">
        <f t="shared" si="12"/>
        <v>1</v>
      </c>
      <c r="D37" s="13">
        <f t="shared" si="13"/>
        <v>35</v>
      </c>
      <c r="E37" s="74">
        <f>IF($A37&lt;='Alternative 3'!$B$27, IF($A37='Alternative 3'!$B$27,0,E38+1),0)</f>
        <v>0</v>
      </c>
      <c r="F37" s="74">
        <f>IF($A37&lt;=('Alternative 3'!$B$28), IF($A37=ROUNDDOWN('Alternative 3'!$B$28,0),0,F38+1),0)</f>
        <v>0</v>
      </c>
      <c r="G37" s="74">
        <f>IF($A37&lt;=('Alternative 3'!$B$29), IF($A37=ROUNDDOWN('Alternative 3'!$B$29,0),0,G38+1),0)</f>
        <v>0</v>
      </c>
      <c r="H37" s="13">
        <f t="shared" si="14"/>
        <v>2</v>
      </c>
      <c r="J37" s="77">
        <f t="shared" si="15"/>
        <v>34</v>
      </c>
      <c r="K37" s="77">
        <f t="shared" si="16"/>
        <v>0.59341194567807209</v>
      </c>
      <c r="L37" s="78">
        <f>'Alternative 3'!$B$27*SIN(K37)+'Alternative 3'!$B$28*SIN(K37)+'Alternative 3'!$B$29*SIN(K37)</f>
        <v>38.025117436010788</v>
      </c>
      <c r="M37" s="77">
        <f>(('Alternative 3'!$B$27)*(((('Alternative 3'!$B$28-'Alternative 3'!$B$27)/2)+'Alternative 3'!$B$27)*'Alternative 3'!$B$39)*COS('Alternative 3-Tilt Up'!K37))+(('Alternative 3'!$B$28)*((('Alternative 3'!$B$28-'Alternative 3'!$B$27)/2)+(('Alternative 3'!$B$29-'Alternative 3'!$B$28)/2))*('Alternative 3'!$B$39)*COS('Alternative 3-Tilt Up'!K37))+(('Alternative 3'!$B$29)*((('Alternative 3'!$B$12-'Alternative 3'!$B$29+(('Alternative 3'!$B$29-'Alternative 3'!$B$28)/2)*('Alternative 3'!$B$39)*COS('Alternative 3-Tilt Up'!K37)))))</f>
        <v>3934738.9680522224</v>
      </c>
      <c r="N37" s="77">
        <f t="shared" si="0"/>
        <v>310432.09594345029</v>
      </c>
      <c r="O37" s="77">
        <f>(((('Alternative 3'!$B$28-'Alternative 3'!$B$27)/2)+'Alternative 3'!$B$27)*('Alternative 3'!$B$39)*COS('Alternative 3-Tilt Up'!K37))+(((('Alternative 3'!$B$28-'Alternative 3'!$B$27)/2)+(('Alternative 3'!$B$29-'Alternative 3'!$B$28)/2))*('Alternative 3'!$B$39)*COS('Alternative 3-Tilt Up'!K37))+(((('Alternative 3'!$B$12-'Alternative 3'!$B$29)+(('Alternative 3'!$B$29-'Alternative 3'!$B$28)/2))*('Alternative 3'!$B$39)*COS('Alternative 3-Tilt Up'!K37)))</f>
        <v>253784.9042991756</v>
      </c>
      <c r="P37" s="77">
        <f t="shared" si="1"/>
        <v>257359.8712641318</v>
      </c>
      <c r="R37" s="78">
        <f>'Alternative 3'!$B$39*$B37*$C37*COS($K$5)-($N$5/3)*$E37*SIN($K$5)-($N$5/3)*$F37*SIN($K$5)-($N$5/3)*$G37*SIN($K$5)</f>
        <v>16996.301480498816</v>
      </c>
      <c r="S37" s="79">
        <f>IF(($A37&lt;'Alternative 3'!$B$27),(($H37*'Alternative 3'!$B$39)+(3*($N$5/3)*COS($K$5))),IF(($A37&lt;'Alternative 3'!$B$28),(($H37*'Alternative 3'!$B$39)+(2*(($N$5/3)*COS($K$5)))),IF(($A37&lt;'Alternative 3'!$B$29),(($H$3*'Alternative 3'!$B$39+(($N$5/3)*COS($K$5)))),($H37*'Alternative 3'!$B$39))))</f>
        <v>17006.661479167309</v>
      </c>
      <c r="T37" s="78">
        <f>R37*'Alternative 3'!$K38/'Alternative 3'!$L38</f>
        <v>536693.32564853202</v>
      </c>
      <c r="U37" s="78">
        <f>S37/'Alternative 3'!$M38</f>
        <v>10740.3990237737</v>
      </c>
      <c r="V37" s="78">
        <f t="shared" si="2"/>
        <v>0.54743372467230578</v>
      </c>
      <c r="X37" s="78">
        <f>'Alternative 3'!$B$39*$B37*$C37*COS($K$13)-($N$12/3)*$E37*SIN($K$13)-($N$12/3)*$F37*SIN($K$13)-($N$12/3)*$G37*SIN($K$13)</f>
        <v>16748.292077538033</v>
      </c>
      <c r="Y37" s="79">
        <f>IF(($A37&lt;'Alternative 3'!$B$27),(($H37*'Alternative 3'!$B$39)+(3*($N$12/3)*COS($K$13))),IF(($A37&lt;'Alternative 3'!$B$28),(($H37*'Alternative 3'!$B$39)+(2*(($N$12/3)*COS($K$13)))),IF(($A37&lt;'Alternative 3'!$B$29),(($H$3*'Alternative 3'!$B$39+(($N$12/3)*COS($K$13)))),($H37*'Alternative 3'!$B$39))))</f>
        <v>17006.661479167309</v>
      </c>
      <c r="Z37" s="78">
        <f>X37*'Alternative 3'!$K38/'Alternative 3'!$L38</f>
        <v>528861.91647872818</v>
      </c>
      <c r="AA37" s="78">
        <f>Y37/'Alternative 3'!$M38</f>
        <v>10740.3990237737</v>
      </c>
      <c r="AB37" s="78">
        <f t="shared" si="3"/>
        <v>0.53960231550250193</v>
      </c>
      <c r="AD37" s="78">
        <f>'Alternative 3'!$B$39*$B37*$C37*COS($K$23)-($N$22/3)*$E37*SIN($K$23)-($N$22/3)*$F37*SIN($K$23)-($N$22/3)*$G37*SIN($K$23)</f>
        <v>15981.034296177482</v>
      </c>
      <c r="AE37" s="79">
        <f>IF(($A37&lt;'Alternative 3'!$B$27),(($H37*'Alternative 3'!$B$39)+(3*($N$22/3)*COS($K$23))),IF(($A37&lt;'Alternative 3'!$B$28),(($H37*'Alternative 3'!$B$39)+(2*(($N$22/3)*COS($K$23)))),IF(($A37&lt;'Alternative 3'!$B$29),(($H$3*'Alternative 3'!$B$39+(($N$22/3)*COS($K$23)))),($H37*'Alternative 3'!$B$39))))</f>
        <v>17006.661479167309</v>
      </c>
      <c r="AF37" s="78">
        <f>AD37*'Alternative 3'!$K38/'Alternative 3'!$L38</f>
        <v>504634.16723689582</v>
      </c>
      <c r="AG37" s="78">
        <f>AE37/'Alternative 3'!$M38</f>
        <v>10740.3990237737</v>
      </c>
      <c r="AH37" s="78">
        <f t="shared" si="4"/>
        <v>0.51537456626066946</v>
      </c>
      <c r="AJ37" s="78">
        <f>'Alternative 3'!$B$39*$B37*$C37*COS($K$33)-($N$32/3)*$E37*SIN($K$33)-($N$32/3)*$F37*SIN($K$33)-($N$32/3)*$G37*SIN($K$33)</f>
        <v>14728.200874521128</v>
      </c>
      <c r="AK37" s="79">
        <f>IF(($A37&lt;'Alternative 3'!$B$27),(($H37*'Alternative 3'!$B$39)+(3*($N$32/3)*COS($K$33))),IF(($A37&lt;'Alternative 3'!$B$28),(($H37*'Alternative 3'!$B$39)+(2*(($N$32/3)*COS($K$33)))),IF(($A37&lt;'Alternative 3'!$B$29),(($H$3*'Alternative 3'!$B$39+(($N$32/3)*COS($K$33)))),($H37*'Alternative 3'!$B$39))))</f>
        <v>17006.661479167309</v>
      </c>
      <c r="AL37" s="78">
        <f>AJ37*'Alternative 3'!$K38/'Alternative 3'!$L38</f>
        <v>465073.36418078031</v>
      </c>
      <c r="AM37" s="78">
        <f>AK37/'Alternative 3'!$M38</f>
        <v>10740.3990237737</v>
      </c>
      <c r="AN37" s="78">
        <f t="shared" si="5"/>
        <v>0.47581376320455399</v>
      </c>
      <c r="AP37" s="78">
        <f>'Alternative 3'!$B$39*$B37*$C37*COS($K$43)-($N$42/3)*$E37*SIN($K$43)-($N$42/3)*$F37*SIN($K$43)-($N$42/3)*$G37*SIN($K$43)</f>
        <v>13027.858522121696</v>
      </c>
      <c r="AQ37" s="79">
        <f>IF(($A37&lt;'Alternative 3'!$B$27),(($H37*'Alternative 3'!$B$39)+(3*($N$42/3)*COS($K$43))),IF(($A37&lt;'Alternative 3'!$B$28),(($H37*'Alternative 3'!$B$39)+(2*(($N$42/3)*COS($K$43)))),IF(($A37&lt;'Alternative 3'!$B$29),(($H$3*'Alternative 3'!$B$39+(($N$42/3)*COS($K$43)))),($H37*'Alternative 3'!$B$39))))</f>
        <v>17006.661479167309</v>
      </c>
      <c r="AR37" s="78">
        <f>AP37*'Alternative 3'!$K38/'Alternative 3'!$L38</f>
        <v>411381.54229250929</v>
      </c>
      <c r="AS37" s="78">
        <f>AQ37/'Alternative 3'!$M38</f>
        <v>10740.3990237737</v>
      </c>
      <c r="AT37" s="78">
        <f t="shared" si="6"/>
        <v>0.42212194131628294</v>
      </c>
      <c r="AV37" s="78">
        <f>'Alternative 3'!$B$39*$B37*$C37*COS($K$53)-($N$52/3)*$E37*SIN($K$53)-($N$52/3)*$F37*SIN($K$53)-($N$52/3)*$G37*SIN($K$53)</f>
        <v>10931.671280942101</v>
      </c>
      <c r="AW37" s="79">
        <f>IF(($A37&lt;'Alternative 3'!$B$27),(($H37*'Alternative 3'!$B$39)+(3*($N$52/3)*COS($K$53))),IF(($A37&lt;'Alternative 3'!$B$28),(($H37*'Alternative 3'!$B$39)+(2*(($N$52/3)*COS($K$53)))),IF(($A37&lt;'Alternative 3'!$B$29),(($H$3*'Alternative 3'!$B$39+(($N$52/3)*COS($K$53)))),($H37*'Alternative 3'!$B$39))))</f>
        <v>17006.661479167309</v>
      </c>
      <c r="AX37" s="78">
        <f>AV37*'Alternative 3'!$K38/'Alternative 3'!$L38</f>
        <v>345190.10041078523</v>
      </c>
      <c r="AY37" s="78">
        <f>AW37/'Alternative 3'!$M38</f>
        <v>10740.3990237737</v>
      </c>
      <c r="AZ37" s="78">
        <f t="shared" si="7"/>
        <v>0.3559304994345589</v>
      </c>
      <c r="BB37" s="78">
        <f>'Alternative 3'!$B$39*$B37*$C37*COS($K$63)-($N$62/3)*$E37*SIN($K$63)-($N$62/3)*$F37*SIN($K$63)-($N$62/3)*$G37*SIN($K$63)</f>
        <v>8503.3307395836564</v>
      </c>
      <c r="BC37" s="79">
        <f>IF(($A37&lt;'Alternative 3'!$B$27),(($H37*'Alternative 3'!$B$39)+(3*($N$62/3)*COS($K$63))),IF(($A37&lt;'Alternative 3'!$B$28),(($H37*'Alternative 3'!$B$39)+(2*(($N$62/3)*COS($K$63)))),IF(($A37&lt;'Alternative 3'!$B$29),(($H$3*'Alternative 3'!$B$39+(($N$62/3)*COS($K$63)))),($H37*'Alternative 3'!$B$39))))</f>
        <v>17006.661479167309</v>
      </c>
      <c r="BD37" s="78">
        <f>BB37*'Alternative 3'!$K38/'Alternative 3'!$L38</f>
        <v>268510.23200269841</v>
      </c>
      <c r="BE37" s="78">
        <f>BC37/'Alternative 3'!$M38</f>
        <v>10740.3990237737</v>
      </c>
      <c r="BF37" s="78">
        <f t="shared" si="8"/>
        <v>0.27925063102647207</v>
      </c>
      <c r="BH37" s="78">
        <f>'Alternative 3'!$B$39*$B37*$C37*COS($K$73)-($N$72/3)*$E37*SIN($K$73)-($N$72/3)*$F37*SIN($K$73)-($N$72/3)*$G37*SIN($K$73)</f>
        <v>5816.6207965959338</v>
      </c>
      <c r="BI37" s="79">
        <f>IF(($A37&lt;'Alternative 3'!$B$27),(($H37*'Alternative 3'!$B$39)+(3*($N$72/3)*COS($K$73))),IF(($A37&lt;'Alternative 3'!$B$28),(($H37*'Alternative 3'!$B$39)+(2*(($N$72/3)*COS($K$73)))),IF(($A37&lt;'Alternative 3'!$B$29),(($H$3*'Alternative 3'!$B$39+(($N$72/3)*COS($K$73)))),($H37*'Alternative 3'!$B$39))))</f>
        <v>17006.661479167309</v>
      </c>
      <c r="BJ37" s="78">
        <f>BH37*'Alternative 3'!$K38/'Alternative 3'!$L38</f>
        <v>183671.81606794294</v>
      </c>
      <c r="BK37" s="78">
        <f>BI37/'Alternative 3'!$M38</f>
        <v>10740.3990237737</v>
      </c>
      <c r="BL37" s="78">
        <f t="shared" si="9"/>
        <v>0.19441221509171663</v>
      </c>
      <c r="BN37" s="78">
        <f>'Alternative 3'!$B$39*$B37*$C37*COS($K$83)-($N$82/3)*$E37*SIN($K$83)-($N$82/3)*$F37*SIN($K$83)-($N$82/3)*$G37*SIN($K$83)</f>
        <v>2953.1757740557864</v>
      </c>
      <c r="BO37" s="79">
        <f>IF(($A37&lt;'Alternative 3'!$B$27),(($H37*'Alternative 3'!$B$39)+(3*($N$82/3)*COS($K$83))),IF(($A37&lt;'Alternative 3'!$B$28),(($H37*'Alternative 3'!$B$39)+(2*(($N$82/3)*COS($K$83)))),IF(($A37&lt;'Alternative 3'!$B$29),(($H$3*'Alternative 3'!$B$39+(($N$82/3)*COS($K$83)))),($H37*'Alternative 3'!$B$39))))</f>
        <v>17006.661479167309</v>
      </c>
      <c r="BP37" s="78">
        <f>BN37*'Alternative 3'!$K38/'Alternative 3'!$L38</f>
        <v>93252.624944386538</v>
      </c>
      <c r="BQ37" s="78">
        <f>BO37/'Alternative 3'!$M38</f>
        <v>10740.3990237737</v>
      </c>
      <c r="BR37" s="78">
        <f t="shared" si="10"/>
        <v>0.10399302396816024</v>
      </c>
      <c r="BT37" s="78">
        <f>'Alternative 3'!$B$39*$B37*$C37*COS($K$93)-($K$92/3)*$E37*SIN($K$93)-($K$92/3)*$F37*SIN($K$93)-($K$92/3)*$G37*SIN($K$93)</f>
        <v>1.0417842517177888E-12</v>
      </c>
      <c r="BU37" s="79">
        <f>IF(($A37&lt;'Alternative 3'!$B$27),(($H37*'Alternative 3'!$B$39)+(3*($N$92/3)*COS($K$93))),IF(($A37&lt;'Alternative 3'!$B$28),(($H37*'Alternative 3'!$B$39)+(2*(($N$92/3)*COS($K$93)))),IF(($A37&lt;'Alternative 3'!$B$29),(($H$3*'Alternative 3'!$B$39+(($N$92/3)*COS($K$93)))),($H37*'Alternative 3'!$B$39))))</f>
        <v>17006.661479167309</v>
      </c>
      <c r="BV37" s="78">
        <f>BT37*'Alternative 3'!$K38/'Alternative 3'!$L38</f>
        <v>3.2896489586526101E-11</v>
      </c>
      <c r="BW37" s="78">
        <f>BU37/'Alternative 3'!$M38</f>
        <v>10740.3990237737</v>
      </c>
      <c r="BX37" s="78">
        <f t="shared" si="11"/>
        <v>1.0740399023773732E-2</v>
      </c>
      <c r="BZ37" s="77">
        <v>150</v>
      </c>
      <c r="CA37" s="77">
        <v>-150</v>
      </c>
    </row>
    <row r="38" spans="1:79" ht="15" customHeight="1" x14ac:dyDescent="0.25">
      <c r="A38" s="13">
        <f>IF('Alternative 3'!F39&gt;0,'Alternative 3'!F39,"x")</f>
        <v>36</v>
      </c>
      <c r="B38" s="13">
        <f t="shared" si="17"/>
        <v>1</v>
      </c>
      <c r="C38" s="13">
        <f t="shared" si="12"/>
        <v>0.5</v>
      </c>
      <c r="D38" s="13">
        <f t="shared" si="13"/>
        <v>36</v>
      </c>
      <c r="E38" s="74">
        <f>IF($A38&lt;='Alternative 3'!$B$27, IF($A38='Alternative 3'!$B$27,0,E39+1),0)</f>
        <v>0</v>
      </c>
      <c r="F38" s="74">
        <f>IF($A38&lt;=('Alternative 3'!$B$28), IF($A38=ROUNDDOWN('Alternative 3'!$B$28,0),0,F39+1),0)</f>
        <v>0</v>
      </c>
      <c r="G38" s="74">
        <f>IF($A38&lt;=('Alternative 3'!$B$29), IF($A38=ROUNDDOWN('Alternative 3'!$B$29,0),0,G39+1),0)</f>
        <v>0</v>
      </c>
      <c r="H38" s="13">
        <f t="shared" si="14"/>
        <v>1</v>
      </c>
      <c r="J38" s="77">
        <f t="shared" si="15"/>
        <v>35</v>
      </c>
      <c r="K38" s="77">
        <f t="shared" si="16"/>
        <v>0.6108652381980153</v>
      </c>
      <c r="L38" s="78">
        <f>'Alternative 3'!$B$27*SIN(K38)+'Alternative 3'!$B$28*SIN(K38)+'Alternative 3'!$B$29*SIN(K38)</f>
        <v>39.003197671871135</v>
      </c>
      <c r="M38" s="77">
        <f>(('Alternative 3'!$B$27)*(((('Alternative 3'!$B$28-'Alternative 3'!$B$27)/2)+'Alternative 3'!$B$27)*'Alternative 3'!$B$39)*COS('Alternative 3-Tilt Up'!K38))+(('Alternative 3'!$B$28)*((('Alternative 3'!$B$28-'Alternative 3'!$B$27)/2)+(('Alternative 3'!$B$29-'Alternative 3'!$B$28)/2))*('Alternative 3'!$B$39)*COS('Alternative 3-Tilt Up'!K38))+(('Alternative 3'!$B$29)*((('Alternative 3'!$B$12-'Alternative 3'!$B$29+(('Alternative 3'!$B$29-'Alternative 3'!$B$28)/2)*('Alternative 3'!$B$39)*COS('Alternative 3-Tilt Up'!K38)))))</f>
        <v>3887823.0734546264</v>
      </c>
      <c r="N38" s="77">
        <f t="shared" si="0"/>
        <v>299038.79467748106</v>
      </c>
      <c r="O38" s="77">
        <f>(((('Alternative 3'!$B$28-'Alternative 3'!$B$27)/2)+'Alternative 3'!$B$27)*('Alternative 3'!$B$39)*COS('Alternative 3-Tilt Up'!K38))+(((('Alternative 3'!$B$28-'Alternative 3'!$B$27)/2)+(('Alternative 3'!$B$29-'Alternative 3'!$B$28)/2))*('Alternative 3'!$B$39)*COS('Alternative 3-Tilt Up'!K38))+(((('Alternative 3'!$B$12-'Alternative 3'!$B$29)+(('Alternative 3'!$B$29-'Alternative 3'!$B$28)/2))*('Alternative 3'!$B$39)*COS('Alternative 3-Tilt Up'!K38)))</f>
        <v>250758.74730943347</v>
      </c>
      <c r="P38" s="77">
        <f t="shared" si="1"/>
        <v>244958.23998177468</v>
      </c>
      <c r="R38" s="78">
        <f>'Alternative 3'!$B$39*$B38*$C38*COS($K$5)-($N$5/3)*$E38*SIN($K$5)-($N$5/3)*$F38*SIN($K$5)-($N$5/3)*$G38*SIN($K$5)</f>
        <v>4249.075370124704</v>
      </c>
      <c r="S38" s="79">
        <f>IF(($A38&lt;'Alternative 3'!$B$27),(($H38*'Alternative 3'!$B$39)+(3*($N$5/3)*COS($K$5))),IF(($A38&lt;'Alternative 3'!$B$28),(($H38*'Alternative 3'!$B$39)+(2*(($N$5/3)*COS($K$5)))),IF(($A38&lt;'Alternative 3'!$B$29),(($H$3*'Alternative 3'!$B$39+(($N$5/3)*COS($K$5)))),($H38*'Alternative 3'!$B$39))))</f>
        <v>8503.3307395836546</v>
      </c>
      <c r="T38" s="78">
        <f>R38*'Alternative 3'!$K39/'Alternative 3'!$L39</f>
        <v>138012.63672232218</v>
      </c>
      <c r="U38" s="78">
        <f>S38/'Alternative 3'!$M39</f>
        <v>5523.865186620912</v>
      </c>
      <c r="V38" s="78">
        <f t="shared" si="2"/>
        <v>0.1435365019089431</v>
      </c>
      <c r="X38" s="78">
        <f>'Alternative 3'!$B$39*$B38*$C38*COS($K$13)-($N$12/3)*$E38*SIN($K$13)-($N$12/3)*$F38*SIN($K$13)-($N$12/3)*$G38*SIN($K$13)</f>
        <v>4187.0730193845084</v>
      </c>
      <c r="Y38" s="79">
        <f>IF(($A38&lt;'Alternative 3'!$B$27),(($H38*'Alternative 3'!$B$39)+(3*($N$12/3)*COS($K$13))),IF(($A38&lt;'Alternative 3'!$B$28),(($H38*'Alternative 3'!$B$39)+(2*(($N$12/3)*COS($K$13)))),IF(($A38&lt;'Alternative 3'!$B$29),(($H$3*'Alternative 3'!$B$39+(($N$12/3)*COS($K$13)))),($H38*'Alternative 3'!$B$39))))</f>
        <v>8503.3307395836546</v>
      </c>
      <c r="Z38" s="78">
        <f>X38*'Alternative 3'!$K39/'Alternative 3'!$L39</f>
        <v>135998.76142869904</v>
      </c>
      <c r="AA38" s="78">
        <f>Y38/'Alternative 3'!$M39</f>
        <v>5523.865186620912</v>
      </c>
      <c r="AB38" s="78">
        <f t="shared" si="3"/>
        <v>0.14152262661531995</v>
      </c>
      <c r="AD38" s="78">
        <f>'Alternative 3'!$B$39*$B38*$C38*COS($K$23)-($N$22/3)*$E38*SIN($K$23)-($N$22/3)*$F38*SIN($K$23)-($N$22/3)*$G38*SIN($K$23)</f>
        <v>3995.2585740443706</v>
      </c>
      <c r="AE38" s="79">
        <f>IF(($A38&lt;'Alternative 3'!$B$27),(($H38*'Alternative 3'!$B$39)+(3*($N$22/3)*COS($K$23))),IF(($A38&lt;'Alternative 3'!$B$28),(($H38*'Alternative 3'!$B$39)+(2*(($N$22/3)*COS($K$23)))),IF(($A38&lt;'Alternative 3'!$B$29),(($H$3*'Alternative 3'!$B$39+(($N$22/3)*COS($K$23)))),($H38*'Alternative 3'!$B$39))))</f>
        <v>8503.3307395836546</v>
      </c>
      <c r="AF38" s="78">
        <f>AD38*'Alternative 3'!$K39/'Alternative 3'!$L39</f>
        <v>129768.50777187932</v>
      </c>
      <c r="AG38" s="78">
        <f>AE38/'Alternative 3'!$M39</f>
        <v>5523.865186620912</v>
      </c>
      <c r="AH38" s="78">
        <f t="shared" si="4"/>
        <v>0.13529237295850022</v>
      </c>
      <c r="AJ38" s="78">
        <f>'Alternative 3'!$B$39*$B38*$C38*COS($K$33)-($N$32/3)*$E38*SIN($K$33)-($N$32/3)*$F38*SIN($K$33)-($N$32/3)*$G38*SIN($K$33)</f>
        <v>3682.050218630282</v>
      </c>
      <c r="AK38" s="79">
        <f>IF(($A38&lt;'Alternative 3'!$B$27),(($H38*'Alternative 3'!$B$39)+(3*($N$32/3)*COS($K$33))),IF(($A38&lt;'Alternative 3'!$B$28),(($H38*'Alternative 3'!$B$39)+(2*(($N$32/3)*COS($K$33)))),IF(($A38&lt;'Alternative 3'!$B$29),(($H$3*'Alternative 3'!$B$39+(($N$32/3)*COS($K$33)))),($H38*'Alternative 3'!$B$39))))</f>
        <v>8503.3307395836546</v>
      </c>
      <c r="AL38" s="78">
        <f>AJ38*'Alternative 3'!$K39/'Alternative 3'!$L39</f>
        <v>119595.3036724444</v>
      </c>
      <c r="AM38" s="78">
        <f>AK38/'Alternative 3'!$M39</f>
        <v>5523.865186620912</v>
      </c>
      <c r="AN38" s="78">
        <f t="shared" si="5"/>
        <v>0.12511916885906529</v>
      </c>
      <c r="AP38" s="78">
        <f>'Alternative 3'!$B$39*$B38*$C38*COS($K$43)-($N$42/3)*$E38*SIN($K$43)-($N$42/3)*$F38*SIN($K$43)-($N$42/3)*$G38*SIN($K$43)</f>
        <v>3256.9646305304241</v>
      </c>
      <c r="AQ38" s="79">
        <f>IF(($A38&lt;'Alternative 3'!$B$27),(($H38*'Alternative 3'!$B$39)+(3*($N$42/3)*COS($K$43))),IF(($A38&lt;'Alternative 3'!$B$28),(($H38*'Alternative 3'!$B$39)+(2*(($N$42/3)*COS($K$43)))),IF(($A38&lt;'Alternative 3'!$B$29),(($H$3*'Alternative 3'!$B$39+(($N$42/3)*COS($K$43)))),($H38*'Alternative 3'!$B$39))))</f>
        <v>8503.3307395836546</v>
      </c>
      <c r="AR38" s="78">
        <f>AP38*'Alternative 3'!$K39/'Alternative 3'!$L39</f>
        <v>105788.25678906596</v>
      </c>
      <c r="AS38" s="78">
        <f>AQ38/'Alternative 3'!$M39</f>
        <v>5523.865186620912</v>
      </c>
      <c r="AT38" s="78">
        <f t="shared" si="6"/>
        <v>0.11131212197568686</v>
      </c>
      <c r="AV38" s="78">
        <f>'Alternative 3'!$B$39*$B38*$C38*COS($K$53)-($N$52/3)*$E38*SIN($K$53)-($N$52/3)*$F38*SIN($K$53)-($N$52/3)*$G38*SIN($K$53)</f>
        <v>2732.9178202355251</v>
      </c>
      <c r="AW38" s="79">
        <f>IF(($A38&lt;'Alternative 3'!$B$27),(($H38*'Alternative 3'!$B$39)+(3*($N$52/3)*COS($K$53))),IF(($A38&lt;'Alternative 3'!$B$28),(($H38*'Alternative 3'!$B$39)+(2*(($N$52/3)*COS($K$53)))),IF(($A38&lt;'Alternative 3'!$B$29),(($H$3*'Alternative 3'!$B$39+(($N$52/3)*COS($K$53)))),($H38*'Alternative 3'!$B$39))))</f>
        <v>8503.3307395836546</v>
      </c>
      <c r="AX38" s="78">
        <f>AV38*'Alternative 3'!$K39/'Alternative 3'!$L39</f>
        <v>88766.887254592628</v>
      </c>
      <c r="AY38" s="78">
        <f>AW38/'Alternative 3'!$M39</f>
        <v>5523.865186620912</v>
      </c>
      <c r="AZ38" s="78">
        <f t="shared" si="7"/>
        <v>9.4290752441213543E-2</v>
      </c>
      <c r="BB38" s="78">
        <f>'Alternative 3'!$B$39*$B38*$C38*COS($K$63)-($N$62/3)*$E38*SIN($K$63)-($N$62/3)*$F38*SIN($K$63)-($N$62/3)*$G38*SIN($K$63)</f>
        <v>2125.8326848959141</v>
      </c>
      <c r="BC38" s="79">
        <f>IF(($A38&lt;'Alternative 3'!$B$27),(($H38*'Alternative 3'!$B$39)+(3*($N$62/3)*COS($K$63))),IF(($A38&lt;'Alternative 3'!$B$28),(($H38*'Alternative 3'!$B$39)+(2*(($N$62/3)*COS($K$63)))),IF(($A38&lt;'Alternative 3'!$B$29),(($H$3*'Alternative 3'!$B$39+(($N$62/3)*COS($K$63)))),($H38*'Alternative 3'!$B$39))))</f>
        <v>8503.3307395836546</v>
      </c>
      <c r="BD38" s="78">
        <f>BB38*'Alternative 3'!$K39/'Alternative 3'!$L39</f>
        <v>69048.380769100811</v>
      </c>
      <c r="BE38" s="78">
        <f>BC38/'Alternative 3'!$M39</f>
        <v>5523.865186620912</v>
      </c>
      <c r="BF38" s="78">
        <f t="shared" si="8"/>
        <v>7.4572245955721719E-2</v>
      </c>
      <c r="BH38" s="78">
        <f>'Alternative 3'!$B$39*$B38*$C38*COS($K$73)-($N$72/3)*$E38*SIN($K$73)-($N$72/3)*$F38*SIN($K$73)-($N$72/3)*$G38*SIN($K$73)</f>
        <v>1454.1551991489835</v>
      </c>
      <c r="BI38" s="79">
        <f>IF(($A38&lt;'Alternative 3'!$B$27),(($H38*'Alternative 3'!$B$39)+(3*($N$72/3)*COS($K$73))),IF(($A38&lt;'Alternative 3'!$B$28),(($H38*'Alternative 3'!$B$39)+(2*(($N$72/3)*COS($K$73)))),IF(($A38&lt;'Alternative 3'!$B$29),(($H$3*'Alternative 3'!$B$39+(($N$72/3)*COS($K$73)))),($H38*'Alternative 3'!$B$39))))</f>
        <v>8503.3307395836546</v>
      </c>
      <c r="BJ38" s="78">
        <f>BH38*'Alternative 3'!$K39/'Alternative 3'!$L39</f>
        <v>47231.874174106422</v>
      </c>
      <c r="BK38" s="78">
        <f>BI38/'Alternative 3'!$M39</f>
        <v>5523.865186620912</v>
      </c>
      <c r="BL38" s="78">
        <f t="shared" si="9"/>
        <v>5.2755739360727333E-2</v>
      </c>
      <c r="BN38" s="78">
        <f>'Alternative 3'!$B$39*$B38*$C38*COS($K$83)-($N$82/3)*$E38*SIN($K$83)-($N$82/3)*$F38*SIN($K$83)-($N$82/3)*$G38*SIN($K$83)</f>
        <v>738.2939435139466</v>
      </c>
      <c r="BO38" s="79">
        <f>IF(($A38&lt;'Alternative 3'!$B$27),(($H38*'Alternative 3'!$B$39)+(3*($N$82/3)*COS($K$83))),IF(($A38&lt;'Alternative 3'!$B$28),(($H38*'Alternative 3'!$B$39)+(2*(($N$82/3)*COS($K$83)))),IF(($A38&lt;'Alternative 3'!$B$29),(($H$3*'Alternative 3'!$B$39+(($N$82/3)*COS($K$83)))),($H38*'Alternative 3'!$B$39))))</f>
        <v>8503.3307395836546</v>
      </c>
      <c r="BP38" s="78">
        <f>BN38*'Alternative 3'!$K39/'Alternative 3'!$L39</f>
        <v>23980.250982813355</v>
      </c>
      <c r="BQ38" s="78">
        <f>BO38/'Alternative 3'!$M39</f>
        <v>5523.865186620912</v>
      </c>
      <c r="BR38" s="78">
        <f t="shared" si="10"/>
        <v>2.9504116169434266E-2</v>
      </c>
      <c r="BT38" s="78">
        <f>'Alternative 3'!$B$39*$B38*$C38*COS($K$93)-($K$92/3)*$E38*SIN($K$93)-($K$92/3)*$F38*SIN($K$93)-($K$92/3)*$G38*SIN($K$93)</f>
        <v>2.6044606292944721E-13</v>
      </c>
      <c r="BU38" s="79">
        <f>IF(($A38&lt;'Alternative 3'!$B$27),(($H38*'Alternative 3'!$B$39)+(3*($N$92/3)*COS($K$93))),IF(($A38&lt;'Alternative 3'!$B$28),(($H38*'Alternative 3'!$B$39)+(2*(($N$92/3)*COS($K$93)))),IF(($A38&lt;'Alternative 3'!$B$29),(($H$3*'Alternative 3'!$B$39+(($N$92/3)*COS($K$93)))),($H38*'Alternative 3'!$B$39))))</f>
        <v>8503.3307395836546</v>
      </c>
      <c r="BV38" s="78">
        <f>BT38*'Alternative 3'!$K39/'Alternative 3'!$L39</f>
        <v>8.4594517013205931E-12</v>
      </c>
      <c r="BW38" s="78">
        <f>BU38/'Alternative 3'!$M39</f>
        <v>5523.865186620912</v>
      </c>
      <c r="BX38" s="78">
        <f t="shared" si="11"/>
        <v>5.5238651866209203E-3</v>
      </c>
      <c r="BZ38" s="77">
        <v>150</v>
      </c>
      <c r="CA38" s="77">
        <v>-150</v>
      </c>
    </row>
    <row r="39" spans="1:79" ht="15" customHeight="1" x14ac:dyDescent="0.25">
      <c r="A39" s="13" t="str">
        <f>IF('Alternative 3'!F40&gt;0,'Alternative 3'!F40,"x")</f>
        <v>x</v>
      </c>
      <c r="B39" s="13" t="str">
        <f t="shared" si="17"/>
        <v>x</v>
      </c>
      <c r="C39" s="13">
        <f t="shared" si="12"/>
        <v>0</v>
      </c>
      <c r="D39" s="13" t="str">
        <f t="shared" si="13"/>
        <v>x</v>
      </c>
      <c r="E39" s="74">
        <f>IF($A39&lt;='Alternative 3'!$B$27, IF($A39='Alternative 3'!$B$27,0,E40+1),0)</f>
        <v>0</v>
      </c>
      <c r="F39" s="74">
        <f>IF($A39&lt;=('Alternative 3'!$B$28), IF($A39=ROUNDDOWN('Alternative 3'!$B$28,0),0,F40+1),0)</f>
        <v>0</v>
      </c>
      <c r="G39" s="74">
        <f>IF($A39&lt;=('Alternative 3'!$B$29), IF($A39=ROUNDDOWN('Alternative 3'!$B$29,0),0,G40+1),0)</f>
        <v>0</v>
      </c>
      <c r="H39" s="13" t="str">
        <f t="shared" si="14"/>
        <v>x</v>
      </c>
      <c r="J39" s="77">
        <f t="shared" si="15"/>
        <v>36</v>
      </c>
      <c r="K39" s="77">
        <f t="shared" si="16"/>
        <v>0.62831853071795862</v>
      </c>
      <c r="L39" s="78">
        <f>'Alternative 3'!$B$27*SIN(K39)+'Alternative 3'!$B$28*SIN(K39)+'Alternative 3'!$B$29*SIN(K39)</f>
        <v>39.969397155888174</v>
      </c>
      <c r="M39" s="77">
        <f>(('Alternative 3'!$B$27)*(((('Alternative 3'!$B$28-'Alternative 3'!$B$27)/2)+'Alternative 3'!$B$27)*'Alternative 3'!$B$39)*COS('Alternative 3-Tilt Up'!K39))+(('Alternative 3'!$B$28)*((('Alternative 3'!$B$28-'Alternative 3'!$B$27)/2)+(('Alternative 3'!$B$29-'Alternative 3'!$B$28)/2))*('Alternative 3'!$B$39)*COS('Alternative 3-Tilt Up'!K39))+(('Alternative 3'!$B$29)*((('Alternative 3'!$B$12-'Alternative 3'!$B$29+(('Alternative 3'!$B$29-'Alternative 3'!$B$28)/2)*('Alternative 3'!$B$39)*COS('Alternative 3-Tilt Up'!K39)))))</f>
        <v>3839722.9698777962</v>
      </c>
      <c r="N39" s="77">
        <f t="shared" si="0"/>
        <v>288199.71601539198</v>
      </c>
      <c r="O39" s="77">
        <f>(((('Alternative 3'!$B$28-'Alternative 3'!$B$27)/2)+'Alternative 3'!$B$27)*('Alternative 3'!$B$39)*COS('Alternative 3-Tilt Up'!K39))+(((('Alternative 3'!$B$28-'Alternative 3'!$B$27)/2)+(('Alternative 3'!$B$29-'Alternative 3'!$B$28)/2))*('Alternative 3'!$B$39)*COS('Alternative 3-Tilt Up'!K39))+(((('Alternative 3'!$B$12-'Alternative 3'!$B$29)+(('Alternative 3'!$B$29-'Alternative 3'!$B$28)/2))*('Alternative 3'!$B$39)*COS('Alternative 3-Tilt Up'!K39)))</f>
        <v>247656.20677610641</v>
      </c>
      <c r="P39" s="77">
        <f t="shared" si="1"/>
        <v>233158.46803048582</v>
      </c>
      <c r="R39" s="78" t="e">
        <f>'Alternative 3'!$B$39*$B39*$C39*COS($K$5)-($N$5/3)*$E39*SIN($K$5)-($N$5/3)*$F39*SIN($K$5)-($N$5/3)*$G39*SIN($K$5)</f>
        <v>#VALUE!</v>
      </c>
      <c r="S39" s="79" t="e">
        <f>IF(($A39&lt;'Alternative 3'!$B$27),(($H39*'Alternative 3'!$B$39)+(3*($N$5/3)*COS($K$5))),IF(($A39&lt;'Alternative 3'!$B$28),(($H39*'Alternative 3'!$B$39)+(2*(($N$5/3)*COS($K$5)))),IF(($A39&lt;'Alternative 3'!$B$29),(($H$3*'Alternative 3'!$B$39+(($N$5/3)*COS($K$5)))),($H39*'Alternative 3'!$B$39))))</f>
        <v>#VALUE!</v>
      </c>
      <c r="T39" s="78" t="e">
        <f>R39*'Alternative 3'!$K40/'Alternative 3'!$L40</f>
        <v>#VALUE!</v>
      </c>
      <c r="U39" s="78" t="e">
        <f>S39/'Alternative 3'!$M40</f>
        <v>#VALUE!</v>
      </c>
      <c r="V39" s="78" t="e">
        <f t="shared" si="2"/>
        <v>#VALUE!</v>
      </c>
      <c r="X39" s="78" t="e">
        <f>'Alternative 3'!$B$39*$B39*$C39*COS($K$13)-($N$12/3)*$E39*SIN($K$13)-($N$12/3)*$F39*SIN($K$13)-($N$12/3)*$G39*SIN($K$13)</f>
        <v>#VALUE!</v>
      </c>
      <c r="Y39" s="79" t="e">
        <f>IF(($A39&lt;'Alternative 3'!$B$27),(($H39*'Alternative 3'!$B$39)+(3*($N$12/3)*COS($K$13))),IF(($A39&lt;'Alternative 3'!$B$28),(($H39*'Alternative 3'!$B$39)+(2*(($N$12/3)*COS($K$13)))),IF(($A39&lt;'Alternative 3'!$B$29),(($H$3*'Alternative 3'!$B$39+(($N$12/3)*COS($K$13)))),($H39*'Alternative 3'!$B$39))))</f>
        <v>#VALUE!</v>
      </c>
      <c r="Z39" s="78" t="e">
        <f>X39*'Alternative 3'!$K40/'Alternative 3'!$L40</f>
        <v>#VALUE!</v>
      </c>
      <c r="AA39" s="78" t="e">
        <f>Y39/'Alternative 3'!$M40</f>
        <v>#VALUE!</v>
      </c>
      <c r="AB39" s="78" t="e">
        <f t="shared" si="3"/>
        <v>#VALUE!</v>
      </c>
      <c r="AD39" s="78" t="e">
        <f>'Alternative 3'!$B$39*$B39*$C39*COS($K$23)-($N$22/3)*$E39*SIN($K$23)-($N$22/3)*$F39*SIN($K$23)-($N$22/3)*$G39*SIN($K$23)</f>
        <v>#VALUE!</v>
      </c>
      <c r="AE39" s="79" t="e">
        <f>IF(($A39&lt;'Alternative 3'!$B$27),(($H39*'Alternative 3'!$B$39)+(3*($N$22/3)*COS($K$23))),IF(($A39&lt;'Alternative 3'!$B$28),(($H39*'Alternative 3'!$B$39)+(2*(($N$22/3)*COS($K$23)))),IF(($A39&lt;'Alternative 3'!$B$29),(($H$3*'Alternative 3'!$B$39+(($N$22/3)*COS($K$23)))),($H39*'Alternative 3'!$B$39))))</f>
        <v>#VALUE!</v>
      </c>
      <c r="AF39" s="78" t="e">
        <f>AD39*'Alternative 3'!$K40/'Alternative 3'!$L40</f>
        <v>#VALUE!</v>
      </c>
      <c r="AG39" s="78" t="e">
        <f>AE39/'Alternative 3'!$M40</f>
        <v>#VALUE!</v>
      </c>
      <c r="AH39" s="78" t="e">
        <f t="shared" si="4"/>
        <v>#VALUE!</v>
      </c>
      <c r="AJ39" s="78" t="e">
        <f>'Alternative 3'!$B$39*$B39*$C39*COS($K$33)-($N$32/3)*$E39*SIN($K$33)-($N$32/3)*$F39*SIN($K$33)-($N$32/3)*$G39*SIN($K$33)</f>
        <v>#VALUE!</v>
      </c>
      <c r="AK39" s="79" t="e">
        <f>IF(($A39&lt;'Alternative 3'!$B$27),(($H39*'Alternative 3'!$B$39)+(3*($N$32/3)*COS($K$33))),IF(($A39&lt;'Alternative 3'!$B$28),(($H39*'Alternative 3'!$B$39)+(2*(($N$32/3)*COS($K$33)))),IF(($A39&lt;'Alternative 3'!$B$29),(($H$3*'Alternative 3'!$B$39+(($N$32/3)*COS($K$33)))),($H39*'Alternative 3'!$B$39))))</f>
        <v>#VALUE!</v>
      </c>
      <c r="AL39" s="78" t="e">
        <f>AJ39*'Alternative 3'!$K40/'Alternative 3'!$L40</f>
        <v>#VALUE!</v>
      </c>
      <c r="AM39" s="78" t="e">
        <f>AK39/'Alternative 3'!$M40</f>
        <v>#VALUE!</v>
      </c>
      <c r="AN39" s="78" t="e">
        <f t="shared" si="5"/>
        <v>#VALUE!</v>
      </c>
      <c r="AP39" s="78" t="e">
        <f>'Alternative 3'!$B$39*$B39*$C39*COS($K$43)-($N$42/3)*$E39*SIN($K$43)-($N$42/3)*$F39*SIN($K$43)-($N$42/3)*$G39*SIN($K$43)</f>
        <v>#VALUE!</v>
      </c>
      <c r="AQ39" s="79" t="e">
        <f>IF(($A39&lt;'Alternative 3'!$B$27),(($H39*'Alternative 3'!$B$39)+(3*($N$42/3)*COS($K$43))),IF(($A39&lt;'Alternative 3'!$B$28),(($H39*'Alternative 3'!$B$39)+(2*(($N$42/3)*COS($K$43)))),IF(($A39&lt;'Alternative 3'!$B$29),(($H$3*'Alternative 3'!$B$39+(($N$42/3)*COS($K$43)))),($H39*'Alternative 3'!$B$39))))</f>
        <v>#VALUE!</v>
      </c>
      <c r="AR39" s="78" t="e">
        <f>AP39*'Alternative 3'!$K40/'Alternative 3'!$L40</f>
        <v>#VALUE!</v>
      </c>
      <c r="AS39" s="78" t="e">
        <f>AQ39/'Alternative 3'!$M40</f>
        <v>#VALUE!</v>
      </c>
      <c r="AT39" s="78" t="e">
        <f t="shared" si="6"/>
        <v>#VALUE!</v>
      </c>
      <c r="AV39" s="78" t="e">
        <f>'Alternative 3'!$B$39*$B39*$C39*COS($K$53)-($N$52/3)*$E39*SIN($K$53)-($N$52/3)*$F39*SIN($K$53)-($N$52/3)*$G39*SIN($K$53)</f>
        <v>#VALUE!</v>
      </c>
      <c r="AW39" s="79" t="e">
        <f>IF(($A39&lt;'Alternative 3'!$B$27),(($H39*'Alternative 3'!$B$39)+(3*($N$52/3)*COS($K$53))),IF(($A39&lt;'Alternative 3'!$B$28),(($H39*'Alternative 3'!$B$39)+(2*(($N$52/3)*COS($K$53)))),IF(($A39&lt;'Alternative 3'!$B$29),(($H$3*'Alternative 3'!$B$39+(($N$52/3)*COS($K$53)))),($H39*'Alternative 3'!$B$39))))</f>
        <v>#VALUE!</v>
      </c>
      <c r="AX39" s="78" t="e">
        <f>AV39*'Alternative 3'!$K40/'Alternative 3'!$L40</f>
        <v>#VALUE!</v>
      </c>
      <c r="AY39" s="78" t="e">
        <f>AW39/'Alternative 3'!$M40</f>
        <v>#VALUE!</v>
      </c>
      <c r="AZ39" s="78" t="e">
        <f t="shared" si="7"/>
        <v>#VALUE!</v>
      </c>
      <c r="BB39" s="78" t="e">
        <f>'Alternative 3'!$B$39*$B39*$C39*COS($K$63)-($N$62/3)*$E39*SIN($K$63)-($N$62/3)*$F39*SIN($K$63)-($N$62/3)*$G39*SIN($K$63)</f>
        <v>#VALUE!</v>
      </c>
      <c r="BC39" s="79" t="e">
        <f>IF(($A39&lt;'Alternative 3'!$B$27),(($H39*'Alternative 3'!$B$39)+(3*($N$62/3)*COS($K$63))),IF(($A39&lt;'Alternative 3'!$B$28),(($H39*'Alternative 3'!$B$39)+(2*(($N$62/3)*COS($K$63)))),IF(($A39&lt;'Alternative 3'!$B$29),(($H$3*'Alternative 3'!$B$39+(($N$62/3)*COS($K$63)))),($H39*'Alternative 3'!$B$39))))</f>
        <v>#VALUE!</v>
      </c>
      <c r="BD39" s="78" t="e">
        <f>BB39*'Alternative 3'!$K40/'Alternative 3'!$L40</f>
        <v>#VALUE!</v>
      </c>
      <c r="BE39" s="78" t="e">
        <f>BC39/'Alternative 3'!$M40</f>
        <v>#VALUE!</v>
      </c>
      <c r="BF39" s="78" t="e">
        <f t="shared" si="8"/>
        <v>#VALUE!</v>
      </c>
      <c r="BH39" s="78" t="e">
        <f>'Alternative 3'!$B$39*$B39*$C39*COS($K$73)-($N$72/3)*$E39*SIN($K$73)-($N$72/3)*$F39*SIN($K$73)-($N$72/3)*$G39*SIN($K$73)</f>
        <v>#VALUE!</v>
      </c>
      <c r="BI39" s="79" t="e">
        <f>IF(($A39&lt;'Alternative 3'!$B$27),(($H39*'Alternative 3'!$B$39)+(3*($N$72/3)*COS($K$73))),IF(($A39&lt;'Alternative 3'!$B$28),(($H39*'Alternative 3'!$B$39)+(2*(($N$72/3)*COS($K$73)))),IF(($A39&lt;'Alternative 3'!$B$29),(($H$3*'Alternative 3'!$B$39+(($N$72/3)*COS($K$73)))),($H39*'Alternative 3'!$B$39))))</f>
        <v>#VALUE!</v>
      </c>
      <c r="BJ39" s="78" t="e">
        <f>BH39*'Alternative 3'!$K40/'Alternative 3'!$L40</f>
        <v>#VALUE!</v>
      </c>
      <c r="BK39" s="78" t="e">
        <f>BI39/'Alternative 3'!$M40</f>
        <v>#VALUE!</v>
      </c>
      <c r="BL39" s="78" t="e">
        <f t="shared" si="9"/>
        <v>#VALUE!</v>
      </c>
      <c r="BN39" s="78" t="e">
        <f>'Alternative 3'!$B$39*$B39*$C39*COS($K$83)-($N$82/3)*$E39*SIN($K$83)-($N$82/3)*$F39*SIN($K$83)-($N$82/3)*$G39*SIN($K$83)</f>
        <v>#VALUE!</v>
      </c>
      <c r="BO39" s="79" t="e">
        <f>IF(($A39&lt;'Alternative 3'!$B$27),(($H39*'Alternative 3'!$B$39)+(3*($N$82/3)*COS($K$83))),IF(($A39&lt;'Alternative 3'!$B$28),(($H39*'Alternative 3'!$B$39)+(2*(($N$82/3)*COS($K$83)))),IF(($A39&lt;'Alternative 3'!$B$29),(($H$3*'Alternative 3'!$B$39+(($N$82/3)*COS($K$83)))),($H39*'Alternative 3'!$B$39))))</f>
        <v>#VALUE!</v>
      </c>
      <c r="BP39" s="78" t="e">
        <f>BN39*'Alternative 3'!$K40/'Alternative 3'!$L40</f>
        <v>#VALUE!</v>
      </c>
      <c r="BQ39" s="78" t="e">
        <f>BO39/'Alternative 3'!$M40</f>
        <v>#VALUE!</v>
      </c>
      <c r="BR39" s="78" t="e">
        <f t="shared" si="10"/>
        <v>#VALUE!</v>
      </c>
      <c r="BT39" s="78" t="e">
        <f>'Alternative 3'!$B$39*$B39*$C39*COS($K$93)-($K$92/3)*$E39*SIN($K$93)-($K$92/3)*$F39*SIN($K$93)-($K$92/3)*$G39*SIN($K$93)</f>
        <v>#VALUE!</v>
      </c>
      <c r="BU39" s="79" t="e">
        <f>IF(($A39&lt;'Alternative 3'!$B$27),(($H39*'Alternative 3'!$B$39)+(3*($N$92/3)*COS($K$93))),IF(($A39&lt;'Alternative 3'!$B$28),(($H39*'Alternative 3'!$B$39)+(2*(($N$92/3)*COS($K$93)))),IF(($A39&lt;'Alternative 3'!$B$29),(($H$3*'Alternative 3'!$B$39+(($N$92/3)*COS($K$93)))),($H39*'Alternative 3'!$B$39))))</f>
        <v>#VALUE!</v>
      </c>
      <c r="BV39" s="78" t="e">
        <f>BT39*'Alternative 3'!$K40/'Alternative 3'!$L40</f>
        <v>#VALUE!</v>
      </c>
      <c r="BW39" s="78" t="e">
        <f>BU39/'Alternative 3'!$M40</f>
        <v>#VALUE!</v>
      </c>
      <c r="BX39" s="78" t="e">
        <f t="shared" si="11"/>
        <v>#VALUE!</v>
      </c>
      <c r="BZ39" s="77">
        <v>150</v>
      </c>
      <c r="CA39" s="77">
        <v>-150</v>
      </c>
    </row>
    <row r="40" spans="1:79" ht="15" customHeight="1" x14ac:dyDescent="0.25">
      <c r="A40" s="13" t="str">
        <f>IF('Alternative 3'!F41&gt;0,'Alternative 3'!F41,"x")</f>
        <v>x</v>
      </c>
      <c r="B40" s="13" t="e">
        <f t="shared" si="17"/>
        <v>#VALUE!</v>
      </c>
      <c r="C40" s="13">
        <f t="shared" si="12"/>
        <v>0</v>
      </c>
      <c r="D40" s="13" t="str">
        <f t="shared" si="13"/>
        <v>x</v>
      </c>
      <c r="E40" s="74">
        <f>IF($A40&lt;='Alternative 3'!$B$27, IF($A40='Alternative 3'!$B$27,0,E41+1),0)</f>
        <v>0</v>
      </c>
      <c r="F40" s="74">
        <f>IF($A40&lt;=('Alternative 3'!$B$28), IF($A40=ROUNDDOWN('Alternative 3'!$B$28,0),0,F41+1),0)</f>
        <v>0</v>
      </c>
      <c r="G40" s="74">
        <f>IF($A40&lt;=('Alternative 3'!$B$29), IF($A40=ROUNDDOWN('Alternative 3'!$B$29,0),0,G41+1),0)</f>
        <v>0</v>
      </c>
      <c r="H40" s="13" t="e">
        <f t="shared" si="14"/>
        <v>#VALUE!</v>
      </c>
      <c r="J40" s="77">
        <f t="shared" si="15"/>
        <v>37</v>
      </c>
      <c r="K40" s="77">
        <f t="shared" si="16"/>
        <v>0.64577182323790194</v>
      </c>
      <c r="L40" s="78">
        <f>'Alternative 3'!$B$27*SIN(K40)+'Alternative 3'!$B$28*SIN(K40)+'Alternative 3'!$B$29*SIN(K40)</f>
        <v>40.923421574339287</v>
      </c>
      <c r="M40" s="77">
        <f>(('Alternative 3'!$B$27)*(((('Alternative 3'!$B$28-'Alternative 3'!$B$27)/2)+'Alternative 3'!$B$27)*'Alternative 3'!$B$39)*COS('Alternative 3-Tilt Up'!K40))+(('Alternative 3'!$B$28)*((('Alternative 3'!$B$28-'Alternative 3'!$B$27)/2)+(('Alternative 3'!$B$29-'Alternative 3'!$B$28)/2))*('Alternative 3'!$B$39)*COS('Alternative 3-Tilt Up'!K40))+(('Alternative 3'!$B$29)*((('Alternative 3'!$B$12-'Alternative 3'!$B$29+(('Alternative 3'!$B$29-'Alternative 3'!$B$28)/2)*('Alternative 3'!$B$39)*COS('Alternative 3-Tilt Up'!K40)))))</f>
        <v>3790453.3090792373</v>
      </c>
      <c r="N40" s="77">
        <f t="shared" si="0"/>
        <v>277869.23697426205</v>
      </c>
      <c r="O40" s="77">
        <f>(((('Alternative 3'!$B$28-'Alternative 3'!$B$27)/2)+'Alternative 3'!$B$27)*('Alternative 3'!$B$39)*COS('Alternative 3-Tilt Up'!K40))+(((('Alternative 3'!$B$28-'Alternative 3'!$B$27)/2)+(('Alternative 3'!$B$29-'Alternative 3'!$B$28)/2))*('Alternative 3'!$B$39)*COS('Alternative 3-Tilt Up'!K40))+(((('Alternative 3'!$B$12-'Alternative 3'!$B$29)+(('Alternative 3'!$B$29-'Alternative 3'!$B$28)/2))*('Alternative 3'!$B$39)*COS('Alternative 3-Tilt Up'!K40)))</f>
        <v>244478.22776309578</v>
      </c>
      <c r="P40" s="77">
        <f t="shared" si="1"/>
        <v>221916.23979739184</v>
      </c>
      <c r="R40" s="78" t="e">
        <f>'Alternative 3'!$B$39*$B40*$C40*COS($K$5)-($N$5/3)*$E40*SIN($K$5)-($N$5/3)*$F40*SIN($K$5)-($N$5/3)*$G40*SIN($K$5)</f>
        <v>#VALUE!</v>
      </c>
      <c r="S40" s="79" t="e">
        <f>IF(($A40&lt;'Alternative 3'!$B$27),(($H40*'Alternative 3'!$B$39)+(3*($N$5/3)*COS($K$5))),IF(($A40&lt;'Alternative 3'!$B$28),(($H40*'Alternative 3'!$B$39)+(2*(($N$5/3)*COS($K$5)))),IF(($A40&lt;'Alternative 3'!$B$29),(($H$3*'Alternative 3'!$B$39+(($N$5/3)*COS($K$5)))),($H40*'Alternative 3'!$B$39))))</f>
        <v>#VALUE!</v>
      </c>
      <c r="T40" s="78" t="e">
        <f>R40*'Alternative 3'!$K41/'Alternative 3'!$L41</f>
        <v>#VALUE!</v>
      </c>
      <c r="U40" s="78" t="e">
        <f>S40/'Alternative 3'!$M41</f>
        <v>#VALUE!</v>
      </c>
      <c r="V40" s="78" t="e">
        <f t="shared" si="2"/>
        <v>#VALUE!</v>
      </c>
      <c r="X40" s="78" t="e">
        <f>'Alternative 3'!$B$39*$B40*$C40*COS($K$13)-($N$12/3)*$E40*SIN($K$13)-($N$12/3)*$F40*SIN($K$13)-($N$12/3)*$G40*SIN($K$13)</f>
        <v>#VALUE!</v>
      </c>
      <c r="Y40" s="79" t="e">
        <f>IF(($A40&lt;'Alternative 3'!$B$27),(($H40*'Alternative 3'!$B$39)+(3*($N$12/3)*COS($K$13))),IF(($A40&lt;'Alternative 3'!$B$28),(($H40*'Alternative 3'!$B$39)+(2*(($N$12/3)*COS($K$13)))),IF(($A40&lt;'Alternative 3'!$B$29),(($H$3*'Alternative 3'!$B$39+(($N$12/3)*COS($K$13)))),($H40*'Alternative 3'!$B$39))))</f>
        <v>#VALUE!</v>
      </c>
      <c r="Z40" s="78" t="e">
        <f>X40*'Alternative 3'!$K41/'Alternative 3'!$L41</f>
        <v>#VALUE!</v>
      </c>
      <c r="AA40" s="78" t="e">
        <f>Y40/'Alternative 3'!$M41</f>
        <v>#VALUE!</v>
      </c>
      <c r="AB40" s="78" t="e">
        <f t="shared" si="3"/>
        <v>#VALUE!</v>
      </c>
      <c r="AD40" s="78" t="e">
        <f>'Alternative 3'!$B$39*$B40*$C40*COS($K$23)-($N$22/3)*$E40*SIN($K$23)-($N$22/3)*$F40*SIN($K$23)-($N$22/3)*$G40*SIN($K$23)</f>
        <v>#VALUE!</v>
      </c>
      <c r="AE40" s="79" t="e">
        <f>IF(($A40&lt;'Alternative 3'!$B$27),(($H40*'Alternative 3'!$B$39)+(3*($N$22/3)*COS($K$23))),IF(($A40&lt;'Alternative 3'!$B$28),(($H40*'Alternative 3'!$B$39)+(2*(($N$22/3)*COS($K$23)))),IF(($A40&lt;'Alternative 3'!$B$29),(($H$3*'Alternative 3'!$B$39+(($N$22/3)*COS($K$23)))),($H40*'Alternative 3'!$B$39))))</f>
        <v>#VALUE!</v>
      </c>
      <c r="AF40" s="78" t="e">
        <f>AD40*'Alternative 3'!$K41/'Alternative 3'!$L41</f>
        <v>#VALUE!</v>
      </c>
      <c r="AG40" s="78" t="e">
        <f>AE40/'Alternative 3'!$M41</f>
        <v>#VALUE!</v>
      </c>
      <c r="AH40" s="78" t="e">
        <f t="shared" si="4"/>
        <v>#VALUE!</v>
      </c>
      <c r="AJ40" s="78" t="e">
        <f>'Alternative 3'!$B$39*$B40*$C40*COS($K$33)-($N$32/3)*$E40*SIN($K$33)-($N$32/3)*$F40*SIN($K$33)-($N$32/3)*$G40*SIN($K$33)</f>
        <v>#VALUE!</v>
      </c>
      <c r="AK40" s="79" t="e">
        <f>IF(($A40&lt;'Alternative 3'!$B$27),(($H40*'Alternative 3'!$B$39)+(3*($N$32/3)*COS($K$33))),IF(($A40&lt;'Alternative 3'!$B$28),(($H40*'Alternative 3'!$B$39)+(2*(($N$32/3)*COS($K$33)))),IF(($A40&lt;'Alternative 3'!$B$29),(($H$3*'Alternative 3'!$B$39+(($N$32/3)*COS($K$33)))),($H40*'Alternative 3'!$B$39))))</f>
        <v>#VALUE!</v>
      </c>
      <c r="AL40" s="78" t="e">
        <f>AJ40*'Alternative 3'!$K41/'Alternative 3'!$L41</f>
        <v>#VALUE!</v>
      </c>
      <c r="AM40" s="78" t="e">
        <f>AK40/'Alternative 3'!$M41</f>
        <v>#VALUE!</v>
      </c>
      <c r="AN40" s="78" t="e">
        <f t="shared" si="5"/>
        <v>#VALUE!</v>
      </c>
      <c r="AP40" s="78" t="e">
        <f>'Alternative 3'!$B$39*$B40*$C40*COS($K$43)-($N$42/3)*$E40*SIN($K$43)-($N$42/3)*$F40*SIN($K$43)-($N$42/3)*$G40*SIN($K$43)</f>
        <v>#VALUE!</v>
      </c>
      <c r="AQ40" s="79" t="e">
        <f>IF(($A40&lt;'Alternative 3'!$B$27),(($H40*'Alternative 3'!$B$39)+(3*($N$42/3)*COS($K$43))),IF(($A40&lt;'Alternative 3'!$B$28),(($H40*'Alternative 3'!$B$39)+(2*(($N$42/3)*COS($K$43)))),IF(($A40&lt;'Alternative 3'!$B$29),(($H$3*'Alternative 3'!$B$39+(($N$42/3)*COS($K$43)))),($H40*'Alternative 3'!$B$39))))</f>
        <v>#VALUE!</v>
      </c>
      <c r="AR40" s="78" t="e">
        <f>AP40*'Alternative 3'!$K41/'Alternative 3'!$L41</f>
        <v>#VALUE!</v>
      </c>
      <c r="AS40" s="78" t="e">
        <f>AQ40/'Alternative 3'!$M41</f>
        <v>#VALUE!</v>
      </c>
      <c r="AT40" s="78" t="e">
        <f t="shared" si="6"/>
        <v>#VALUE!</v>
      </c>
      <c r="AV40" s="78" t="e">
        <f>'Alternative 3'!$B$39*$B40*$C40*COS($K$53)-($N$52/3)*$E40*SIN($K$53)-($N$52/3)*$F40*SIN($K$53)-($N$52/3)*$G40*SIN($K$53)</f>
        <v>#VALUE!</v>
      </c>
      <c r="AW40" s="79" t="e">
        <f>IF(($A40&lt;'Alternative 3'!$B$27),(($H40*'Alternative 3'!$B$39)+(3*($N$52/3)*COS($K$53))),IF(($A40&lt;'Alternative 3'!$B$28),(($H40*'Alternative 3'!$B$39)+(2*(($N$52/3)*COS($K$53)))),IF(($A40&lt;'Alternative 3'!$B$29),(($H$3*'Alternative 3'!$B$39+(($N$52/3)*COS($K$53)))),($H40*'Alternative 3'!$B$39))))</f>
        <v>#VALUE!</v>
      </c>
      <c r="AX40" s="78" t="e">
        <f>AV40*'Alternative 3'!$K41/'Alternative 3'!$L41</f>
        <v>#VALUE!</v>
      </c>
      <c r="AY40" s="78" t="e">
        <f>AW40/'Alternative 3'!$M41</f>
        <v>#VALUE!</v>
      </c>
      <c r="AZ40" s="78" t="e">
        <f t="shared" si="7"/>
        <v>#VALUE!</v>
      </c>
      <c r="BB40" s="78" t="e">
        <f>'Alternative 3'!$B$39*$B40*$C40*COS($K$63)-($N$62/3)*$E40*SIN($K$63)-($N$62/3)*$F40*SIN($K$63)-($N$62/3)*$G40*SIN($K$63)</f>
        <v>#VALUE!</v>
      </c>
      <c r="BC40" s="79" t="e">
        <f>IF(($A40&lt;'Alternative 3'!$B$27),(($H40*'Alternative 3'!$B$39)+(3*($N$62/3)*COS($K$63))),IF(($A40&lt;'Alternative 3'!$B$28),(($H40*'Alternative 3'!$B$39)+(2*(($N$62/3)*COS($K$63)))),IF(($A40&lt;'Alternative 3'!$B$29),(($H$3*'Alternative 3'!$B$39+(($N$62/3)*COS($K$63)))),($H40*'Alternative 3'!$B$39))))</f>
        <v>#VALUE!</v>
      </c>
      <c r="BD40" s="78" t="e">
        <f>BB40*'Alternative 3'!$K41/'Alternative 3'!$L41</f>
        <v>#VALUE!</v>
      </c>
      <c r="BE40" s="78" t="e">
        <f>BC40/'Alternative 3'!$M41</f>
        <v>#VALUE!</v>
      </c>
      <c r="BF40" s="78" t="e">
        <f t="shared" si="8"/>
        <v>#VALUE!</v>
      </c>
      <c r="BH40" s="78" t="e">
        <f>'Alternative 3'!$B$39*$B40*$C40*COS($K$73)-($N$72/3)*$E40*SIN($K$73)-($N$72/3)*$F40*SIN($K$73)-($N$72/3)*$G40*SIN($K$73)</f>
        <v>#VALUE!</v>
      </c>
      <c r="BI40" s="79" t="e">
        <f>IF(($A40&lt;'Alternative 3'!$B$27),(($H40*'Alternative 3'!$B$39)+(3*($N$72/3)*COS($K$73))),IF(($A40&lt;'Alternative 3'!$B$28),(($H40*'Alternative 3'!$B$39)+(2*(($N$72/3)*COS($K$73)))),IF(($A40&lt;'Alternative 3'!$B$29),(($H$3*'Alternative 3'!$B$39+(($N$72/3)*COS($K$73)))),($H40*'Alternative 3'!$B$39))))</f>
        <v>#VALUE!</v>
      </c>
      <c r="BJ40" s="78" t="e">
        <f>BH40*'Alternative 3'!$K41/'Alternative 3'!$L41</f>
        <v>#VALUE!</v>
      </c>
      <c r="BK40" s="78" t="e">
        <f>BI40/'Alternative 3'!$M41</f>
        <v>#VALUE!</v>
      </c>
      <c r="BL40" s="78" t="e">
        <f t="shared" si="9"/>
        <v>#VALUE!</v>
      </c>
      <c r="BN40" s="78" t="e">
        <f>'Alternative 3'!$B$39*$B40*$C40*COS($K$83)-($N$82/3)*$E40*SIN($K$83)-($N$82/3)*$F40*SIN($K$83)-($N$82/3)*$G40*SIN($K$83)</f>
        <v>#VALUE!</v>
      </c>
      <c r="BO40" s="79" t="e">
        <f>IF(($A40&lt;'Alternative 3'!$B$27),(($H40*'Alternative 3'!$B$39)+(3*($N$82/3)*COS($K$83))),IF(($A40&lt;'Alternative 3'!$B$28),(($H40*'Alternative 3'!$B$39)+(2*(($N$82/3)*COS($K$83)))),IF(($A40&lt;'Alternative 3'!$B$29),(($H$3*'Alternative 3'!$B$39+(($N$82/3)*COS($K$83)))),($H40*'Alternative 3'!$B$39))))</f>
        <v>#VALUE!</v>
      </c>
      <c r="BP40" s="78" t="e">
        <f>BN40*'Alternative 3'!$K41/'Alternative 3'!$L41</f>
        <v>#VALUE!</v>
      </c>
      <c r="BQ40" s="78" t="e">
        <f>BO40/'Alternative 3'!$M41</f>
        <v>#VALUE!</v>
      </c>
      <c r="BR40" s="78" t="e">
        <f t="shared" si="10"/>
        <v>#VALUE!</v>
      </c>
      <c r="BT40" s="78" t="e">
        <f>'Alternative 3'!$B$39*$B40*$C40*COS($K$93)-($K$92/3)*$E40*SIN($K$93)-($K$92/3)*$F40*SIN($K$93)-($K$92/3)*$G40*SIN($K$93)</f>
        <v>#VALUE!</v>
      </c>
      <c r="BU40" s="79" t="e">
        <f>IF(($A40&lt;'Alternative 3'!$B$27),(($H40*'Alternative 3'!$B$39)+(3*($N$92/3)*COS($K$93))),IF(($A40&lt;'Alternative 3'!$B$28),(($H40*'Alternative 3'!$B$39)+(2*(($N$92/3)*COS($K$93)))),IF(($A40&lt;'Alternative 3'!$B$29),(($H$3*'Alternative 3'!$B$39+(($N$92/3)*COS($K$93)))),($H40*'Alternative 3'!$B$39))))</f>
        <v>#VALUE!</v>
      </c>
      <c r="BV40" s="78" t="e">
        <f>BT40*'Alternative 3'!$K41/'Alternative 3'!$L41</f>
        <v>#VALUE!</v>
      </c>
      <c r="BW40" s="78" t="e">
        <f>BU40/'Alternative 3'!$M41</f>
        <v>#VALUE!</v>
      </c>
      <c r="BX40" s="78" t="e">
        <f t="shared" si="11"/>
        <v>#VALUE!</v>
      </c>
      <c r="BZ40" s="77">
        <v>150</v>
      </c>
      <c r="CA40" s="77">
        <v>-150</v>
      </c>
    </row>
    <row r="41" spans="1:79" ht="15" customHeight="1" x14ac:dyDescent="0.25">
      <c r="A41" s="13" t="str">
        <f>IF('Alternative 3'!F42&gt;0,'Alternative 3'!F42,"x")</f>
        <v>x</v>
      </c>
      <c r="B41" s="13" t="e">
        <f t="shared" si="17"/>
        <v>#VALUE!</v>
      </c>
      <c r="C41" s="13">
        <f t="shared" si="12"/>
        <v>0</v>
      </c>
      <c r="D41" s="13" t="str">
        <f t="shared" si="13"/>
        <v>x</v>
      </c>
      <c r="E41" s="74">
        <f>IF($A41&lt;='Alternative 3'!$B$27, IF($A41='Alternative 3'!$B$27,0,E42+1),0)</f>
        <v>0</v>
      </c>
      <c r="F41" s="74">
        <f>IF($A41&lt;=('Alternative 3'!$B$28), IF($A41=ROUNDDOWN('Alternative 3'!$B$28,0),0,F42+1),0)</f>
        <v>0</v>
      </c>
      <c r="G41" s="74">
        <f>IF($A41&lt;=('Alternative 3'!$B$29), IF($A41=ROUNDDOWN('Alternative 3'!$B$29,0),0,G42+1),0)</f>
        <v>0</v>
      </c>
      <c r="H41" s="13" t="e">
        <f t="shared" si="14"/>
        <v>#VALUE!</v>
      </c>
      <c r="J41" s="77">
        <f t="shared" si="15"/>
        <v>38</v>
      </c>
      <c r="K41" s="77">
        <f t="shared" si="16"/>
        <v>0.66322511575784515</v>
      </c>
      <c r="L41" s="78">
        <f>'Alternative 3'!$B$27*SIN(K41)+'Alternative 3'!$B$28*SIN(K41)+'Alternative 3'!$B$29*SIN(K41)</f>
        <v>41.86498032214476</v>
      </c>
      <c r="M41" s="77">
        <f>(('Alternative 3'!$B$27)*(((('Alternative 3'!$B$28-'Alternative 3'!$B$27)/2)+'Alternative 3'!$B$27)*'Alternative 3'!$B$39)*COS('Alternative 3-Tilt Up'!K41))+(('Alternative 3'!$B$28)*((('Alternative 3'!$B$28-'Alternative 3'!$B$27)/2)+(('Alternative 3'!$B$29-'Alternative 3'!$B$28)/2))*('Alternative 3'!$B$39)*COS('Alternative 3-Tilt Up'!K41))+(('Alternative 3'!$B$29)*((('Alternative 3'!$B$12-'Alternative 3'!$B$29+(('Alternative 3'!$B$29-'Alternative 3'!$B$28)/2)*('Alternative 3'!$B$39)*COS('Alternative 3-Tilt Up'!K41)))))</f>
        <v>3740029.099074916</v>
      </c>
      <c r="N41" s="77">
        <f t="shared" si="0"/>
        <v>268006.51071343775</v>
      </c>
      <c r="O41" s="77">
        <f>(((('Alternative 3'!$B$28-'Alternative 3'!$B$27)/2)+'Alternative 3'!$B$27)*('Alternative 3'!$B$39)*COS('Alternative 3-Tilt Up'!K41))+(((('Alternative 3'!$B$28-'Alternative 3'!$B$27)/2)+(('Alternative 3'!$B$29-'Alternative 3'!$B$28)/2))*('Alternative 3'!$B$39)*COS('Alternative 3-Tilt Up'!K41))+(((('Alternative 3'!$B$12-'Alternative 3'!$B$29)+(('Alternative 3'!$B$29-'Alternative 3'!$B$28)/2))*('Alternative 3'!$B$39)*COS('Alternative 3-Tilt Up'!K41)))</f>
        <v>241225.77831359472</v>
      </c>
      <c r="P41" s="77">
        <f t="shared" si="1"/>
        <v>211192.0124788041</v>
      </c>
      <c r="R41" s="78" t="e">
        <f>'Alternative 3'!$B$39*$B41*$C41*COS($K$5)-($N$5/3)*$E41*SIN($K$5)-($N$5/3)*$F41*SIN($K$5)-($N$5/3)*$G41*SIN($K$5)</f>
        <v>#VALUE!</v>
      </c>
      <c r="S41" s="79" t="e">
        <f>IF(($A41&lt;'Alternative 3'!$B$27),(($H41*'Alternative 3'!$B$39)+(3*($N$5/3)*COS($K$5))),IF(($A41&lt;'Alternative 3'!$B$28),(($H41*'Alternative 3'!$B$39)+(2*(($N$5/3)*COS($K$5)))),IF(($A41&lt;'Alternative 3'!$B$29),(($H$3*'Alternative 3'!$B$39+(($N$5/3)*COS($K$5)))),($H41*'Alternative 3'!$B$39))))</f>
        <v>#VALUE!</v>
      </c>
      <c r="T41" s="78" t="e">
        <f>R41*'Alternative 3'!$K42/'Alternative 3'!$L42</f>
        <v>#VALUE!</v>
      </c>
      <c r="U41" s="78" t="e">
        <f>S41/'Alternative 3'!$M42</f>
        <v>#VALUE!</v>
      </c>
      <c r="V41" s="78" t="e">
        <f t="shared" si="2"/>
        <v>#VALUE!</v>
      </c>
      <c r="X41" s="78" t="e">
        <f>'Alternative 3'!$B$39*$B41*$C41*COS($K$13)-($N$12/3)*$E41*SIN($K$13)-($N$12/3)*$F41*SIN($K$13)-($N$12/3)*$G41*SIN($K$13)</f>
        <v>#VALUE!</v>
      </c>
      <c r="Y41" s="79" t="e">
        <f>IF(($A41&lt;'Alternative 3'!$B$27),(($H41*'Alternative 3'!$B$39)+(3*($N$12/3)*COS($K$13))),IF(($A41&lt;'Alternative 3'!$B$28),(($H41*'Alternative 3'!$B$39)+(2*(($N$12/3)*COS($K$13)))),IF(($A41&lt;'Alternative 3'!$B$29),(($H$3*'Alternative 3'!$B$39+(($N$12/3)*COS($K$13)))),($H41*'Alternative 3'!$B$39))))</f>
        <v>#VALUE!</v>
      </c>
      <c r="Z41" s="78" t="e">
        <f>X41*'Alternative 3'!$K42/'Alternative 3'!$L42</f>
        <v>#VALUE!</v>
      </c>
      <c r="AA41" s="78" t="e">
        <f>Y41/'Alternative 3'!$M42</f>
        <v>#VALUE!</v>
      </c>
      <c r="AB41" s="78" t="e">
        <f t="shared" si="3"/>
        <v>#VALUE!</v>
      </c>
      <c r="AD41" s="78" t="e">
        <f>'Alternative 3'!$B$39*$B41*$C41*COS($K$23)-($N$22/3)*$E41*SIN($K$23)-($N$22/3)*$F41*SIN($K$23)-($N$22/3)*$G41*SIN($K$23)</f>
        <v>#VALUE!</v>
      </c>
      <c r="AE41" s="79" t="e">
        <f>IF(($A41&lt;'Alternative 3'!$B$27),(($H41*'Alternative 3'!$B$39)+(3*($N$22/3)*COS($K$23))),IF(($A41&lt;'Alternative 3'!$B$28),(($H41*'Alternative 3'!$B$39)+(2*(($N$22/3)*COS($K$23)))),IF(($A41&lt;'Alternative 3'!$B$29),(($H$3*'Alternative 3'!$B$39+(($N$22/3)*COS($K$23)))),($H41*'Alternative 3'!$B$39))))</f>
        <v>#VALUE!</v>
      </c>
      <c r="AF41" s="78" t="e">
        <f>AD41*'Alternative 3'!$K42/'Alternative 3'!$L42</f>
        <v>#VALUE!</v>
      </c>
      <c r="AG41" s="78" t="e">
        <f>AE41/'Alternative 3'!$M42</f>
        <v>#VALUE!</v>
      </c>
      <c r="AH41" s="78" t="e">
        <f t="shared" si="4"/>
        <v>#VALUE!</v>
      </c>
      <c r="AJ41" s="78" t="e">
        <f>'Alternative 3'!$B$39*$B41*$C41*COS($K$33)-($N$32/3)*$E41*SIN($K$33)-($N$32/3)*$F41*SIN($K$33)-($N$32/3)*$G41*SIN($K$33)</f>
        <v>#VALUE!</v>
      </c>
      <c r="AK41" s="79" t="e">
        <f>IF(($A41&lt;'Alternative 3'!$B$27),(($H41*'Alternative 3'!$B$39)+(3*($N$32/3)*COS($K$33))),IF(($A41&lt;'Alternative 3'!$B$28),(($H41*'Alternative 3'!$B$39)+(2*(($N$32/3)*COS($K$33)))),IF(($A41&lt;'Alternative 3'!$B$29),(($H$3*'Alternative 3'!$B$39+(($N$32/3)*COS($K$33)))),($H41*'Alternative 3'!$B$39))))</f>
        <v>#VALUE!</v>
      </c>
      <c r="AL41" s="78" t="e">
        <f>AJ41*'Alternative 3'!$K42/'Alternative 3'!$L42</f>
        <v>#VALUE!</v>
      </c>
      <c r="AM41" s="78" t="e">
        <f>AK41/'Alternative 3'!$M42</f>
        <v>#VALUE!</v>
      </c>
      <c r="AN41" s="78" t="e">
        <f t="shared" si="5"/>
        <v>#VALUE!</v>
      </c>
      <c r="AP41" s="78" t="e">
        <f>'Alternative 3'!$B$39*$B41*$C41*COS($K$43)-($N$42/3)*$E41*SIN($K$43)-($N$42/3)*$F41*SIN($K$43)-($N$42/3)*$G41*SIN($K$43)</f>
        <v>#VALUE!</v>
      </c>
      <c r="AQ41" s="79" t="e">
        <f>IF(($A41&lt;'Alternative 3'!$B$27),(($H41*'Alternative 3'!$B$39)+(3*($N$42/3)*COS($K$43))),IF(($A41&lt;'Alternative 3'!$B$28),(($H41*'Alternative 3'!$B$39)+(2*(($N$42/3)*COS($K$43)))),IF(($A41&lt;'Alternative 3'!$B$29),(($H$3*'Alternative 3'!$B$39+(($N$42/3)*COS($K$43)))),($H41*'Alternative 3'!$B$39))))</f>
        <v>#VALUE!</v>
      </c>
      <c r="AR41" s="78" t="e">
        <f>AP41*'Alternative 3'!$K42/'Alternative 3'!$L42</f>
        <v>#VALUE!</v>
      </c>
      <c r="AS41" s="78" t="e">
        <f>AQ41/'Alternative 3'!$M42</f>
        <v>#VALUE!</v>
      </c>
      <c r="AT41" s="78" t="e">
        <f t="shared" si="6"/>
        <v>#VALUE!</v>
      </c>
      <c r="AV41" s="78" t="e">
        <f>'Alternative 3'!$B$39*$B41*$C41*COS($K$53)-($N$52/3)*$E41*SIN($K$53)-($N$52/3)*$F41*SIN($K$53)-($N$52/3)*$G41*SIN($K$53)</f>
        <v>#VALUE!</v>
      </c>
      <c r="AW41" s="79" t="e">
        <f>IF(($A41&lt;'Alternative 3'!$B$27),(($H41*'Alternative 3'!$B$39)+(3*($N$52/3)*COS($K$53))),IF(($A41&lt;'Alternative 3'!$B$28),(($H41*'Alternative 3'!$B$39)+(2*(($N$52/3)*COS($K$53)))),IF(($A41&lt;'Alternative 3'!$B$29),(($H$3*'Alternative 3'!$B$39+(($N$52/3)*COS($K$53)))),($H41*'Alternative 3'!$B$39))))</f>
        <v>#VALUE!</v>
      </c>
      <c r="AX41" s="78" t="e">
        <f>AV41*'Alternative 3'!$K42/'Alternative 3'!$L42</f>
        <v>#VALUE!</v>
      </c>
      <c r="AY41" s="78" t="e">
        <f>AW41/'Alternative 3'!$M42</f>
        <v>#VALUE!</v>
      </c>
      <c r="AZ41" s="78" t="e">
        <f t="shared" si="7"/>
        <v>#VALUE!</v>
      </c>
      <c r="BB41" s="78" t="e">
        <f>'Alternative 3'!$B$39*$B41*$C41*COS($K$63)-($N$62/3)*$E41*SIN($K$63)-($N$62/3)*$F41*SIN($K$63)-($N$62/3)*$G41*SIN($K$63)</f>
        <v>#VALUE!</v>
      </c>
      <c r="BC41" s="79" t="e">
        <f>IF(($A41&lt;'Alternative 3'!$B$27),(($H41*'Alternative 3'!$B$39)+(3*($N$62/3)*COS($K$63))),IF(($A41&lt;'Alternative 3'!$B$28),(($H41*'Alternative 3'!$B$39)+(2*(($N$62/3)*COS($K$63)))),IF(($A41&lt;'Alternative 3'!$B$29),(($H$3*'Alternative 3'!$B$39+(($N$62/3)*COS($K$63)))),($H41*'Alternative 3'!$B$39))))</f>
        <v>#VALUE!</v>
      </c>
      <c r="BD41" s="78" t="e">
        <f>BB41*'Alternative 3'!$K42/'Alternative 3'!$L42</f>
        <v>#VALUE!</v>
      </c>
      <c r="BE41" s="78" t="e">
        <f>BC41/'Alternative 3'!$M42</f>
        <v>#VALUE!</v>
      </c>
      <c r="BF41" s="78" t="e">
        <f t="shared" si="8"/>
        <v>#VALUE!</v>
      </c>
      <c r="BH41" s="78" t="e">
        <f>'Alternative 3'!$B$39*$B41*$C41*COS($K$73)-($N$72/3)*$E41*SIN($K$73)-($N$72/3)*$F41*SIN($K$73)-($N$72/3)*$G41*SIN($K$73)</f>
        <v>#VALUE!</v>
      </c>
      <c r="BI41" s="79" t="e">
        <f>IF(($A41&lt;'Alternative 3'!$B$27),(($H41*'Alternative 3'!$B$39)+(3*($N$72/3)*COS($K$73))),IF(($A41&lt;'Alternative 3'!$B$28),(($H41*'Alternative 3'!$B$39)+(2*(($N$72/3)*COS($K$73)))),IF(($A41&lt;'Alternative 3'!$B$29),(($H$3*'Alternative 3'!$B$39+(($N$72/3)*COS($K$73)))),($H41*'Alternative 3'!$B$39))))</f>
        <v>#VALUE!</v>
      </c>
      <c r="BJ41" s="78" t="e">
        <f>BH41*'Alternative 3'!$K42/'Alternative 3'!$L42</f>
        <v>#VALUE!</v>
      </c>
      <c r="BK41" s="78" t="e">
        <f>BI41/'Alternative 3'!$M42</f>
        <v>#VALUE!</v>
      </c>
      <c r="BL41" s="78" t="e">
        <f t="shared" si="9"/>
        <v>#VALUE!</v>
      </c>
      <c r="BN41" s="78" t="e">
        <f>'Alternative 3'!$B$39*$B41*$C41*COS($K$83)-($N$82/3)*$E41*SIN($K$83)-($N$82/3)*$F41*SIN($K$83)-($N$82/3)*$G41*SIN($K$83)</f>
        <v>#VALUE!</v>
      </c>
      <c r="BO41" s="79" t="e">
        <f>IF(($A41&lt;'Alternative 3'!$B$27),(($H41*'Alternative 3'!$B$39)+(3*($N$82/3)*COS($K$83))),IF(($A41&lt;'Alternative 3'!$B$28),(($H41*'Alternative 3'!$B$39)+(2*(($N$82/3)*COS($K$83)))),IF(($A41&lt;'Alternative 3'!$B$29),(($H$3*'Alternative 3'!$B$39+(($N$82/3)*COS($K$83)))),($H41*'Alternative 3'!$B$39))))</f>
        <v>#VALUE!</v>
      </c>
      <c r="BP41" s="78" t="e">
        <f>BN41*'Alternative 3'!$K42/'Alternative 3'!$L42</f>
        <v>#VALUE!</v>
      </c>
      <c r="BQ41" s="78" t="e">
        <f>BO41/'Alternative 3'!$M42</f>
        <v>#VALUE!</v>
      </c>
      <c r="BR41" s="78" t="e">
        <f t="shared" si="10"/>
        <v>#VALUE!</v>
      </c>
      <c r="BT41" s="78" t="e">
        <f>'Alternative 3'!$B$39*$B41*$C41*COS($K$93)-($K$92/3)*$E41*SIN($K$93)-($K$92/3)*$F41*SIN($K$93)-($K$92/3)*$G41*SIN($K$93)</f>
        <v>#VALUE!</v>
      </c>
      <c r="BU41" s="79" t="e">
        <f>IF(($A41&lt;'Alternative 3'!$B$27),(($H41*'Alternative 3'!$B$39)+(3*($N$92/3)*COS($K$93))),IF(($A41&lt;'Alternative 3'!$B$28),(($H41*'Alternative 3'!$B$39)+(2*(($N$92/3)*COS($K$93)))),IF(($A41&lt;'Alternative 3'!$B$29),(($H$3*'Alternative 3'!$B$39+(($N$92/3)*COS($K$93)))),($H41*'Alternative 3'!$B$39))))</f>
        <v>#VALUE!</v>
      </c>
      <c r="BV41" s="78" t="e">
        <f>BT41*'Alternative 3'!$K42/'Alternative 3'!$L42</f>
        <v>#VALUE!</v>
      </c>
      <c r="BW41" s="78" t="e">
        <f>BU41/'Alternative 3'!$M42</f>
        <v>#VALUE!</v>
      </c>
      <c r="BX41" s="78" t="e">
        <f t="shared" si="11"/>
        <v>#VALUE!</v>
      </c>
      <c r="BZ41" s="77">
        <v>150</v>
      </c>
      <c r="CA41" s="77">
        <v>-150</v>
      </c>
    </row>
    <row r="42" spans="1:79" ht="15" customHeight="1" x14ac:dyDescent="0.25">
      <c r="A42" s="13" t="str">
        <f>IF('Alternative 3'!F43&gt;0,'Alternative 3'!F43,"x")</f>
        <v>x</v>
      </c>
      <c r="B42" s="13" t="e">
        <f t="shared" si="17"/>
        <v>#VALUE!</v>
      </c>
      <c r="C42" s="13">
        <f t="shared" si="12"/>
        <v>0</v>
      </c>
      <c r="D42" s="13" t="str">
        <f t="shared" si="13"/>
        <v>x</v>
      </c>
      <c r="E42" s="74">
        <f>IF($A42&lt;='Alternative 3'!$B$27, IF($A42='Alternative 3'!$B$27,0,E43+1),0)</f>
        <v>0</v>
      </c>
      <c r="F42" s="74">
        <f>IF($A42&lt;=('Alternative 3'!$B$28), IF($A42=ROUNDDOWN('Alternative 3'!$B$28,0),0,F43+1),0)</f>
        <v>0</v>
      </c>
      <c r="G42" s="74">
        <f>IF($A42&lt;=('Alternative 3'!$B$29), IF($A42=ROUNDDOWN('Alternative 3'!$B$29,0),0,G43+1),0)</f>
        <v>0</v>
      </c>
      <c r="H42" s="13" t="e">
        <f t="shared" si="14"/>
        <v>#VALUE!</v>
      </c>
      <c r="J42" s="77">
        <f t="shared" si="15"/>
        <v>39</v>
      </c>
      <c r="K42" s="77">
        <f t="shared" si="16"/>
        <v>0.68067840827778847</v>
      </c>
      <c r="L42" s="78">
        <f>'Alternative 3'!$B$27*SIN(K42)+'Alternative 3'!$B$28*SIN(K42)+'Alternative 3'!$B$29*SIN(K42)</f>
        <v>42.793786591388944</v>
      </c>
      <c r="M42" s="77">
        <f>(('Alternative 3'!$B$27)*(((('Alternative 3'!$B$28-'Alternative 3'!$B$27)/2)+'Alternative 3'!$B$27)*'Alternative 3'!$B$39)*COS('Alternative 3-Tilt Up'!K42))+(('Alternative 3'!$B$28)*((('Alternative 3'!$B$28-'Alternative 3'!$B$27)/2)+(('Alternative 3'!$B$29-'Alternative 3'!$B$28)/2))*('Alternative 3'!$B$39)*COS('Alternative 3-Tilt Up'!K42))+(('Alternative 3'!$B$29)*((('Alternative 3'!$B$12-'Alternative 3'!$B$29+(('Alternative 3'!$B$29-'Alternative 3'!$B$28)/2)*('Alternative 3'!$B$39)*COS('Alternative 3-Tilt Up'!K42)))))</f>
        <v>3688465.6995676691</v>
      </c>
      <c r="N42" s="82">
        <f t="shared" si="0"/>
        <v>258574.85350290575</v>
      </c>
      <c r="O42" s="77">
        <f>(((('Alternative 3'!$B$28-'Alternative 3'!$B$27)/2)+'Alternative 3'!$B$27)*('Alternative 3'!$B$39)*COS('Alternative 3-Tilt Up'!K42))+(((('Alternative 3'!$B$28-'Alternative 3'!$B$27)/2)+(('Alternative 3'!$B$29-'Alternative 3'!$B$28)/2))*('Alternative 3'!$B$39)*COS('Alternative 3-Tilt Up'!K42))+(((('Alternative 3'!$B$12-'Alternative 3'!$B$29)+(('Alternative 3'!$B$29-'Alternative 3'!$B$28)/2))*('Alternative 3'!$B$39)*COS('Alternative 3-Tilt Up'!K42)))</f>
        <v>237899.84915521275</v>
      </c>
      <c r="P42" s="77">
        <f t="shared" si="1"/>
        <v>200950.40313411108</v>
      </c>
      <c r="R42" s="78" t="e">
        <f>'Alternative 3'!$B$39*$B42*$C42*COS($K$5)-($N$5/3)*$E42*SIN($K$5)-($N$5/3)*$F42*SIN($K$5)-($N$5/3)*$G42*SIN($K$5)</f>
        <v>#VALUE!</v>
      </c>
      <c r="S42" s="79" t="e">
        <f>IF(($A42&lt;'Alternative 3'!$B$27),(($H42*'Alternative 3'!$B$39)+(3*($N$5/3)*COS($K$5))),IF(($A42&lt;'Alternative 3'!$B$28),(($H42*'Alternative 3'!$B$39)+(2*(($N$5/3)*COS($K$5)))),IF(($A42&lt;'Alternative 3'!$B$29),(($H$3*'Alternative 3'!$B$39+(($N$5/3)*COS($K$5)))),($H42*'Alternative 3'!$B$39))))</f>
        <v>#VALUE!</v>
      </c>
      <c r="T42" s="78" t="e">
        <f>R42*'Alternative 3'!$K43/'Alternative 3'!$L43</f>
        <v>#VALUE!</v>
      </c>
      <c r="U42" s="78" t="e">
        <f>S42/'Alternative 3'!$M43</f>
        <v>#VALUE!</v>
      </c>
      <c r="V42" s="78" t="e">
        <f t="shared" si="2"/>
        <v>#VALUE!</v>
      </c>
      <c r="X42" s="78" t="e">
        <f>'Alternative 3'!$B$39*$B42*$C42*COS($K$13)-($N$12/3)*$E42*SIN($K$13)-($N$12/3)*$F42*SIN($K$13)-($N$12/3)*$G42*SIN($K$13)</f>
        <v>#VALUE!</v>
      </c>
      <c r="Y42" s="79" t="e">
        <f>IF(($A42&lt;'Alternative 3'!$B$27),(($H42*'Alternative 3'!$B$39)+(3*($N$12/3)*COS($K$13))),IF(($A42&lt;'Alternative 3'!$B$28),(($H42*'Alternative 3'!$B$39)+(2*(($N$12/3)*COS($K$13)))),IF(($A42&lt;'Alternative 3'!$B$29),(($H$3*'Alternative 3'!$B$39+(($N$12/3)*COS($K$13)))),($H42*'Alternative 3'!$B$39))))</f>
        <v>#VALUE!</v>
      </c>
      <c r="Z42" s="78" t="e">
        <f>X42*'Alternative 3'!$K43/'Alternative 3'!$L43</f>
        <v>#VALUE!</v>
      </c>
      <c r="AA42" s="78" t="e">
        <f>Y42/'Alternative 3'!$M43</f>
        <v>#VALUE!</v>
      </c>
      <c r="AB42" s="78" t="e">
        <f t="shared" si="3"/>
        <v>#VALUE!</v>
      </c>
      <c r="AD42" s="78" t="e">
        <f>'Alternative 3'!$B$39*$B42*$C42*COS($K$23)-($N$22/3)*$E42*SIN($K$23)-($N$22/3)*$F42*SIN($K$23)-($N$22/3)*$G42*SIN($K$23)</f>
        <v>#VALUE!</v>
      </c>
      <c r="AE42" s="79" t="e">
        <f>IF(($A42&lt;'Alternative 3'!$B$27),(($H42*'Alternative 3'!$B$39)+(3*($N$22/3)*COS($K$23))),IF(($A42&lt;'Alternative 3'!$B$28),(($H42*'Alternative 3'!$B$39)+(2*(($N$22/3)*COS($K$23)))),IF(($A42&lt;'Alternative 3'!$B$29),(($H$3*'Alternative 3'!$B$39+(($N$22/3)*COS($K$23)))),($H42*'Alternative 3'!$B$39))))</f>
        <v>#VALUE!</v>
      </c>
      <c r="AF42" s="78" t="e">
        <f>AD42*'Alternative 3'!$K43/'Alternative 3'!$L43</f>
        <v>#VALUE!</v>
      </c>
      <c r="AG42" s="78" t="e">
        <f>AE42/'Alternative 3'!$M43</f>
        <v>#VALUE!</v>
      </c>
      <c r="AH42" s="78" t="e">
        <f t="shared" si="4"/>
        <v>#VALUE!</v>
      </c>
      <c r="AJ42" s="78" t="e">
        <f>'Alternative 3'!$B$39*$B42*$C42*COS($K$33)-($N$32/3)*$E42*SIN($K$33)-($N$32/3)*$F42*SIN($K$33)-($N$32/3)*$G42*SIN($K$33)</f>
        <v>#VALUE!</v>
      </c>
      <c r="AK42" s="79" t="e">
        <f>IF(($A42&lt;'Alternative 3'!$B$27),(($H42*'Alternative 3'!$B$39)+(3*($N$32/3)*COS($K$33))),IF(($A42&lt;'Alternative 3'!$B$28),(($H42*'Alternative 3'!$B$39)+(2*(($N$32/3)*COS($K$33)))),IF(($A42&lt;'Alternative 3'!$B$29),(($H$3*'Alternative 3'!$B$39+(($N$32/3)*COS($K$33)))),($H42*'Alternative 3'!$B$39))))</f>
        <v>#VALUE!</v>
      </c>
      <c r="AL42" s="78" t="e">
        <f>AJ42*'Alternative 3'!$K43/'Alternative 3'!$L43</f>
        <v>#VALUE!</v>
      </c>
      <c r="AM42" s="78" t="e">
        <f>AK42/'Alternative 3'!$M43</f>
        <v>#VALUE!</v>
      </c>
      <c r="AN42" s="78" t="e">
        <f t="shared" si="5"/>
        <v>#VALUE!</v>
      </c>
      <c r="AP42" s="78" t="e">
        <f>'Alternative 3'!$B$39*$B42*$C42*COS($K$43)-($N$42/3)*$E42*SIN($K$43)-($N$42/3)*$F42*SIN($K$43)-($N$42/3)*$G42*SIN($K$43)</f>
        <v>#VALUE!</v>
      </c>
      <c r="AQ42" s="79" t="e">
        <f>IF(($A42&lt;'Alternative 3'!$B$27),(($H42*'Alternative 3'!$B$39)+(3*($N$42/3)*COS($K$43))),IF(($A42&lt;'Alternative 3'!$B$28),(($H42*'Alternative 3'!$B$39)+(2*(($N$42/3)*COS($K$43)))),IF(($A42&lt;'Alternative 3'!$B$29),(($H$3*'Alternative 3'!$B$39+(($N$42/3)*COS($K$43)))),($H42*'Alternative 3'!$B$39))))</f>
        <v>#VALUE!</v>
      </c>
      <c r="AR42" s="78" t="e">
        <f>AP42*'Alternative 3'!$K43/'Alternative 3'!$L43</f>
        <v>#VALUE!</v>
      </c>
      <c r="AS42" s="78" t="e">
        <f>AQ42/'Alternative 3'!$M43</f>
        <v>#VALUE!</v>
      </c>
      <c r="AT42" s="78" t="e">
        <f t="shared" si="6"/>
        <v>#VALUE!</v>
      </c>
      <c r="AV42" s="78" t="e">
        <f>'Alternative 3'!$B$39*$B42*$C42*COS($K$53)-($N$52/3)*$E42*SIN($K$53)-($N$52/3)*$F42*SIN($K$53)-($N$52/3)*$G42*SIN($K$53)</f>
        <v>#VALUE!</v>
      </c>
      <c r="AW42" s="79" t="e">
        <f>IF(($A42&lt;'Alternative 3'!$B$27),(($H42*'Alternative 3'!$B$39)+(3*($N$52/3)*COS($K$53))),IF(($A42&lt;'Alternative 3'!$B$28),(($H42*'Alternative 3'!$B$39)+(2*(($N$52/3)*COS($K$53)))),IF(($A42&lt;'Alternative 3'!$B$29),(($H$3*'Alternative 3'!$B$39+(($N$52/3)*COS($K$53)))),($H42*'Alternative 3'!$B$39))))</f>
        <v>#VALUE!</v>
      </c>
      <c r="AX42" s="78" t="e">
        <f>AV42*'Alternative 3'!$K43/'Alternative 3'!$L43</f>
        <v>#VALUE!</v>
      </c>
      <c r="AY42" s="78" t="e">
        <f>AW42/'Alternative 3'!$M43</f>
        <v>#VALUE!</v>
      </c>
      <c r="AZ42" s="78" t="e">
        <f t="shared" si="7"/>
        <v>#VALUE!</v>
      </c>
      <c r="BB42" s="78" t="e">
        <f>'Alternative 3'!$B$39*$B42*$C42*COS($K$63)-($N$62/3)*$E42*SIN($K$63)-($N$62/3)*$F42*SIN($K$63)-($N$62/3)*$G42*SIN($K$63)</f>
        <v>#VALUE!</v>
      </c>
      <c r="BC42" s="79" t="e">
        <f>IF(($A42&lt;'Alternative 3'!$B$27),(($H42*'Alternative 3'!$B$39)+(3*($N$62/3)*COS($K$63))),IF(($A42&lt;'Alternative 3'!$B$28),(($H42*'Alternative 3'!$B$39)+(2*(($N$62/3)*COS($K$63)))),IF(($A42&lt;'Alternative 3'!$B$29),(($H$3*'Alternative 3'!$B$39+(($N$62/3)*COS($K$63)))),($H42*'Alternative 3'!$B$39))))</f>
        <v>#VALUE!</v>
      </c>
      <c r="BD42" s="78" t="e">
        <f>BB42*'Alternative 3'!$K43/'Alternative 3'!$L43</f>
        <v>#VALUE!</v>
      </c>
      <c r="BE42" s="78" t="e">
        <f>BC42/'Alternative 3'!$M43</f>
        <v>#VALUE!</v>
      </c>
      <c r="BF42" s="78" t="e">
        <f t="shared" si="8"/>
        <v>#VALUE!</v>
      </c>
      <c r="BH42" s="78" t="e">
        <f>'Alternative 3'!$B$39*$B42*$C42*COS($K$73)-($N$72/3)*$E42*SIN($K$73)-($N$72/3)*$F42*SIN($K$73)-($N$72/3)*$G42*SIN($K$73)</f>
        <v>#VALUE!</v>
      </c>
      <c r="BI42" s="79" t="e">
        <f>IF(($A42&lt;'Alternative 3'!$B$27),(($H42*'Alternative 3'!$B$39)+(3*($N$72/3)*COS($K$73))),IF(($A42&lt;'Alternative 3'!$B$28),(($H42*'Alternative 3'!$B$39)+(2*(($N$72/3)*COS($K$73)))),IF(($A42&lt;'Alternative 3'!$B$29),(($H$3*'Alternative 3'!$B$39+(($N$72/3)*COS($K$73)))),($H42*'Alternative 3'!$B$39))))</f>
        <v>#VALUE!</v>
      </c>
      <c r="BJ42" s="78" t="e">
        <f>BH42*'Alternative 3'!$K43/'Alternative 3'!$L43</f>
        <v>#VALUE!</v>
      </c>
      <c r="BK42" s="78" t="e">
        <f>BI42/'Alternative 3'!$M43</f>
        <v>#VALUE!</v>
      </c>
      <c r="BL42" s="78" t="e">
        <f t="shared" si="9"/>
        <v>#VALUE!</v>
      </c>
      <c r="BN42" s="78" t="e">
        <f>'Alternative 3'!$B$39*$B42*$C42*COS($K$83)-($N$82/3)*$E42*SIN($K$83)-($N$82/3)*$F42*SIN($K$83)-($N$82/3)*$G42*SIN($K$83)</f>
        <v>#VALUE!</v>
      </c>
      <c r="BO42" s="79" t="e">
        <f>IF(($A42&lt;'Alternative 3'!$B$27),(($H42*'Alternative 3'!$B$39)+(3*($N$82/3)*COS($K$83))),IF(($A42&lt;'Alternative 3'!$B$28),(($H42*'Alternative 3'!$B$39)+(2*(($N$82/3)*COS($K$83)))),IF(($A42&lt;'Alternative 3'!$B$29),(($H$3*'Alternative 3'!$B$39+(($N$82/3)*COS($K$83)))),($H42*'Alternative 3'!$B$39))))</f>
        <v>#VALUE!</v>
      </c>
      <c r="BP42" s="78" t="e">
        <f>BN42*'Alternative 3'!$K43/'Alternative 3'!$L43</f>
        <v>#VALUE!</v>
      </c>
      <c r="BQ42" s="78" t="e">
        <f>BO42/'Alternative 3'!$M43</f>
        <v>#VALUE!</v>
      </c>
      <c r="BR42" s="78" t="e">
        <f t="shared" si="10"/>
        <v>#VALUE!</v>
      </c>
      <c r="BT42" s="78" t="e">
        <f>'Alternative 3'!$B$39*$B42*$C42*COS($K$93)-($K$92/3)*$E42*SIN($K$93)-($K$92/3)*$F42*SIN($K$93)-($K$92/3)*$G42*SIN($K$93)</f>
        <v>#VALUE!</v>
      </c>
      <c r="BU42" s="79" t="e">
        <f>IF(($A42&lt;'Alternative 3'!$B$27),(($H42*'Alternative 3'!$B$39)+(3*($N$92/3)*COS($K$93))),IF(($A42&lt;'Alternative 3'!$B$28),(($H42*'Alternative 3'!$B$39)+(2*(($N$92/3)*COS($K$93)))),IF(($A42&lt;'Alternative 3'!$B$29),(($H$3*'Alternative 3'!$B$39+(($N$92/3)*COS($K$93)))),($H42*'Alternative 3'!$B$39))))</f>
        <v>#VALUE!</v>
      </c>
      <c r="BV42" s="78" t="e">
        <f>BT42*'Alternative 3'!$K43/'Alternative 3'!$L43</f>
        <v>#VALUE!</v>
      </c>
      <c r="BW42" s="78" t="e">
        <f>BU42/'Alternative 3'!$M43</f>
        <v>#VALUE!</v>
      </c>
      <c r="BX42" s="78" t="e">
        <f t="shared" si="11"/>
        <v>#VALUE!</v>
      </c>
      <c r="BZ42" s="77">
        <v>150</v>
      </c>
      <c r="CA42" s="77">
        <v>-150</v>
      </c>
    </row>
    <row r="43" spans="1:79" ht="15" customHeight="1" x14ac:dyDescent="0.25">
      <c r="A43" s="13" t="str">
        <f>IF('Alternative 3'!F44&gt;0,'Alternative 3'!F44,"x")</f>
        <v>x</v>
      </c>
      <c r="B43" s="13" t="e">
        <f t="shared" si="17"/>
        <v>#VALUE!</v>
      </c>
      <c r="C43" s="13">
        <f t="shared" si="12"/>
        <v>0</v>
      </c>
      <c r="D43" s="13" t="str">
        <f t="shared" si="13"/>
        <v>x</v>
      </c>
      <c r="E43" s="74">
        <f>IF($A43&lt;='Alternative 3'!$B$27, IF($A43='Alternative 3'!$B$27,0,E44+1),0)</f>
        <v>0</v>
      </c>
      <c r="F43" s="74">
        <f>IF($A43&lt;=('Alternative 3'!$B$28), IF($A43=ROUNDDOWN('Alternative 3'!$B$28,0),0,F44+1),0)</f>
        <v>0</v>
      </c>
      <c r="G43" s="74">
        <f>IF($A43&lt;=('Alternative 3'!$B$29), IF($A43=ROUNDDOWN('Alternative 3'!$B$29,0),0,G44+1),0)</f>
        <v>0</v>
      </c>
      <c r="H43" s="13" t="e">
        <f t="shared" si="14"/>
        <v>#VALUE!</v>
      </c>
      <c r="J43" s="77">
        <f t="shared" si="15"/>
        <v>40</v>
      </c>
      <c r="K43" s="82">
        <f t="shared" si="16"/>
        <v>0.69813170079773179</v>
      </c>
      <c r="L43" s="78">
        <f>'Alternative 3'!$B$27*SIN(K43)+'Alternative 3'!$B$28*SIN(K43)+'Alternative 3'!$B$29*SIN(K43)</f>
        <v>43.709557458684671</v>
      </c>
      <c r="M43" s="77">
        <f>(('Alternative 3'!$B$27)*(((('Alternative 3'!$B$28-'Alternative 3'!$B$27)/2)+'Alternative 3'!$B$27)*'Alternative 3'!$B$39)*COS('Alternative 3-Tilt Up'!K43))+(('Alternative 3'!$B$28)*((('Alternative 3'!$B$28-'Alternative 3'!$B$27)/2)+(('Alternative 3'!$B$29-'Alternative 3'!$B$28)/2))*('Alternative 3'!$B$39)*COS('Alternative 3-Tilt Up'!K43))+(('Alternative 3'!$B$29)*((('Alternative 3'!$B$12-'Alternative 3'!$B$29+(('Alternative 3'!$B$29-'Alternative 3'!$B$28)/2)*('Alternative 3'!$B$39)*COS('Alternative 3-Tilt Up'!K43)))))</f>
        <v>3635778.8172684922</v>
      </c>
      <c r="N43" s="77">
        <f t="shared" si="0"/>
        <v>249541.22361260129</v>
      </c>
      <c r="O43" s="77">
        <f>(((('Alternative 3'!$B$28-'Alternative 3'!$B$27)/2)+'Alternative 3'!$B$27)*('Alternative 3'!$B$39)*COS('Alternative 3-Tilt Up'!K43))+(((('Alternative 3'!$B$28-'Alternative 3'!$B$27)/2)+(('Alternative 3'!$B$29-'Alternative 3'!$B$28)/2))*('Alternative 3'!$B$39)*COS('Alternative 3-Tilt Up'!K43))+(((('Alternative 3'!$B$12-'Alternative 3'!$B$29)+(('Alternative 3'!$B$29-'Alternative 3'!$B$28)/2))*('Alternative 3'!$B$39)*COS('Alternative 3-Tilt Up'!K43)))</f>
        <v>234501.45339819053</v>
      </c>
      <c r="P43" s="82">
        <f t="shared" si="1"/>
        <v>191159.66767754353</v>
      </c>
      <c r="R43" s="78" t="e">
        <f>'Alternative 3'!$B$39*$B43*$C43*COS($K$5)-($N$5/3)*$E43*SIN($K$5)-($N$5/3)*$F43*SIN($K$5)-($N$5/3)*$G43*SIN($K$5)</f>
        <v>#VALUE!</v>
      </c>
      <c r="S43" s="79" t="e">
        <f>IF(($A43&lt;'Alternative 3'!$B$27),(($H43*'Alternative 3'!$B$39)+(3*($N$5/3)*COS($K$5))),IF(($A43&lt;'Alternative 3'!$B$28),(($H43*'Alternative 3'!$B$39)+(2*(($N$5/3)*COS($K$5)))),IF(($A43&lt;'Alternative 3'!$B$29),(($H$3*'Alternative 3'!$B$39+(($N$5/3)*COS($K$5)))),($H43*'Alternative 3'!$B$39))))</f>
        <v>#VALUE!</v>
      </c>
      <c r="T43" s="78" t="e">
        <f>R43*'Alternative 3'!$K44/'Alternative 3'!$L44</f>
        <v>#VALUE!</v>
      </c>
      <c r="U43" s="78" t="e">
        <f>S43/'Alternative 3'!$M44</f>
        <v>#VALUE!</v>
      </c>
      <c r="V43" s="78" t="e">
        <f t="shared" si="2"/>
        <v>#VALUE!</v>
      </c>
      <c r="X43" s="78" t="e">
        <f>'Alternative 3'!$B$39*$B43*$C43*COS($K$13)-($N$12/3)*$E43*SIN($K$13)-($N$12/3)*$F43*SIN($K$13)-($N$12/3)*$G43*SIN($K$13)</f>
        <v>#VALUE!</v>
      </c>
      <c r="Y43" s="79" t="e">
        <f>IF(($A43&lt;'Alternative 3'!$B$27),(($H43*'Alternative 3'!$B$39)+(3*($N$12/3)*COS($K$13))),IF(($A43&lt;'Alternative 3'!$B$28),(($H43*'Alternative 3'!$B$39)+(2*(($N$12/3)*COS($K$13)))),IF(($A43&lt;'Alternative 3'!$B$29),(($H$3*'Alternative 3'!$B$39+(($N$12/3)*COS($K$13)))),($H43*'Alternative 3'!$B$39))))</f>
        <v>#VALUE!</v>
      </c>
      <c r="Z43" s="78" t="e">
        <f>X43*'Alternative 3'!$K44/'Alternative 3'!$L44</f>
        <v>#VALUE!</v>
      </c>
      <c r="AA43" s="78" t="e">
        <f>Y43/'Alternative 3'!$M44</f>
        <v>#VALUE!</v>
      </c>
      <c r="AB43" s="78" t="e">
        <f t="shared" si="3"/>
        <v>#VALUE!</v>
      </c>
      <c r="AD43" s="78" t="e">
        <f>'Alternative 3'!$B$39*$B43*$C43*COS($K$23)-($N$22/3)*$E43*SIN($K$23)-($N$22/3)*$F43*SIN($K$23)-($N$22/3)*$G43*SIN($K$23)</f>
        <v>#VALUE!</v>
      </c>
      <c r="AE43" s="79" t="e">
        <f>IF(($A43&lt;'Alternative 3'!$B$27),(($H43*'Alternative 3'!$B$39)+(3*($N$22/3)*COS($K$23))),IF(($A43&lt;'Alternative 3'!$B$28),(($H43*'Alternative 3'!$B$39)+(2*(($N$22/3)*COS($K$23)))),IF(($A43&lt;'Alternative 3'!$B$29),(($H$3*'Alternative 3'!$B$39+(($N$22/3)*COS($K$23)))),($H43*'Alternative 3'!$B$39))))</f>
        <v>#VALUE!</v>
      </c>
      <c r="AF43" s="78" t="e">
        <f>AD43*'Alternative 3'!$K44/'Alternative 3'!$L44</f>
        <v>#VALUE!</v>
      </c>
      <c r="AG43" s="78" t="e">
        <f>AE43/'Alternative 3'!$M44</f>
        <v>#VALUE!</v>
      </c>
      <c r="AH43" s="78" t="e">
        <f t="shared" si="4"/>
        <v>#VALUE!</v>
      </c>
      <c r="AJ43" s="78" t="e">
        <f>'Alternative 3'!$B$39*$B43*$C43*COS($K$33)-($N$32/3)*$E43*SIN($K$33)-($N$32/3)*$F43*SIN($K$33)-($N$32/3)*$G43*SIN($K$33)</f>
        <v>#VALUE!</v>
      </c>
      <c r="AK43" s="79" t="e">
        <f>IF(($A43&lt;'Alternative 3'!$B$27),(($H43*'Alternative 3'!$B$39)+(3*($N$32/3)*COS($K$33))),IF(($A43&lt;'Alternative 3'!$B$28),(($H43*'Alternative 3'!$B$39)+(2*(($N$32/3)*COS($K$33)))),IF(($A43&lt;'Alternative 3'!$B$29),(($H$3*'Alternative 3'!$B$39+(($N$32/3)*COS($K$33)))),($H43*'Alternative 3'!$B$39))))</f>
        <v>#VALUE!</v>
      </c>
      <c r="AL43" s="78" t="e">
        <f>AJ43*'Alternative 3'!$K44/'Alternative 3'!$L44</f>
        <v>#VALUE!</v>
      </c>
      <c r="AM43" s="78" t="e">
        <f>AK43/'Alternative 3'!$M44</f>
        <v>#VALUE!</v>
      </c>
      <c r="AN43" s="78" t="e">
        <f t="shared" si="5"/>
        <v>#VALUE!</v>
      </c>
      <c r="AP43" s="78" t="e">
        <f>'Alternative 3'!$B$39*$B43*$C43*COS($K$43)-($N$42/3)*$E43*SIN($K$43)-($N$42/3)*$F43*SIN($K$43)-($N$42/3)*$G43*SIN($K$43)</f>
        <v>#VALUE!</v>
      </c>
      <c r="AQ43" s="79" t="e">
        <f>IF(($A43&lt;'Alternative 3'!$B$27),(($H43*'Alternative 3'!$B$39)+(3*($N$42/3)*COS($K$43))),IF(($A43&lt;'Alternative 3'!$B$28),(($H43*'Alternative 3'!$B$39)+(2*(($N$42/3)*COS($K$43)))),IF(($A43&lt;'Alternative 3'!$B$29),(($H$3*'Alternative 3'!$B$39+(($N$42/3)*COS($K$43)))),($H43*'Alternative 3'!$B$39))))</f>
        <v>#VALUE!</v>
      </c>
      <c r="AR43" s="78" t="e">
        <f>AP43*'Alternative 3'!$K44/'Alternative 3'!$L44</f>
        <v>#VALUE!</v>
      </c>
      <c r="AS43" s="78" t="e">
        <f>AQ43/'Alternative 3'!$M44</f>
        <v>#VALUE!</v>
      </c>
      <c r="AT43" s="78" t="e">
        <f t="shared" si="6"/>
        <v>#VALUE!</v>
      </c>
      <c r="AV43" s="78" t="e">
        <f>'Alternative 3'!$B$39*$B43*$C43*COS($K$53)-($N$52/3)*$E43*SIN($K$53)-($N$52/3)*$F43*SIN($K$53)-($N$52/3)*$G43*SIN($K$53)</f>
        <v>#VALUE!</v>
      </c>
      <c r="AW43" s="79" t="e">
        <f>IF(($A43&lt;'Alternative 3'!$B$27),(($H43*'Alternative 3'!$B$39)+(3*($N$52/3)*COS($K$53))),IF(($A43&lt;'Alternative 3'!$B$28),(($H43*'Alternative 3'!$B$39)+(2*(($N$52/3)*COS($K$53)))),IF(($A43&lt;'Alternative 3'!$B$29),(($H$3*'Alternative 3'!$B$39+(($N$52/3)*COS($K$53)))),($H43*'Alternative 3'!$B$39))))</f>
        <v>#VALUE!</v>
      </c>
      <c r="AX43" s="78" t="e">
        <f>AV43*'Alternative 3'!$K44/'Alternative 3'!$L44</f>
        <v>#VALUE!</v>
      </c>
      <c r="AY43" s="78" t="e">
        <f>AW43/'Alternative 3'!$M44</f>
        <v>#VALUE!</v>
      </c>
      <c r="AZ43" s="78" t="e">
        <f t="shared" si="7"/>
        <v>#VALUE!</v>
      </c>
      <c r="BB43" s="78" t="e">
        <f>'Alternative 3'!$B$39*$B43*$C43*COS($K$63)-($N$62/3)*$E43*SIN($K$63)-($N$62/3)*$F43*SIN($K$63)-($N$62/3)*$G43*SIN($K$63)</f>
        <v>#VALUE!</v>
      </c>
      <c r="BC43" s="79" t="e">
        <f>IF(($A43&lt;'Alternative 3'!$B$27),(($H43*'Alternative 3'!$B$39)+(3*($N$62/3)*COS($K$63))),IF(($A43&lt;'Alternative 3'!$B$28),(($H43*'Alternative 3'!$B$39)+(2*(($N$62/3)*COS($K$63)))),IF(($A43&lt;'Alternative 3'!$B$29),(($H$3*'Alternative 3'!$B$39+(($N$62/3)*COS($K$63)))),($H43*'Alternative 3'!$B$39))))</f>
        <v>#VALUE!</v>
      </c>
      <c r="BD43" s="78" t="e">
        <f>BB43*'Alternative 3'!$K44/'Alternative 3'!$L44</f>
        <v>#VALUE!</v>
      </c>
      <c r="BE43" s="78" t="e">
        <f>BC43/'Alternative 3'!$M44</f>
        <v>#VALUE!</v>
      </c>
      <c r="BF43" s="78" t="e">
        <f t="shared" si="8"/>
        <v>#VALUE!</v>
      </c>
      <c r="BH43" s="78" t="e">
        <f>'Alternative 3'!$B$39*$B43*$C43*COS($K$73)-($N$72/3)*$E43*SIN($K$73)-($N$72/3)*$F43*SIN($K$73)-($N$72/3)*$G43*SIN($K$73)</f>
        <v>#VALUE!</v>
      </c>
      <c r="BI43" s="79" t="e">
        <f>IF(($A43&lt;'Alternative 3'!$B$27),(($H43*'Alternative 3'!$B$39)+(3*($N$72/3)*COS($K$73))),IF(($A43&lt;'Alternative 3'!$B$28),(($H43*'Alternative 3'!$B$39)+(2*(($N$72/3)*COS($K$73)))),IF(($A43&lt;'Alternative 3'!$B$29),(($H$3*'Alternative 3'!$B$39+(($N$72/3)*COS($K$73)))),($H43*'Alternative 3'!$B$39))))</f>
        <v>#VALUE!</v>
      </c>
      <c r="BJ43" s="78" t="e">
        <f>BH43*'Alternative 3'!$K44/'Alternative 3'!$L44</f>
        <v>#VALUE!</v>
      </c>
      <c r="BK43" s="78" t="e">
        <f>BI43/'Alternative 3'!$M44</f>
        <v>#VALUE!</v>
      </c>
      <c r="BL43" s="78" t="e">
        <f t="shared" si="9"/>
        <v>#VALUE!</v>
      </c>
      <c r="BN43" s="78" t="e">
        <f>'Alternative 3'!$B$39*$B43*$C43*COS($K$83)-($N$82/3)*$E43*SIN($K$83)-($N$82/3)*$F43*SIN($K$83)-($N$82/3)*$G43*SIN($K$83)</f>
        <v>#VALUE!</v>
      </c>
      <c r="BO43" s="79" t="e">
        <f>IF(($A43&lt;'Alternative 3'!$B$27),(($H43*'Alternative 3'!$B$39)+(3*($N$82/3)*COS($K$83))),IF(($A43&lt;'Alternative 3'!$B$28),(($H43*'Alternative 3'!$B$39)+(2*(($N$82/3)*COS($K$83)))),IF(($A43&lt;'Alternative 3'!$B$29),(($H$3*'Alternative 3'!$B$39+(($N$82/3)*COS($K$83)))),($H43*'Alternative 3'!$B$39))))</f>
        <v>#VALUE!</v>
      </c>
      <c r="BP43" s="78" t="e">
        <f>BN43*'Alternative 3'!$K44/'Alternative 3'!$L44</f>
        <v>#VALUE!</v>
      </c>
      <c r="BQ43" s="78" t="e">
        <f>BO43/'Alternative 3'!$M44</f>
        <v>#VALUE!</v>
      </c>
      <c r="BR43" s="78" t="e">
        <f t="shared" si="10"/>
        <v>#VALUE!</v>
      </c>
      <c r="BT43" s="78" t="e">
        <f>'Alternative 3'!$B$39*$B43*$C43*COS($K$93)-($K$92/3)*$E43*SIN($K$93)-($K$92/3)*$F43*SIN($K$93)-($K$92/3)*$G43*SIN($K$93)</f>
        <v>#VALUE!</v>
      </c>
      <c r="BU43" s="79" t="e">
        <f>IF(($A43&lt;'Alternative 3'!$B$27),(($H43*'Alternative 3'!$B$39)+(3*($N$92/3)*COS($K$93))),IF(($A43&lt;'Alternative 3'!$B$28),(($H43*'Alternative 3'!$B$39)+(2*(($N$92/3)*COS($K$93)))),IF(($A43&lt;'Alternative 3'!$B$29),(($H$3*'Alternative 3'!$B$39+(($N$92/3)*COS($K$93)))),($H43*'Alternative 3'!$B$39))))</f>
        <v>#VALUE!</v>
      </c>
      <c r="BV43" s="78" t="e">
        <f>BT43*'Alternative 3'!$K44/'Alternative 3'!$L44</f>
        <v>#VALUE!</v>
      </c>
      <c r="BW43" s="78" t="e">
        <f>BU43/'Alternative 3'!$M44</f>
        <v>#VALUE!</v>
      </c>
      <c r="BX43" s="78" t="e">
        <f t="shared" si="11"/>
        <v>#VALUE!</v>
      </c>
      <c r="BZ43" s="77">
        <v>150</v>
      </c>
      <c r="CA43" s="77">
        <v>-150</v>
      </c>
    </row>
    <row r="44" spans="1:79" ht="15" customHeight="1" x14ac:dyDescent="0.25">
      <c r="A44" s="13" t="str">
        <f>IF('Alternative 3'!F45&gt;0,'Alternative 3'!F45,"x")</f>
        <v>x</v>
      </c>
      <c r="B44" s="13" t="e">
        <f t="shared" si="17"/>
        <v>#VALUE!</v>
      </c>
      <c r="C44" s="13">
        <f t="shared" si="12"/>
        <v>0</v>
      </c>
      <c r="D44" s="13" t="str">
        <f t="shared" si="13"/>
        <v>x</v>
      </c>
      <c r="E44" s="74">
        <f>IF($A44&lt;='Alternative 3'!$B$27, IF($A44='Alternative 3'!$B$27,0,E45+1),0)</f>
        <v>0</v>
      </c>
      <c r="F44" s="74">
        <f>IF($A44&lt;=('Alternative 3'!$B$28), IF($A44=ROUNDDOWN('Alternative 3'!$B$28,0),0,F45+1),0)</f>
        <v>0</v>
      </c>
      <c r="G44" s="74">
        <f>IF($A44&lt;=('Alternative 3'!$B$29), IF($A44=ROUNDDOWN('Alternative 3'!$B$29,0),0,G45+1),0)</f>
        <v>0</v>
      </c>
      <c r="H44" s="13" t="e">
        <f t="shared" si="14"/>
        <v>#VALUE!</v>
      </c>
      <c r="J44" s="77">
        <f t="shared" si="15"/>
        <v>41</v>
      </c>
      <c r="K44" s="77">
        <f t="shared" si="16"/>
        <v>0.715584993317675</v>
      </c>
      <c r="L44" s="78">
        <f>'Alternative 3'!$B$27*SIN(K44)+'Alternative 3'!$B$28*SIN(K44)+'Alternative 3'!$B$29*SIN(K44)</f>
        <v>44.612013971354486</v>
      </c>
      <c r="M44" s="77">
        <f>(('Alternative 3'!$B$27)*(((('Alternative 3'!$B$28-'Alternative 3'!$B$27)/2)+'Alternative 3'!$B$27)*'Alternative 3'!$B$39)*COS('Alternative 3-Tilt Up'!K44))+(('Alternative 3'!$B$28)*((('Alternative 3'!$B$28-'Alternative 3'!$B$27)/2)+(('Alternative 3'!$B$29-'Alternative 3'!$B$28)/2))*('Alternative 3'!$B$39)*COS('Alternative 3-Tilt Up'!K44))+(('Alternative 3'!$B$29)*((('Alternative 3'!$B$12-'Alternative 3'!$B$29+(('Alternative 3'!$B$29-'Alternative 3'!$B$28)/2)*('Alternative 3'!$B$39)*COS('Alternative 3-Tilt Up'!K44)))))</f>
        <v>3581984.501112124</v>
      </c>
      <c r="N44" s="77">
        <f t="shared" si="0"/>
        <v>240875.77642731805</v>
      </c>
      <c r="O44" s="77">
        <f>(((('Alternative 3'!$B$28-'Alternative 3'!$B$27)/2)+'Alternative 3'!$B$27)*('Alternative 3'!$B$39)*COS('Alternative 3-Tilt Up'!K44))+(((('Alternative 3'!$B$28-'Alternative 3'!$B$27)/2)+(('Alternative 3'!$B$29-'Alternative 3'!$B$28)/2))*('Alternative 3'!$B$39)*COS('Alternative 3-Tilt Up'!K44))+(((('Alternative 3'!$B$12-'Alternative 3'!$B$29)+(('Alternative 3'!$B$29-'Alternative 3'!$B$28)/2))*('Alternative 3'!$B$39)*COS('Alternative 3-Tilt Up'!K44)))</f>
        <v>231031.62622679668</v>
      </c>
      <c r="P44" s="77">
        <f t="shared" si="1"/>
        <v>181791.2561132955</v>
      </c>
      <c r="R44" s="78" t="e">
        <f>'Alternative 3'!$B$39*$B44*$C44*COS($K$5)-($N$5/3)*$E44*SIN($K$5)-($N$5/3)*$F44*SIN($K$5)-($N$5/3)*$G44*SIN($K$5)</f>
        <v>#VALUE!</v>
      </c>
      <c r="S44" s="79" t="e">
        <f>IF(($A44&lt;'Alternative 3'!$B$27),(($H44*'Alternative 3'!$B$39)+(3*($N$5/3)*COS($K$5))),IF(($A44&lt;'Alternative 3'!$B$28),(($H44*'Alternative 3'!$B$39)+(2*(($N$5/3)*COS($K$5)))),IF(($A44&lt;'Alternative 3'!$B$29),(($H$3*'Alternative 3'!$B$39+(($N$5/3)*COS($K$5)))),($H44*'Alternative 3'!$B$39))))</f>
        <v>#VALUE!</v>
      </c>
      <c r="T44" s="78" t="e">
        <f>R44*'Alternative 3'!$K45/'Alternative 3'!$L45</f>
        <v>#VALUE!</v>
      </c>
      <c r="U44" s="78" t="e">
        <f>S44/'Alternative 3'!$M45</f>
        <v>#VALUE!</v>
      </c>
      <c r="V44" s="78" t="e">
        <f t="shared" si="2"/>
        <v>#VALUE!</v>
      </c>
      <c r="X44" s="78" t="e">
        <f>'Alternative 3'!$B$39*$B44*$C44*COS($K$13)-($N$12/3)*$E44*SIN($K$13)-($N$12/3)*$F44*SIN($K$13)-($N$12/3)*$G44*SIN($K$13)</f>
        <v>#VALUE!</v>
      </c>
      <c r="Y44" s="79" t="e">
        <f>IF(($A44&lt;'Alternative 3'!$B$27),(($H44*'Alternative 3'!$B$39)+(3*($N$12/3)*COS($K$13))),IF(($A44&lt;'Alternative 3'!$B$28),(($H44*'Alternative 3'!$B$39)+(2*(($N$12/3)*COS($K$13)))),IF(($A44&lt;'Alternative 3'!$B$29),(($H$3*'Alternative 3'!$B$39+(($N$12/3)*COS($K$13)))),($H44*'Alternative 3'!$B$39))))</f>
        <v>#VALUE!</v>
      </c>
      <c r="Z44" s="78" t="e">
        <f>X44*'Alternative 3'!$K45/'Alternative 3'!$L45</f>
        <v>#VALUE!</v>
      </c>
      <c r="AA44" s="78" t="e">
        <f>Y44/'Alternative 3'!$M45</f>
        <v>#VALUE!</v>
      </c>
      <c r="AB44" s="78" t="e">
        <f t="shared" si="3"/>
        <v>#VALUE!</v>
      </c>
      <c r="AD44" s="78" t="e">
        <f>'Alternative 3'!$B$39*$B44*$C44*COS($K$23)-($N$22/3)*$E44*SIN($K$23)-($N$22/3)*$F44*SIN($K$23)-($N$22/3)*$G44*SIN($K$23)</f>
        <v>#VALUE!</v>
      </c>
      <c r="AE44" s="79" t="e">
        <f>IF(($A44&lt;'Alternative 3'!$B$27),(($H44*'Alternative 3'!$B$39)+(3*($N$22/3)*COS($K$23))),IF(($A44&lt;'Alternative 3'!$B$28),(($H44*'Alternative 3'!$B$39)+(2*(($N$22/3)*COS($K$23)))),IF(($A44&lt;'Alternative 3'!$B$29),(($H$3*'Alternative 3'!$B$39+(($N$22/3)*COS($K$23)))),($H44*'Alternative 3'!$B$39))))</f>
        <v>#VALUE!</v>
      </c>
      <c r="AF44" s="78" t="e">
        <f>AD44*'Alternative 3'!$K45/'Alternative 3'!$L45</f>
        <v>#VALUE!</v>
      </c>
      <c r="AG44" s="78" t="e">
        <f>AE44/'Alternative 3'!$M45</f>
        <v>#VALUE!</v>
      </c>
      <c r="AH44" s="78" t="e">
        <f t="shared" si="4"/>
        <v>#VALUE!</v>
      </c>
      <c r="AJ44" s="78" t="e">
        <f>'Alternative 3'!$B$39*$B44*$C44*COS($K$33)-($N$32/3)*$E44*SIN($K$33)-($N$32/3)*$F44*SIN($K$33)-($N$32/3)*$G44*SIN($K$33)</f>
        <v>#VALUE!</v>
      </c>
      <c r="AK44" s="79" t="e">
        <f>IF(($A44&lt;'Alternative 3'!$B$27),(($H44*'Alternative 3'!$B$39)+(3*($N$32/3)*COS($K$33))),IF(($A44&lt;'Alternative 3'!$B$28),(($H44*'Alternative 3'!$B$39)+(2*(($N$32/3)*COS($K$33)))),IF(($A44&lt;'Alternative 3'!$B$29),(($H$3*'Alternative 3'!$B$39+(($N$32/3)*COS($K$33)))),($H44*'Alternative 3'!$B$39))))</f>
        <v>#VALUE!</v>
      </c>
      <c r="AL44" s="78" t="e">
        <f>AJ44*'Alternative 3'!$K45/'Alternative 3'!$L45</f>
        <v>#VALUE!</v>
      </c>
      <c r="AM44" s="78" t="e">
        <f>AK44/'Alternative 3'!$M45</f>
        <v>#VALUE!</v>
      </c>
      <c r="AN44" s="78" t="e">
        <f t="shared" si="5"/>
        <v>#VALUE!</v>
      </c>
      <c r="AP44" s="78" t="e">
        <f>'Alternative 3'!$B$39*$B44*$C44*COS($K$43)-($N$42/3)*$E44*SIN($K$43)-($N$42/3)*$F44*SIN($K$43)-($N$42/3)*$G44*SIN($K$43)</f>
        <v>#VALUE!</v>
      </c>
      <c r="AQ44" s="79" t="e">
        <f>IF(($A44&lt;'Alternative 3'!$B$27),(($H44*'Alternative 3'!$B$39)+(3*($N$42/3)*COS($K$43))),IF(($A44&lt;'Alternative 3'!$B$28),(($H44*'Alternative 3'!$B$39)+(2*(($N$42/3)*COS($K$43)))),IF(($A44&lt;'Alternative 3'!$B$29),(($H$3*'Alternative 3'!$B$39+(($N$42/3)*COS($K$43)))),($H44*'Alternative 3'!$B$39))))</f>
        <v>#VALUE!</v>
      </c>
      <c r="AR44" s="78" t="e">
        <f>AP44*'Alternative 3'!$K45/'Alternative 3'!$L45</f>
        <v>#VALUE!</v>
      </c>
      <c r="AS44" s="78" t="e">
        <f>AQ44/'Alternative 3'!$M45</f>
        <v>#VALUE!</v>
      </c>
      <c r="AT44" s="78" t="e">
        <f t="shared" si="6"/>
        <v>#VALUE!</v>
      </c>
      <c r="AV44" s="78" t="e">
        <f>'Alternative 3'!$B$39*$B44*$C44*COS($K$53)-($N$52/3)*$E44*SIN($K$53)-($N$52/3)*$F44*SIN($K$53)-($N$52/3)*$G44*SIN($K$53)</f>
        <v>#VALUE!</v>
      </c>
      <c r="AW44" s="79" t="e">
        <f>IF(($A44&lt;'Alternative 3'!$B$27),(($H44*'Alternative 3'!$B$39)+(3*($N$52/3)*COS($K$53))),IF(($A44&lt;'Alternative 3'!$B$28),(($H44*'Alternative 3'!$B$39)+(2*(($N$52/3)*COS($K$53)))),IF(($A44&lt;'Alternative 3'!$B$29),(($H$3*'Alternative 3'!$B$39+(($N$52/3)*COS($K$53)))),($H44*'Alternative 3'!$B$39))))</f>
        <v>#VALUE!</v>
      </c>
      <c r="AX44" s="78" t="e">
        <f>AV44*'Alternative 3'!$K45/'Alternative 3'!$L45</f>
        <v>#VALUE!</v>
      </c>
      <c r="AY44" s="78" t="e">
        <f>AW44/'Alternative 3'!$M45</f>
        <v>#VALUE!</v>
      </c>
      <c r="AZ44" s="78" t="e">
        <f t="shared" si="7"/>
        <v>#VALUE!</v>
      </c>
      <c r="BB44" s="78" t="e">
        <f>'Alternative 3'!$B$39*$B44*$C44*COS($K$63)-($N$62/3)*$E44*SIN($K$63)-($N$62/3)*$F44*SIN($K$63)-($N$62/3)*$G44*SIN($K$63)</f>
        <v>#VALUE!</v>
      </c>
      <c r="BC44" s="79" t="e">
        <f>IF(($A44&lt;'Alternative 3'!$B$27),(($H44*'Alternative 3'!$B$39)+(3*($N$62/3)*COS($K$63))),IF(($A44&lt;'Alternative 3'!$B$28),(($H44*'Alternative 3'!$B$39)+(2*(($N$62/3)*COS($K$63)))),IF(($A44&lt;'Alternative 3'!$B$29),(($H$3*'Alternative 3'!$B$39+(($N$62/3)*COS($K$63)))),($H44*'Alternative 3'!$B$39))))</f>
        <v>#VALUE!</v>
      </c>
      <c r="BD44" s="78" t="e">
        <f>BB44*'Alternative 3'!$K45/'Alternative 3'!$L45</f>
        <v>#VALUE!</v>
      </c>
      <c r="BE44" s="78" t="e">
        <f>BC44/'Alternative 3'!$M45</f>
        <v>#VALUE!</v>
      </c>
      <c r="BF44" s="78" t="e">
        <f t="shared" si="8"/>
        <v>#VALUE!</v>
      </c>
      <c r="BH44" s="78" t="e">
        <f>'Alternative 3'!$B$39*$B44*$C44*COS($K$73)-($N$72/3)*$E44*SIN($K$73)-($N$72/3)*$F44*SIN($K$73)-($N$72/3)*$G44*SIN($K$73)</f>
        <v>#VALUE!</v>
      </c>
      <c r="BI44" s="79" t="e">
        <f>IF(($A44&lt;'Alternative 3'!$B$27),(($H44*'Alternative 3'!$B$39)+(3*($N$72/3)*COS($K$73))),IF(($A44&lt;'Alternative 3'!$B$28),(($H44*'Alternative 3'!$B$39)+(2*(($N$72/3)*COS($K$73)))),IF(($A44&lt;'Alternative 3'!$B$29),(($H$3*'Alternative 3'!$B$39+(($N$72/3)*COS($K$73)))),($H44*'Alternative 3'!$B$39))))</f>
        <v>#VALUE!</v>
      </c>
      <c r="BJ44" s="78" t="e">
        <f>BH44*'Alternative 3'!$K45/'Alternative 3'!$L45</f>
        <v>#VALUE!</v>
      </c>
      <c r="BK44" s="78" t="e">
        <f>BI44/'Alternative 3'!$M45</f>
        <v>#VALUE!</v>
      </c>
      <c r="BL44" s="78" t="e">
        <f t="shared" si="9"/>
        <v>#VALUE!</v>
      </c>
      <c r="BN44" s="78" t="e">
        <f>'Alternative 3'!$B$39*$B44*$C44*COS($K$83)-($N$82/3)*$E44*SIN($K$83)-($N$82/3)*$F44*SIN($K$83)-($N$82/3)*$G44*SIN($K$83)</f>
        <v>#VALUE!</v>
      </c>
      <c r="BO44" s="79" t="e">
        <f>IF(($A44&lt;'Alternative 3'!$B$27),(($H44*'Alternative 3'!$B$39)+(3*($N$82/3)*COS($K$83))),IF(($A44&lt;'Alternative 3'!$B$28),(($H44*'Alternative 3'!$B$39)+(2*(($N$82/3)*COS($K$83)))),IF(($A44&lt;'Alternative 3'!$B$29),(($H$3*'Alternative 3'!$B$39+(($N$82/3)*COS($K$83)))),($H44*'Alternative 3'!$B$39))))</f>
        <v>#VALUE!</v>
      </c>
      <c r="BP44" s="78" t="e">
        <f>BN44*'Alternative 3'!$K45/'Alternative 3'!$L45</f>
        <v>#VALUE!</v>
      </c>
      <c r="BQ44" s="78" t="e">
        <f>BO44/'Alternative 3'!$M45</f>
        <v>#VALUE!</v>
      </c>
      <c r="BR44" s="78" t="e">
        <f t="shared" si="10"/>
        <v>#VALUE!</v>
      </c>
      <c r="BT44" s="78" t="e">
        <f>'Alternative 3'!$B$39*$B44*$C44*COS($K$93)-($K$92/3)*$E44*SIN($K$93)-($K$92/3)*$F44*SIN($K$93)-($K$92/3)*$G44*SIN($K$93)</f>
        <v>#VALUE!</v>
      </c>
      <c r="BU44" s="79" t="e">
        <f>IF(($A44&lt;'Alternative 3'!$B$27),(($H44*'Alternative 3'!$B$39)+(3*($N$92/3)*COS($K$93))),IF(($A44&lt;'Alternative 3'!$B$28),(($H44*'Alternative 3'!$B$39)+(2*(($N$92/3)*COS($K$93)))),IF(($A44&lt;'Alternative 3'!$B$29),(($H$3*'Alternative 3'!$B$39+(($N$92/3)*COS($K$93)))),($H44*'Alternative 3'!$B$39))))</f>
        <v>#VALUE!</v>
      </c>
      <c r="BV44" s="78" t="e">
        <f>BT44*'Alternative 3'!$K45/'Alternative 3'!$L45</f>
        <v>#VALUE!</v>
      </c>
      <c r="BW44" s="78" t="e">
        <f>BU44/'Alternative 3'!$M45</f>
        <v>#VALUE!</v>
      </c>
      <c r="BX44" s="78" t="e">
        <f t="shared" si="11"/>
        <v>#VALUE!</v>
      </c>
      <c r="BZ44" s="77">
        <v>150</v>
      </c>
      <c r="CA44" s="77">
        <v>-150</v>
      </c>
    </row>
    <row r="45" spans="1:79" ht="15" customHeight="1" x14ac:dyDescent="0.25">
      <c r="A45" s="13" t="str">
        <f>IF('Alternative 3'!F46&gt;0,'Alternative 3'!F46,"x")</f>
        <v>x</v>
      </c>
      <c r="B45" s="13" t="e">
        <f t="shared" si="17"/>
        <v>#VALUE!</v>
      </c>
      <c r="C45" s="13">
        <f t="shared" si="12"/>
        <v>0</v>
      </c>
      <c r="D45" s="13" t="str">
        <f t="shared" si="13"/>
        <v>x</v>
      </c>
      <c r="E45" s="74">
        <f>IF($A45&lt;='Alternative 3'!$B$27, IF($A45='Alternative 3'!$B$27,0,E46+1),0)</f>
        <v>0</v>
      </c>
      <c r="F45" s="74">
        <f>IF($A45&lt;=('Alternative 3'!$B$28), IF($A45=ROUNDDOWN('Alternative 3'!$B$28,0),0,F46+1),0)</f>
        <v>0</v>
      </c>
      <c r="G45" s="74">
        <f>IF($A45&lt;=('Alternative 3'!$B$29), IF($A45=ROUNDDOWN('Alternative 3'!$B$29,0),0,G46+1),0)</f>
        <v>0</v>
      </c>
      <c r="H45" s="13" t="e">
        <f t="shared" si="14"/>
        <v>#VALUE!</v>
      </c>
      <c r="J45" s="77">
        <f t="shared" si="15"/>
        <v>42</v>
      </c>
      <c r="K45" s="77">
        <f t="shared" si="16"/>
        <v>0.73303828583761843</v>
      </c>
      <c r="L45" s="78">
        <f>'Alternative 3'!$B$27*SIN(K45)+'Alternative 3'!$B$28*SIN(K45)+'Alternative 3'!$B$29*SIN(K45)</f>
        <v>45.500881232402364</v>
      </c>
      <c r="M45" s="77">
        <f>(('Alternative 3'!$B$27)*(((('Alternative 3'!$B$28-'Alternative 3'!$B$27)/2)+'Alternative 3'!$B$27)*'Alternative 3'!$B$39)*COS('Alternative 3-Tilt Up'!K45))+(('Alternative 3'!$B$28)*((('Alternative 3'!$B$28-'Alternative 3'!$B$27)/2)+(('Alternative 3'!$B$29-'Alternative 3'!$B$28)/2))*('Alternative 3'!$B$39)*COS('Alternative 3-Tilt Up'!K45))+(('Alternative 3'!$B$29)*((('Alternative 3'!$B$12-'Alternative 3'!$B$29+(('Alternative 3'!$B$29-'Alternative 3'!$B$28)/2)*('Alternative 3'!$B$39)*COS('Alternative 3-Tilt Up'!K45)))))</f>
        <v>3527099.137368381</v>
      </c>
      <c r="N45" s="77">
        <f t="shared" si="0"/>
        <v>232551.48308138538</v>
      </c>
      <c r="O45" s="77">
        <f>(((('Alternative 3'!$B$28-'Alternative 3'!$B$27)/2)+'Alternative 3'!$B$27)*('Alternative 3'!$B$39)*COS('Alternative 3-Tilt Up'!K45))+(((('Alternative 3'!$B$28-'Alternative 3'!$B$27)/2)+(('Alternative 3'!$B$29-'Alternative 3'!$B$28)/2))*('Alternative 3'!$B$39)*COS('Alternative 3-Tilt Up'!K45))+(((('Alternative 3'!$B$12-'Alternative 3'!$B$29)+(('Alternative 3'!$B$29-'Alternative 3'!$B$28)/2))*('Alternative 3'!$B$39)*COS('Alternative 3-Tilt Up'!K45)))</f>
        <v>227491.42458400043</v>
      </c>
      <c r="P45" s="77">
        <f t="shared" si="1"/>
        <v>172819.43130902533</v>
      </c>
      <c r="R45" s="78" t="e">
        <f>'Alternative 3'!$B$39*$B45*$C45*COS($K$5)-($N$5/3)*$E45*SIN($K$5)-($N$5/3)*$F45*SIN($K$5)-($N$5/3)*$G45*SIN($K$5)</f>
        <v>#VALUE!</v>
      </c>
      <c r="S45" s="79" t="e">
        <f>IF(($A45&lt;'Alternative 3'!$B$27),(($H45*'Alternative 3'!$B$39)+(3*($N$5/3)*COS($K$5))),IF(($A45&lt;'Alternative 3'!$B$28),(($H45*'Alternative 3'!$B$39)+(2*(($N$5/3)*COS($K$5)))),IF(($A45&lt;'Alternative 3'!$B$29),(($H$3*'Alternative 3'!$B$39+(($N$5/3)*COS($K$5)))),($H45*'Alternative 3'!$B$39))))</f>
        <v>#VALUE!</v>
      </c>
      <c r="T45" s="78" t="e">
        <f>R45*'Alternative 3'!$K46/'Alternative 3'!$L46</f>
        <v>#VALUE!</v>
      </c>
      <c r="U45" s="78" t="e">
        <f>S45/'Alternative 3'!$M46</f>
        <v>#VALUE!</v>
      </c>
      <c r="V45" s="78" t="e">
        <f t="shared" si="2"/>
        <v>#VALUE!</v>
      </c>
      <c r="X45" s="78" t="e">
        <f>'Alternative 3'!$B$39*$B45*$C45*COS($K$13)-($N$12/3)*$E45*SIN($K$13)-($N$12/3)*$F45*SIN($K$13)-($N$12/3)*$G45*SIN($K$13)</f>
        <v>#VALUE!</v>
      </c>
      <c r="Y45" s="79" t="e">
        <f>IF(($A45&lt;'Alternative 3'!$B$27),(($H45*'Alternative 3'!$B$39)+(3*($N$12/3)*COS($K$13))),IF(($A45&lt;'Alternative 3'!$B$28),(($H45*'Alternative 3'!$B$39)+(2*(($N$12/3)*COS($K$13)))),IF(($A45&lt;'Alternative 3'!$B$29),(($H$3*'Alternative 3'!$B$39+(($N$12/3)*COS($K$13)))),($H45*'Alternative 3'!$B$39))))</f>
        <v>#VALUE!</v>
      </c>
      <c r="Z45" s="78" t="e">
        <f>X45*'Alternative 3'!$K46/'Alternative 3'!$L46</f>
        <v>#VALUE!</v>
      </c>
      <c r="AA45" s="78" t="e">
        <f>Y45/'Alternative 3'!$M46</f>
        <v>#VALUE!</v>
      </c>
      <c r="AB45" s="78" t="e">
        <f t="shared" si="3"/>
        <v>#VALUE!</v>
      </c>
      <c r="AD45" s="78" t="e">
        <f>'Alternative 3'!$B$39*$B45*$C45*COS($K$23)-($N$22/3)*$E45*SIN($K$23)-($N$22/3)*$F45*SIN($K$23)-($N$22/3)*$G45*SIN($K$23)</f>
        <v>#VALUE!</v>
      </c>
      <c r="AE45" s="79" t="e">
        <f>IF(($A45&lt;'Alternative 3'!$B$27),(($H45*'Alternative 3'!$B$39)+(3*($N$22/3)*COS($K$23))),IF(($A45&lt;'Alternative 3'!$B$28),(($H45*'Alternative 3'!$B$39)+(2*(($N$22/3)*COS($K$23)))),IF(($A45&lt;'Alternative 3'!$B$29),(($H$3*'Alternative 3'!$B$39+(($N$22/3)*COS($K$23)))),($H45*'Alternative 3'!$B$39))))</f>
        <v>#VALUE!</v>
      </c>
      <c r="AF45" s="78" t="e">
        <f>AD45*'Alternative 3'!$K46/'Alternative 3'!$L46</f>
        <v>#VALUE!</v>
      </c>
      <c r="AG45" s="78" t="e">
        <f>AE45/'Alternative 3'!$M46</f>
        <v>#VALUE!</v>
      </c>
      <c r="AH45" s="78" t="e">
        <f t="shared" si="4"/>
        <v>#VALUE!</v>
      </c>
      <c r="AJ45" s="78" t="e">
        <f>'Alternative 3'!$B$39*$B45*$C45*COS($K$33)-($N$32/3)*$E45*SIN($K$33)-($N$32/3)*$F45*SIN($K$33)-($N$32/3)*$G45*SIN($K$33)</f>
        <v>#VALUE!</v>
      </c>
      <c r="AK45" s="79" t="e">
        <f>IF(($A45&lt;'Alternative 3'!$B$27),(($H45*'Alternative 3'!$B$39)+(3*($N$32/3)*COS($K$33))),IF(($A45&lt;'Alternative 3'!$B$28),(($H45*'Alternative 3'!$B$39)+(2*(($N$32/3)*COS($K$33)))),IF(($A45&lt;'Alternative 3'!$B$29),(($H$3*'Alternative 3'!$B$39+(($N$32/3)*COS($K$33)))),($H45*'Alternative 3'!$B$39))))</f>
        <v>#VALUE!</v>
      </c>
      <c r="AL45" s="78" t="e">
        <f>AJ45*'Alternative 3'!$K46/'Alternative 3'!$L46</f>
        <v>#VALUE!</v>
      </c>
      <c r="AM45" s="78" t="e">
        <f>AK45/'Alternative 3'!$M46</f>
        <v>#VALUE!</v>
      </c>
      <c r="AN45" s="78" t="e">
        <f t="shared" si="5"/>
        <v>#VALUE!</v>
      </c>
      <c r="AP45" s="78" t="e">
        <f>'Alternative 3'!$B$39*$B45*$C45*COS($K$43)-($N$42/3)*$E45*SIN($K$43)-($N$42/3)*$F45*SIN($K$43)-($N$42/3)*$G45*SIN($K$43)</f>
        <v>#VALUE!</v>
      </c>
      <c r="AQ45" s="79" t="e">
        <f>IF(($A45&lt;'Alternative 3'!$B$27),(($H45*'Alternative 3'!$B$39)+(3*($N$42/3)*COS($K$43))),IF(($A45&lt;'Alternative 3'!$B$28),(($H45*'Alternative 3'!$B$39)+(2*(($N$42/3)*COS($K$43)))),IF(($A45&lt;'Alternative 3'!$B$29),(($H$3*'Alternative 3'!$B$39+(($N$42/3)*COS($K$43)))),($H45*'Alternative 3'!$B$39))))</f>
        <v>#VALUE!</v>
      </c>
      <c r="AR45" s="78" t="e">
        <f>AP45*'Alternative 3'!$K46/'Alternative 3'!$L46</f>
        <v>#VALUE!</v>
      </c>
      <c r="AS45" s="78" t="e">
        <f>AQ45/'Alternative 3'!$M46</f>
        <v>#VALUE!</v>
      </c>
      <c r="AT45" s="78" t="e">
        <f t="shared" si="6"/>
        <v>#VALUE!</v>
      </c>
      <c r="AV45" s="78" t="e">
        <f>'Alternative 3'!$B$39*$B45*$C45*COS($K$53)-($N$52/3)*$E45*SIN($K$53)-($N$52/3)*$F45*SIN($K$53)-($N$52/3)*$G45*SIN($K$53)</f>
        <v>#VALUE!</v>
      </c>
      <c r="AW45" s="79" t="e">
        <f>IF(($A45&lt;'Alternative 3'!$B$27),(($H45*'Alternative 3'!$B$39)+(3*($N$52/3)*COS($K$53))),IF(($A45&lt;'Alternative 3'!$B$28),(($H45*'Alternative 3'!$B$39)+(2*(($N$52/3)*COS($K$53)))),IF(($A45&lt;'Alternative 3'!$B$29),(($H$3*'Alternative 3'!$B$39+(($N$52/3)*COS($K$53)))),($H45*'Alternative 3'!$B$39))))</f>
        <v>#VALUE!</v>
      </c>
      <c r="AX45" s="78" t="e">
        <f>AV45*'Alternative 3'!$K46/'Alternative 3'!$L46</f>
        <v>#VALUE!</v>
      </c>
      <c r="AY45" s="78" t="e">
        <f>AW45/'Alternative 3'!$M46</f>
        <v>#VALUE!</v>
      </c>
      <c r="AZ45" s="78" t="e">
        <f t="shared" si="7"/>
        <v>#VALUE!</v>
      </c>
      <c r="BB45" s="78" t="e">
        <f>'Alternative 3'!$B$39*$B45*$C45*COS($K$63)-($N$62/3)*$E45*SIN($K$63)-($N$62/3)*$F45*SIN($K$63)-($N$62/3)*$G45*SIN($K$63)</f>
        <v>#VALUE!</v>
      </c>
      <c r="BC45" s="79" t="e">
        <f>IF(($A45&lt;'Alternative 3'!$B$27),(($H45*'Alternative 3'!$B$39)+(3*($N$62/3)*COS($K$63))),IF(($A45&lt;'Alternative 3'!$B$28),(($H45*'Alternative 3'!$B$39)+(2*(($N$62/3)*COS($K$63)))),IF(($A45&lt;'Alternative 3'!$B$29),(($H$3*'Alternative 3'!$B$39+(($N$62/3)*COS($K$63)))),($H45*'Alternative 3'!$B$39))))</f>
        <v>#VALUE!</v>
      </c>
      <c r="BD45" s="78" t="e">
        <f>BB45*'Alternative 3'!$K46/'Alternative 3'!$L46</f>
        <v>#VALUE!</v>
      </c>
      <c r="BE45" s="78" t="e">
        <f>BC45/'Alternative 3'!$M46</f>
        <v>#VALUE!</v>
      </c>
      <c r="BF45" s="78" t="e">
        <f t="shared" si="8"/>
        <v>#VALUE!</v>
      </c>
      <c r="BH45" s="78" t="e">
        <f>'Alternative 3'!$B$39*$B45*$C45*COS($K$73)-($N$72/3)*$E45*SIN($K$73)-($N$72/3)*$F45*SIN($K$73)-($N$72/3)*$G45*SIN($K$73)</f>
        <v>#VALUE!</v>
      </c>
      <c r="BI45" s="79" t="e">
        <f>IF(($A45&lt;'Alternative 3'!$B$27),(($H45*'Alternative 3'!$B$39)+(3*($N$72/3)*COS($K$73))),IF(($A45&lt;'Alternative 3'!$B$28),(($H45*'Alternative 3'!$B$39)+(2*(($N$72/3)*COS($K$73)))),IF(($A45&lt;'Alternative 3'!$B$29),(($H$3*'Alternative 3'!$B$39+(($N$72/3)*COS($K$73)))),($H45*'Alternative 3'!$B$39))))</f>
        <v>#VALUE!</v>
      </c>
      <c r="BJ45" s="78" t="e">
        <f>BH45*'Alternative 3'!$K46/'Alternative 3'!$L46</f>
        <v>#VALUE!</v>
      </c>
      <c r="BK45" s="78" t="e">
        <f>BI45/'Alternative 3'!$M46</f>
        <v>#VALUE!</v>
      </c>
      <c r="BL45" s="78" t="e">
        <f t="shared" si="9"/>
        <v>#VALUE!</v>
      </c>
      <c r="BN45" s="78" t="e">
        <f>'Alternative 3'!$B$39*$B45*$C45*COS($K$83)-($N$82/3)*$E45*SIN($K$83)-($N$82/3)*$F45*SIN($K$83)-($N$82/3)*$G45*SIN($K$83)</f>
        <v>#VALUE!</v>
      </c>
      <c r="BO45" s="79" t="e">
        <f>IF(($A45&lt;'Alternative 3'!$B$27),(($H45*'Alternative 3'!$B$39)+(3*($N$82/3)*COS($K$83))),IF(($A45&lt;'Alternative 3'!$B$28),(($H45*'Alternative 3'!$B$39)+(2*(($N$82/3)*COS($K$83)))),IF(($A45&lt;'Alternative 3'!$B$29),(($H$3*'Alternative 3'!$B$39+(($N$82/3)*COS($K$83)))),($H45*'Alternative 3'!$B$39))))</f>
        <v>#VALUE!</v>
      </c>
      <c r="BP45" s="78" t="e">
        <f>BN45*'Alternative 3'!$K46/'Alternative 3'!$L46</f>
        <v>#VALUE!</v>
      </c>
      <c r="BQ45" s="78" t="e">
        <f>BO45/'Alternative 3'!$M46</f>
        <v>#VALUE!</v>
      </c>
      <c r="BR45" s="78" t="e">
        <f t="shared" si="10"/>
        <v>#VALUE!</v>
      </c>
      <c r="BT45" s="78" t="e">
        <f>'Alternative 3'!$B$39*$B45*$C45*COS($K$93)-($K$92/3)*$E45*SIN($K$93)-($K$92/3)*$F45*SIN($K$93)-($K$92/3)*$G45*SIN($K$93)</f>
        <v>#VALUE!</v>
      </c>
      <c r="BU45" s="79" t="e">
        <f>IF(($A45&lt;'Alternative 3'!$B$27),(($H45*'Alternative 3'!$B$39)+(3*($N$92/3)*COS($K$93))),IF(($A45&lt;'Alternative 3'!$B$28),(($H45*'Alternative 3'!$B$39)+(2*(($N$92/3)*COS($K$93)))),IF(($A45&lt;'Alternative 3'!$B$29),(($H$3*'Alternative 3'!$B$39+(($N$92/3)*COS($K$93)))),($H45*'Alternative 3'!$B$39))))</f>
        <v>#VALUE!</v>
      </c>
      <c r="BV45" s="78" t="e">
        <f>BT45*'Alternative 3'!$K46/'Alternative 3'!$L46</f>
        <v>#VALUE!</v>
      </c>
      <c r="BW45" s="78" t="e">
        <f>BU45/'Alternative 3'!$M46</f>
        <v>#VALUE!</v>
      </c>
      <c r="BX45" s="78" t="e">
        <f t="shared" si="11"/>
        <v>#VALUE!</v>
      </c>
      <c r="BZ45" s="77">
        <v>150</v>
      </c>
      <c r="CA45" s="77">
        <v>-150</v>
      </c>
    </row>
    <row r="46" spans="1:79" ht="15" customHeight="1" x14ac:dyDescent="0.25">
      <c r="A46" s="13" t="str">
        <f>IF('Alternative 3'!F47&gt;0,'Alternative 3'!F47,"x")</f>
        <v>x</v>
      </c>
      <c r="B46" s="13" t="e">
        <f t="shared" si="17"/>
        <v>#VALUE!</v>
      </c>
      <c r="C46" s="13">
        <f t="shared" si="12"/>
        <v>0</v>
      </c>
      <c r="D46" s="13" t="str">
        <f t="shared" si="13"/>
        <v>x</v>
      </c>
      <c r="E46" s="74">
        <f>IF($A46&lt;='Alternative 3'!$B$27, IF($A46='Alternative 3'!$B$27,0,E47+1),0)</f>
        <v>0</v>
      </c>
      <c r="F46" s="74">
        <f>IF($A46&lt;=('Alternative 3'!$B$28), IF($A46=ROUNDDOWN('Alternative 3'!$B$28,0),0,F47+1),0)</f>
        <v>0</v>
      </c>
      <c r="G46" s="74">
        <f>IF($A46&lt;=('Alternative 3'!$B$29), IF($A46=ROUNDDOWN('Alternative 3'!$B$29,0),0,G47+1),0)</f>
        <v>0</v>
      </c>
      <c r="H46" s="13" t="e">
        <f t="shared" si="14"/>
        <v>#VALUE!</v>
      </c>
      <c r="J46" s="77">
        <f t="shared" si="15"/>
        <v>43</v>
      </c>
      <c r="K46" s="77">
        <f t="shared" si="16"/>
        <v>0.75049157835756164</v>
      </c>
      <c r="L46" s="78">
        <f>'Alternative 3'!$B$27*SIN(K46)+'Alternative 3'!$B$28*SIN(K46)+'Alternative 3'!$B$29*SIN(K46)</f>
        <v>46.375888484249899</v>
      </c>
      <c r="M46" s="77">
        <f>(('Alternative 3'!$B$27)*(((('Alternative 3'!$B$28-'Alternative 3'!$B$27)/2)+'Alternative 3'!$B$27)*'Alternative 3'!$B$39)*COS('Alternative 3-Tilt Up'!K46))+(('Alternative 3'!$B$28)*((('Alternative 3'!$B$28-'Alternative 3'!$B$27)/2)+(('Alternative 3'!$B$29-'Alternative 3'!$B$28)/2))*('Alternative 3'!$B$39)*COS('Alternative 3-Tilt Up'!K46))+(('Alternative 3'!$B$29)*((('Alternative 3'!$B$12-'Alternative 3'!$B$29+(('Alternative 3'!$B$29-'Alternative 3'!$B$28)/2)*('Alternative 3'!$B$39)*COS('Alternative 3-Tilt Up'!K46)))))</f>
        <v>3471139.4446507478</v>
      </c>
      <c r="N46" s="77">
        <f t="shared" si="0"/>
        <v>224543.8022710623</v>
      </c>
      <c r="O46" s="77">
        <f>(((('Alternative 3'!$B$28-'Alternative 3'!$B$27)/2)+'Alternative 3'!$B$27)*('Alternative 3'!$B$39)*COS('Alternative 3-Tilt Up'!K46))+(((('Alternative 3'!$B$28-'Alternative 3'!$B$27)/2)+(('Alternative 3'!$B$29-'Alternative 3'!$B$28)/2))*('Alternative 3'!$B$39)*COS('Alternative 3-Tilt Up'!K46))+(((('Alternative 3'!$B$12-'Alternative 3'!$B$29)+(('Alternative 3'!$B$29-'Alternative 3'!$B$28)/2))*('Alternative 3'!$B$39)*COS('Alternative 3-Tilt Up'!K46)))</f>
        <v>223881.92684951707</v>
      </c>
      <c r="P46" s="77">
        <f t="shared" si="1"/>
        <v>164220.94096658455</v>
      </c>
      <c r="R46" s="78" t="e">
        <f>'Alternative 3'!$B$39*$B46*$C46*COS($K$5)-($N$5/3)*$E46*SIN($K$5)-($N$5/3)*$F46*SIN($K$5)-($N$5/3)*$G46*SIN($K$5)</f>
        <v>#VALUE!</v>
      </c>
      <c r="S46" s="79" t="e">
        <f>IF(($A46&lt;'Alternative 3'!$B$27),(($H46*'Alternative 3'!$B$39)+(3*($N$5/3)*COS($K$5))),IF(($A46&lt;'Alternative 3'!$B$28),(($H46*'Alternative 3'!$B$39)+(2*(($N$5/3)*COS($K$5)))),IF(($A46&lt;'Alternative 3'!$B$29),(($H$3*'Alternative 3'!$B$39+(($N$5/3)*COS($K$5)))),($H46*'Alternative 3'!$B$39))))</f>
        <v>#VALUE!</v>
      </c>
      <c r="T46" s="78" t="e">
        <f>R46*'Alternative 3'!$K47/'Alternative 3'!$L47</f>
        <v>#VALUE!</v>
      </c>
      <c r="U46" s="78" t="e">
        <f>S46/'Alternative 3'!$M47</f>
        <v>#VALUE!</v>
      </c>
      <c r="V46" s="78" t="e">
        <f t="shared" si="2"/>
        <v>#VALUE!</v>
      </c>
      <c r="X46" s="78" t="e">
        <f>'Alternative 3'!$B$39*$B46*$C46*COS($K$13)-($N$12/3)*$E46*SIN($K$13)-($N$12/3)*$F46*SIN($K$13)-($N$12/3)*$G46*SIN($K$13)</f>
        <v>#VALUE!</v>
      </c>
      <c r="Y46" s="79" t="e">
        <f>IF(($A46&lt;'Alternative 3'!$B$27),(($H46*'Alternative 3'!$B$39)+(3*($N$12/3)*COS($K$13))),IF(($A46&lt;'Alternative 3'!$B$28),(($H46*'Alternative 3'!$B$39)+(2*(($N$12/3)*COS($K$13)))),IF(($A46&lt;'Alternative 3'!$B$29),(($H$3*'Alternative 3'!$B$39+(($N$12/3)*COS($K$13)))),($H46*'Alternative 3'!$B$39))))</f>
        <v>#VALUE!</v>
      </c>
      <c r="Z46" s="78" t="e">
        <f>X46*'Alternative 3'!$K47/'Alternative 3'!$L47</f>
        <v>#VALUE!</v>
      </c>
      <c r="AA46" s="78" t="e">
        <f>Y46/'Alternative 3'!$M47</f>
        <v>#VALUE!</v>
      </c>
      <c r="AB46" s="78" t="e">
        <f t="shared" si="3"/>
        <v>#VALUE!</v>
      </c>
      <c r="AD46" s="78" t="e">
        <f>'Alternative 3'!$B$39*$B46*$C46*COS($K$23)-($N$22/3)*$E46*SIN($K$23)-($N$22/3)*$F46*SIN($K$23)-($N$22/3)*$G46*SIN($K$23)</f>
        <v>#VALUE!</v>
      </c>
      <c r="AE46" s="79" t="e">
        <f>IF(($A46&lt;'Alternative 3'!$B$27),(($H46*'Alternative 3'!$B$39)+(3*($N$22/3)*COS($K$23))),IF(($A46&lt;'Alternative 3'!$B$28),(($H46*'Alternative 3'!$B$39)+(2*(($N$22/3)*COS($K$23)))),IF(($A46&lt;'Alternative 3'!$B$29),(($H$3*'Alternative 3'!$B$39+(($N$22/3)*COS($K$23)))),($H46*'Alternative 3'!$B$39))))</f>
        <v>#VALUE!</v>
      </c>
      <c r="AF46" s="78" t="e">
        <f>AD46*'Alternative 3'!$K47/'Alternative 3'!$L47</f>
        <v>#VALUE!</v>
      </c>
      <c r="AG46" s="78" t="e">
        <f>AE46/'Alternative 3'!$M47</f>
        <v>#VALUE!</v>
      </c>
      <c r="AH46" s="78" t="e">
        <f t="shared" si="4"/>
        <v>#VALUE!</v>
      </c>
      <c r="AJ46" s="78" t="e">
        <f>'Alternative 3'!$B$39*$B46*$C46*COS($K$33)-($N$32/3)*$E46*SIN($K$33)-($N$32/3)*$F46*SIN($K$33)-($N$32/3)*$G46*SIN($K$33)</f>
        <v>#VALUE!</v>
      </c>
      <c r="AK46" s="79" t="e">
        <f>IF(($A46&lt;'Alternative 3'!$B$27),(($H46*'Alternative 3'!$B$39)+(3*($N$32/3)*COS($K$33))),IF(($A46&lt;'Alternative 3'!$B$28),(($H46*'Alternative 3'!$B$39)+(2*(($N$32/3)*COS($K$33)))),IF(($A46&lt;'Alternative 3'!$B$29),(($H$3*'Alternative 3'!$B$39+(($N$32/3)*COS($K$33)))),($H46*'Alternative 3'!$B$39))))</f>
        <v>#VALUE!</v>
      </c>
      <c r="AL46" s="78" t="e">
        <f>AJ46*'Alternative 3'!$K47/'Alternative 3'!$L47</f>
        <v>#VALUE!</v>
      </c>
      <c r="AM46" s="78" t="e">
        <f>AK46/'Alternative 3'!$M47</f>
        <v>#VALUE!</v>
      </c>
      <c r="AN46" s="78" t="e">
        <f t="shared" si="5"/>
        <v>#VALUE!</v>
      </c>
      <c r="AP46" s="78" t="e">
        <f>'Alternative 3'!$B$39*$B46*$C46*COS($K$43)-($N$42/3)*$E46*SIN($K$43)-($N$42/3)*$F46*SIN($K$43)-($N$42/3)*$G46*SIN($K$43)</f>
        <v>#VALUE!</v>
      </c>
      <c r="AQ46" s="79" t="e">
        <f>IF(($A46&lt;'Alternative 3'!$B$27),(($H46*'Alternative 3'!$B$39)+(3*($N$42/3)*COS($K$43))),IF(($A46&lt;'Alternative 3'!$B$28),(($H46*'Alternative 3'!$B$39)+(2*(($N$42/3)*COS($K$43)))),IF(($A46&lt;'Alternative 3'!$B$29),(($H$3*'Alternative 3'!$B$39+(($N$42/3)*COS($K$43)))),($H46*'Alternative 3'!$B$39))))</f>
        <v>#VALUE!</v>
      </c>
      <c r="AR46" s="78" t="e">
        <f>AP46*'Alternative 3'!$K47/'Alternative 3'!$L47</f>
        <v>#VALUE!</v>
      </c>
      <c r="AS46" s="78" t="e">
        <f>AQ46/'Alternative 3'!$M47</f>
        <v>#VALUE!</v>
      </c>
      <c r="AT46" s="78" t="e">
        <f t="shared" si="6"/>
        <v>#VALUE!</v>
      </c>
      <c r="AV46" s="78" t="e">
        <f>'Alternative 3'!$B$39*$B46*$C46*COS($K$53)-($N$52/3)*$E46*SIN($K$53)-($N$52/3)*$F46*SIN($K$53)-($N$52/3)*$G46*SIN($K$53)</f>
        <v>#VALUE!</v>
      </c>
      <c r="AW46" s="79" t="e">
        <f>IF(($A46&lt;'Alternative 3'!$B$27),(($H46*'Alternative 3'!$B$39)+(3*($N$52/3)*COS($K$53))),IF(($A46&lt;'Alternative 3'!$B$28),(($H46*'Alternative 3'!$B$39)+(2*(($N$52/3)*COS($K$53)))),IF(($A46&lt;'Alternative 3'!$B$29),(($H$3*'Alternative 3'!$B$39+(($N$52/3)*COS($K$53)))),($H46*'Alternative 3'!$B$39))))</f>
        <v>#VALUE!</v>
      </c>
      <c r="AX46" s="78" t="e">
        <f>AV46*'Alternative 3'!$K47/'Alternative 3'!$L47</f>
        <v>#VALUE!</v>
      </c>
      <c r="AY46" s="78" t="e">
        <f>AW46/'Alternative 3'!$M47</f>
        <v>#VALUE!</v>
      </c>
      <c r="AZ46" s="78" t="e">
        <f t="shared" si="7"/>
        <v>#VALUE!</v>
      </c>
      <c r="BB46" s="78" t="e">
        <f>'Alternative 3'!$B$39*$B46*$C46*COS($K$63)-($N$62/3)*$E46*SIN($K$63)-($N$62/3)*$F46*SIN($K$63)-($N$62/3)*$G46*SIN($K$63)</f>
        <v>#VALUE!</v>
      </c>
      <c r="BC46" s="79" t="e">
        <f>IF(($A46&lt;'Alternative 3'!$B$27),(($H46*'Alternative 3'!$B$39)+(3*($N$62/3)*COS($K$63))),IF(($A46&lt;'Alternative 3'!$B$28),(($H46*'Alternative 3'!$B$39)+(2*(($N$62/3)*COS($K$63)))),IF(($A46&lt;'Alternative 3'!$B$29),(($H$3*'Alternative 3'!$B$39+(($N$62/3)*COS($K$63)))),($H46*'Alternative 3'!$B$39))))</f>
        <v>#VALUE!</v>
      </c>
      <c r="BD46" s="78" t="e">
        <f>BB46*'Alternative 3'!$K47/'Alternative 3'!$L47</f>
        <v>#VALUE!</v>
      </c>
      <c r="BE46" s="78" t="e">
        <f>BC46/'Alternative 3'!$M47</f>
        <v>#VALUE!</v>
      </c>
      <c r="BF46" s="78" t="e">
        <f t="shared" si="8"/>
        <v>#VALUE!</v>
      </c>
      <c r="BH46" s="78" t="e">
        <f>'Alternative 3'!$B$39*$B46*$C46*COS($K$73)-($N$72/3)*$E46*SIN($K$73)-($N$72/3)*$F46*SIN($K$73)-($N$72/3)*$G46*SIN($K$73)</f>
        <v>#VALUE!</v>
      </c>
      <c r="BI46" s="79" t="e">
        <f>IF(($A46&lt;'Alternative 3'!$B$27),(($H46*'Alternative 3'!$B$39)+(3*($N$72/3)*COS($K$73))),IF(($A46&lt;'Alternative 3'!$B$28),(($H46*'Alternative 3'!$B$39)+(2*(($N$72/3)*COS($K$73)))),IF(($A46&lt;'Alternative 3'!$B$29),(($H$3*'Alternative 3'!$B$39+(($N$72/3)*COS($K$73)))),($H46*'Alternative 3'!$B$39))))</f>
        <v>#VALUE!</v>
      </c>
      <c r="BJ46" s="78" t="e">
        <f>BH46*'Alternative 3'!$K47/'Alternative 3'!$L47</f>
        <v>#VALUE!</v>
      </c>
      <c r="BK46" s="78" t="e">
        <f>BI46/'Alternative 3'!$M47</f>
        <v>#VALUE!</v>
      </c>
      <c r="BL46" s="78" t="e">
        <f t="shared" si="9"/>
        <v>#VALUE!</v>
      </c>
      <c r="BN46" s="78" t="e">
        <f>'Alternative 3'!$B$39*$B46*$C46*COS($K$83)-($N$82/3)*$E46*SIN($K$83)-($N$82/3)*$F46*SIN($K$83)-($N$82/3)*$G46*SIN($K$83)</f>
        <v>#VALUE!</v>
      </c>
      <c r="BO46" s="79" t="e">
        <f>IF(($A46&lt;'Alternative 3'!$B$27),(($H46*'Alternative 3'!$B$39)+(3*($N$82/3)*COS($K$83))),IF(($A46&lt;'Alternative 3'!$B$28),(($H46*'Alternative 3'!$B$39)+(2*(($N$82/3)*COS($K$83)))),IF(($A46&lt;'Alternative 3'!$B$29),(($H$3*'Alternative 3'!$B$39+(($N$82/3)*COS($K$83)))),($H46*'Alternative 3'!$B$39))))</f>
        <v>#VALUE!</v>
      </c>
      <c r="BP46" s="78" t="e">
        <f>BN46*'Alternative 3'!$K47/'Alternative 3'!$L47</f>
        <v>#VALUE!</v>
      </c>
      <c r="BQ46" s="78" t="e">
        <f>BO46/'Alternative 3'!$M47</f>
        <v>#VALUE!</v>
      </c>
      <c r="BR46" s="78" t="e">
        <f t="shared" si="10"/>
        <v>#VALUE!</v>
      </c>
      <c r="BT46" s="78" t="e">
        <f>'Alternative 3'!$B$39*$B46*$C46*COS($K$93)-($K$92/3)*$E46*SIN($K$93)-($K$92/3)*$F46*SIN($K$93)-($K$92/3)*$G46*SIN($K$93)</f>
        <v>#VALUE!</v>
      </c>
      <c r="BU46" s="79" t="e">
        <f>IF(($A46&lt;'Alternative 3'!$B$27),(($H46*'Alternative 3'!$B$39)+(3*($N$92/3)*COS($K$93))),IF(($A46&lt;'Alternative 3'!$B$28),(($H46*'Alternative 3'!$B$39)+(2*(($N$92/3)*COS($K$93)))),IF(($A46&lt;'Alternative 3'!$B$29),(($H$3*'Alternative 3'!$B$39+(($N$92/3)*COS($K$93)))),($H46*'Alternative 3'!$B$39))))</f>
        <v>#VALUE!</v>
      </c>
      <c r="BV46" s="78" t="e">
        <f>BT46*'Alternative 3'!$K47/'Alternative 3'!$L47</f>
        <v>#VALUE!</v>
      </c>
      <c r="BW46" s="78" t="e">
        <f>BU46/'Alternative 3'!$M47</f>
        <v>#VALUE!</v>
      </c>
      <c r="BX46" s="78" t="e">
        <f t="shared" si="11"/>
        <v>#VALUE!</v>
      </c>
      <c r="BZ46" s="77">
        <v>150</v>
      </c>
      <c r="CA46" s="77">
        <v>-150</v>
      </c>
    </row>
    <row r="47" spans="1:79" ht="15" customHeight="1" x14ac:dyDescent="0.25">
      <c r="A47" s="13" t="str">
        <f>IF('Alternative 3'!F48&gt;0,'Alternative 3'!F48,"x")</f>
        <v>x</v>
      </c>
      <c r="B47" s="13" t="e">
        <f t="shared" si="17"/>
        <v>#VALUE!</v>
      </c>
      <c r="C47" s="13">
        <f t="shared" si="12"/>
        <v>0</v>
      </c>
      <c r="D47" s="13" t="str">
        <f t="shared" si="13"/>
        <v>x</v>
      </c>
      <c r="E47" s="74">
        <f>IF($A47&lt;='Alternative 3'!$B$27, IF($A47='Alternative 3'!$B$27,0,E48+1),0)</f>
        <v>0</v>
      </c>
      <c r="F47" s="74">
        <f>IF($A47&lt;=('Alternative 3'!$B$28), IF($A47=ROUNDDOWN('Alternative 3'!$B$28,0),0,F48+1),0)</f>
        <v>0</v>
      </c>
      <c r="G47" s="74">
        <f>IF($A47&lt;=('Alternative 3'!$B$29), IF($A47=ROUNDDOWN('Alternative 3'!$B$29,0),0,G48+1),0)</f>
        <v>0</v>
      </c>
      <c r="H47" s="13" t="e">
        <f t="shared" si="14"/>
        <v>#VALUE!</v>
      </c>
      <c r="J47" s="77">
        <f t="shared" si="15"/>
        <v>44</v>
      </c>
      <c r="K47" s="77">
        <f t="shared" si="16"/>
        <v>0.76794487087750496</v>
      </c>
      <c r="L47" s="78">
        <f>'Alternative 3'!$B$27*SIN(K47)+'Alternative 3'!$B$28*SIN(K47)+'Alternative 3'!$B$29*SIN(K47)</f>
        <v>47.236769191211813</v>
      </c>
      <c r="M47" s="77">
        <f>(('Alternative 3'!$B$27)*(((('Alternative 3'!$B$28-'Alternative 3'!$B$27)/2)+'Alternative 3'!$B$27)*'Alternative 3'!$B$39)*COS('Alternative 3-Tilt Up'!K47))+(('Alternative 3'!$B$28)*((('Alternative 3'!$B$28-'Alternative 3'!$B$27)/2)+(('Alternative 3'!$B$29-'Alternative 3'!$B$28)/2))*('Alternative 3'!$B$39)*COS('Alternative 3-Tilt Up'!K47))+(('Alternative 3'!$B$29)*((('Alternative 3'!$B$12-'Alternative 3'!$B$29+(('Alternative 3'!$B$29-'Alternative 3'!$B$28)/2)*('Alternative 3'!$B$39)*COS('Alternative 3-Tilt Up'!K47)))))</f>
        <v>3414122.4688237198</v>
      </c>
      <c r="N47" s="77">
        <f t="shared" si="0"/>
        <v>216830.39678286688</v>
      </c>
      <c r="O47" s="77">
        <f>(((('Alternative 3'!$B$28-'Alternative 3'!$B$27)/2)+'Alternative 3'!$B$27)*('Alternative 3'!$B$39)*COS('Alternative 3-Tilt Up'!K47))+(((('Alternative 3'!$B$28-'Alternative 3'!$B$27)/2)+(('Alternative 3'!$B$29-'Alternative 3'!$B$28)/2))*('Alternative 3'!$B$39)*COS('Alternative 3-Tilt Up'!K47))+(((('Alternative 3'!$B$12-'Alternative 3'!$B$29)+(('Alternative 3'!$B$29-'Alternative 3'!$B$28)/2))*('Alternative 3'!$B$39)*COS('Alternative 3-Tilt Up'!K47)))</f>
        <v>220204.23251132236</v>
      </c>
      <c r="P47" s="77">
        <f t="shared" si="1"/>
        <v>155974.73432913798</v>
      </c>
      <c r="R47" s="78" t="e">
        <f>'Alternative 3'!$B$39*$B47*$C47*COS($K$5)-($N$5/3)*$E47*SIN($K$5)-($N$5/3)*$F47*SIN($K$5)-($N$5/3)*$G47*SIN($K$5)</f>
        <v>#VALUE!</v>
      </c>
      <c r="S47" s="79" t="e">
        <f>IF(($A47&lt;'Alternative 3'!$B$27),(($H47*'Alternative 3'!$B$39)+(3*($N$5/3)*COS($K$5))),IF(($A47&lt;'Alternative 3'!$B$28),(($H47*'Alternative 3'!$B$39)+(2*(($N$5/3)*COS($K$5)))),IF(($A47&lt;'Alternative 3'!$B$29),(($H$3*'Alternative 3'!$B$39+(($N$5/3)*COS($K$5)))),($H47*'Alternative 3'!$B$39))))</f>
        <v>#VALUE!</v>
      </c>
      <c r="T47" s="78" t="e">
        <f>R47*'Alternative 3'!$K48/'Alternative 3'!$L48</f>
        <v>#VALUE!</v>
      </c>
      <c r="U47" s="78" t="e">
        <f>S47/'Alternative 3'!$M48</f>
        <v>#VALUE!</v>
      </c>
      <c r="V47" s="78" t="e">
        <f t="shared" si="2"/>
        <v>#VALUE!</v>
      </c>
      <c r="X47" s="78" t="e">
        <f>'Alternative 3'!$B$39*$B47*$C47*COS($K$13)-($N$12/3)*$E47*SIN($K$13)-($N$12/3)*$F47*SIN($K$13)-($N$12/3)*$G47*SIN($K$13)</f>
        <v>#VALUE!</v>
      </c>
      <c r="Y47" s="79" t="e">
        <f>IF(($A47&lt;'Alternative 3'!$B$27),(($H47*'Alternative 3'!$B$39)+(3*($N$12/3)*COS($K$13))),IF(($A47&lt;'Alternative 3'!$B$28),(($H47*'Alternative 3'!$B$39)+(2*(($N$12/3)*COS($K$13)))),IF(($A47&lt;'Alternative 3'!$B$29),(($H$3*'Alternative 3'!$B$39+(($N$12/3)*COS($K$13)))),($H47*'Alternative 3'!$B$39))))</f>
        <v>#VALUE!</v>
      </c>
      <c r="Z47" s="78" t="e">
        <f>X47*'Alternative 3'!$K48/'Alternative 3'!$L48</f>
        <v>#VALUE!</v>
      </c>
      <c r="AA47" s="78" t="e">
        <f>Y47/'Alternative 3'!$M48</f>
        <v>#VALUE!</v>
      </c>
      <c r="AB47" s="78" t="e">
        <f t="shared" si="3"/>
        <v>#VALUE!</v>
      </c>
      <c r="AD47" s="78" t="e">
        <f>'Alternative 3'!$B$39*$B47*$C47*COS($K$23)-($N$22/3)*$E47*SIN($K$23)-($N$22/3)*$F47*SIN($K$23)-($N$22/3)*$G47*SIN($K$23)</f>
        <v>#VALUE!</v>
      </c>
      <c r="AE47" s="79" t="e">
        <f>IF(($A47&lt;'Alternative 3'!$B$27),(($H47*'Alternative 3'!$B$39)+(3*($N$22/3)*COS($K$23))),IF(($A47&lt;'Alternative 3'!$B$28),(($H47*'Alternative 3'!$B$39)+(2*(($N$22/3)*COS($K$23)))),IF(($A47&lt;'Alternative 3'!$B$29),(($H$3*'Alternative 3'!$B$39+(($N$22/3)*COS($K$23)))),($H47*'Alternative 3'!$B$39))))</f>
        <v>#VALUE!</v>
      </c>
      <c r="AF47" s="78" t="e">
        <f>AD47*'Alternative 3'!$K48/'Alternative 3'!$L48</f>
        <v>#VALUE!</v>
      </c>
      <c r="AG47" s="78" t="e">
        <f>AE47/'Alternative 3'!$M48</f>
        <v>#VALUE!</v>
      </c>
      <c r="AH47" s="78" t="e">
        <f t="shared" si="4"/>
        <v>#VALUE!</v>
      </c>
      <c r="AJ47" s="78" t="e">
        <f>'Alternative 3'!$B$39*$B47*$C47*COS($K$33)-($N$32/3)*$E47*SIN($K$33)-($N$32/3)*$F47*SIN($K$33)-($N$32/3)*$G47*SIN($K$33)</f>
        <v>#VALUE!</v>
      </c>
      <c r="AK47" s="79" t="e">
        <f>IF(($A47&lt;'Alternative 3'!$B$27),(($H47*'Alternative 3'!$B$39)+(3*($N$32/3)*COS($K$33))),IF(($A47&lt;'Alternative 3'!$B$28),(($H47*'Alternative 3'!$B$39)+(2*(($N$32/3)*COS($K$33)))),IF(($A47&lt;'Alternative 3'!$B$29),(($H$3*'Alternative 3'!$B$39+(($N$32/3)*COS($K$33)))),($H47*'Alternative 3'!$B$39))))</f>
        <v>#VALUE!</v>
      </c>
      <c r="AL47" s="78" t="e">
        <f>AJ47*'Alternative 3'!$K48/'Alternative 3'!$L48</f>
        <v>#VALUE!</v>
      </c>
      <c r="AM47" s="78" t="e">
        <f>AK47/'Alternative 3'!$M48</f>
        <v>#VALUE!</v>
      </c>
      <c r="AN47" s="78" t="e">
        <f t="shared" si="5"/>
        <v>#VALUE!</v>
      </c>
      <c r="AP47" s="78" t="e">
        <f>'Alternative 3'!$B$39*$B47*$C47*COS($K$43)-($N$42/3)*$E47*SIN($K$43)-($N$42/3)*$F47*SIN($K$43)-($N$42/3)*$G47*SIN($K$43)</f>
        <v>#VALUE!</v>
      </c>
      <c r="AQ47" s="79" t="e">
        <f>IF(($A47&lt;'Alternative 3'!$B$27),(($H47*'Alternative 3'!$B$39)+(3*($N$42/3)*COS($K$43))),IF(($A47&lt;'Alternative 3'!$B$28),(($H47*'Alternative 3'!$B$39)+(2*(($N$42/3)*COS($K$43)))),IF(($A47&lt;'Alternative 3'!$B$29),(($H$3*'Alternative 3'!$B$39+(($N$42/3)*COS($K$43)))),($H47*'Alternative 3'!$B$39))))</f>
        <v>#VALUE!</v>
      </c>
      <c r="AR47" s="78" t="e">
        <f>AP47*'Alternative 3'!$K48/'Alternative 3'!$L48</f>
        <v>#VALUE!</v>
      </c>
      <c r="AS47" s="78" t="e">
        <f>AQ47/'Alternative 3'!$M48</f>
        <v>#VALUE!</v>
      </c>
      <c r="AT47" s="78" t="e">
        <f t="shared" si="6"/>
        <v>#VALUE!</v>
      </c>
      <c r="AV47" s="78" t="e">
        <f>'Alternative 3'!$B$39*$B47*$C47*COS($K$53)-($N$52/3)*$E47*SIN($K$53)-($N$52/3)*$F47*SIN($K$53)-($N$52/3)*$G47*SIN($K$53)</f>
        <v>#VALUE!</v>
      </c>
      <c r="AW47" s="79" t="e">
        <f>IF(($A47&lt;'Alternative 3'!$B$27),(($H47*'Alternative 3'!$B$39)+(3*($N$52/3)*COS($K$53))),IF(($A47&lt;'Alternative 3'!$B$28),(($H47*'Alternative 3'!$B$39)+(2*(($N$52/3)*COS($K$53)))),IF(($A47&lt;'Alternative 3'!$B$29),(($H$3*'Alternative 3'!$B$39+(($N$52/3)*COS($K$53)))),($H47*'Alternative 3'!$B$39))))</f>
        <v>#VALUE!</v>
      </c>
      <c r="AX47" s="78" t="e">
        <f>AV47*'Alternative 3'!$K48/'Alternative 3'!$L48</f>
        <v>#VALUE!</v>
      </c>
      <c r="AY47" s="78" t="e">
        <f>AW47/'Alternative 3'!$M48</f>
        <v>#VALUE!</v>
      </c>
      <c r="AZ47" s="78" t="e">
        <f t="shared" si="7"/>
        <v>#VALUE!</v>
      </c>
      <c r="BB47" s="78" t="e">
        <f>'Alternative 3'!$B$39*$B47*$C47*COS($K$63)-($N$62/3)*$E47*SIN($K$63)-($N$62/3)*$F47*SIN($K$63)-($N$62/3)*$G47*SIN($K$63)</f>
        <v>#VALUE!</v>
      </c>
      <c r="BC47" s="79" t="e">
        <f>IF(($A47&lt;'Alternative 3'!$B$27),(($H47*'Alternative 3'!$B$39)+(3*($N$62/3)*COS($K$63))),IF(($A47&lt;'Alternative 3'!$B$28),(($H47*'Alternative 3'!$B$39)+(2*(($N$62/3)*COS($K$63)))),IF(($A47&lt;'Alternative 3'!$B$29),(($H$3*'Alternative 3'!$B$39+(($N$62/3)*COS($K$63)))),($H47*'Alternative 3'!$B$39))))</f>
        <v>#VALUE!</v>
      </c>
      <c r="BD47" s="78" t="e">
        <f>BB47*'Alternative 3'!$K48/'Alternative 3'!$L48</f>
        <v>#VALUE!</v>
      </c>
      <c r="BE47" s="78" t="e">
        <f>BC47/'Alternative 3'!$M48</f>
        <v>#VALUE!</v>
      </c>
      <c r="BF47" s="78" t="e">
        <f t="shared" si="8"/>
        <v>#VALUE!</v>
      </c>
      <c r="BH47" s="78" t="e">
        <f>'Alternative 3'!$B$39*$B47*$C47*COS($K$73)-($N$72/3)*$E47*SIN($K$73)-($N$72/3)*$F47*SIN($K$73)-($N$72/3)*$G47*SIN($K$73)</f>
        <v>#VALUE!</v>
      </c>
      <c r="BI47" s="79" t="e">
        <f>IF(($A47&lt;'Alternative 3'!$B$27),(($H47*'Alternative 3'!$B$39)+(3*($N$72/3)*COS($K$73))),IF(($A47&lt;'Alternative 3'!$B$28),(($H47*'Alternative 3'!$B$39)+(2*(($N$72/3)*COS($K$73)))),IF(($A47&lt;'Alternative 3'!$B$29),(($H$3*'Alternative 3'!$B$39+(($N$72/3)*COS($K$73)))),($H47*'Alternative 3'!$B$39))))</f>
        <v>#VALUE!</v>
      </c>
      <c r="BJ47" s="78" t="e">
        <f>BH47*'Alternative 3'!$K48/'Alternative 3'!$L48</f>
        <v>#VALUE!</v>
      </c>
      <c r="BK47" s="78" t="e">
        <f>BI47/'Alternative 3'!$M48</f>
        <v>#VALUE!</v>
      </c>
      <c r="BL47" s="78" t="e">
        <f t="shared" si="9"/>
        <v>#VALUE!</v>
      </c>
      <c r="BN47" s="78" t="e">
        <f>'Alternative 3'!$B$39*$B47*$C47*COS($K$83)-($N$82/3)*$E47*SIN($K$83)-($N$82/3)*$F47*SIN($K$83)-($N$82/3)*$G47*SIN($K$83)</f>
        <v>#VALUE!</v>
      </c>
      <c r="BO47" s="79" t="e">
        <f>IF(($A47&lt;'Alternative 3'!$B$27),(($H47*'Alternative 3'!$B$39)+(3*($N$82/3)*COS($K$83))),IF(($A47&lt;'Alternative 3'!$B$28),(($H47*'Alternative 3'!$B$39)+(2*(($N$82/3)*COS($K$83)))),IF(($A47&lt;'Alternative 3'!$B$29),(($H$3*'Alternative 3'!$B$39+(($N$82/3)*COS($K$83)))),($H47*'Alternative 3'!$B$39))))</f>
        <v>#VALUE!</v>
      </c>
      <c r="BP47" s="78" t="e">
        <f>BN47*'Alternative 3'!$K48/'Alternative 3'!$L48</f>
        <v>#VALUE!</v>
      </c>
      <c r="BQ47" s="78" t="e">
        <f>BO47/'Alternative 3'!$M48</f>
        <v>#VALUE!</v>
      </c>
      <c r="BR47" s="78" t="e">
        <f t="shared" si="10"/>
        <v>#VALUE!</v>
      </c>
      <c r="BT47" s="78" t="e">
        <f>'Alternative 3'!$B$39*$B47*$C47*COS($K$93)-($K$92/3)*$E47*SIN($K$93)-($K$92/3)*$F47*SIN($K$93)-($K$92/3)*$G47*SIN($K$93)</f>
        <v>#VALUE!</v>
      </c>
      <c r="BU47" s="79" t="e">
        <f>IF(($A47&lt;'Alternative 3'!$B$27),(($H47*'Alternative 3'!$B$39)+(3*($N$92/3)*COS($K$93))),IF(($A47&lt;'Alternative 3'!$B$28),(($H47*'Alternative 3'!$B$39)+(2*(($N$92/3)*COS($K$93)))),IF(($A47&lt;'Alternative 3'!$B$29),(($H$3*'Alternative 3'!$B$39+(($N$92/3)*COS($K$93)))),($H47*'Alternative 3'!$B$39))))</f>
        <v>#VALUE!</v>
      </c>
      <c r="BV47" s="78" t="e">
        <f>BT47*'Alternative 3'!$K48/'Alternative 3'!$L48</f>
        <v>#VALUE!</v>
      </c>
      <c r="BW47" s="78" t="e">
        <f>BU47/'Alternative 3'!$M48</f>
        <v>#VALUE!</v>
      </c>
      <c r="BX47" s="78" t="e">
        <f t="shared" si="11"/>
        <v>#VALUE!</v>
      </c>
      <c r="BZ47" s="77">
        <v>150</v>
      </c>
      <c r="CA47" s="77">
        <v>-150</v>
      </c>
    </row>
    <row r="48" spans="1:79" ht="15" customHeight="1" x14ac:dyDescent="0.25">
      <c r="A48" s="13" t="str">
        <f>IF('Alternative 3'!F49&gt;0,'Alternative 3'!F49,"x")</f>
        <v>x</v>
      </c>
      <c r="B48" s="13" t="e">
        <f t="shared" si="17"/>
        <v>#VALUE!</v>
      </c>
      <c r="C48" s="13">
        <f t="shared" si="12"/>
        <v>0</v>
      </c>
      <c r="D48" s="13" t="str">
        <f t="shared" si="13"/>
        <v>x</v>
      </c>
      <c r="E48" s="74">
        <f>IF($A48&lt;='Alternative 3'!$B$27, IF($A48='Alternative 3'!$B$27,0,E49+1),0)</f>
        <v>0</v>
      </c>
      <c r="F48" s="74">
        <f>IF($A48&lt;=('Alternative 3'!$B$28), IF($A48=ROUNDDOWN('Alternative 3'!$B$28,0),0,F49+1),0)</f>
        <v>0</v>
      </c>
      <c r="G48" s="74">
        <f>IF($A48&lt;=('Alternative 3'!$B$29), IF($A48=ROUNDDOWN('Alternative 3'!$B$29,0),0,G49+1),0)</f>
        <v>0</v>
      </c>
      <c r="H48" s="13" t="e">
        <f t="shared" si="14"/>
        <v>#VALUE!</v>
      </c>
      <c r="J48" s="77">
        <f t="shared" si="15"/>
        <v>45</v>
      </c>
      <c r="K48" s="77">
        <f t="shared" si="16"/>
        <v>0.78539816339744828</v>
      </c>
      <c r="L48" s="78">
        <f>'Alternative 3'!$B$27*SIN(K48)+'Alternative 3'!$B$28*SIN(K48)+'Alternative 3'!$B$29*SIN(K48)</f>
        <v>48.083261120685229</v>
      </c>
      <c r="M48" s="77">
        <f>(('Alternative 3'!$B$27)*(((('Alternative 3'!$B$28-'Alternative 3'!$B$27)/2)+'Alternative 3'!$B$27)*'Alternative 3'!$B$39)*COS('Alternative 3-Tilt Up'!K48))+(('Alternative 3'!$B$28)*((('Alternative 3'!$B$28-'Alternative 3'!$B$27)/2)+(('Alternative 3'!$B$29-'Alternative 3'!$B$28)/2))*('Alternative 3'!$B$39)*COS('Alternative 3-Tilt Up'!K48))+(('Alternative 3'!$B$29)*((('Alternative 3'!$B$12-'Alternative 3'!$B$29+(('Alternative 3'!$B$29-'Alternative 3'!$B$28)/2)*('Alternative 3'!$B$39)*COS('Alternative 3-Tilt Up'!K48)))))</f>
        <v>3356065.5778104682</v>
      </c>
      <c r="N48" s="77">
        <f t="shared" si="0"/>
        <v>209390.88778028215</v>
      </c>
      <c r="O48" s="77">
        <f>(((('Alternative 3'!$B$28-'Alternative 3'!$B$27)/2)+'Alternative 3'!$B$27)*('Alternative 3'!$B$39)*COS('Alternative 3-Tilt Up'!K48))+(((('Alternative 3'!$B$28-'Alternative 3'!$B$27)/2)+(('Alternative 3'!$B$29-'Alternative 3'!$B$28)/2))*('Alternative 3'!$B$39)*COS('Alternative 3-Tilt Up'!K48))+(((('Alternative 3'!$B$12-'Alternative 3'!$B$29)+(('Alternative 3'!$B$29-'Alternative 3'!$B$28)/2))*('Alternative 3'!$B$39)*COS('Alternative 3-Tilt Up'!K48)))</f>
        <v>216459.46183073841</v>
      </c>
      <c r="P48" s="77">
        <f t="shared" si="1"/>
        <v>148061.71666810891</v>
      </c>
      <c r="R48" s="78" t="e">
        <f>'Alternative 3'!$B$39*$B48*$C48*COS($K$5)-($N$5/3)*$E48*SIN($K$5)-($N$5/3)*$F48*SIN($K$5)-($N$5/3)*$G48*SIN($K$5)</f>
        <v>#VALUE!</v>
      </c>
      <c r="S48" s="79" t="e">
        <f>IF(($A48&lt;'Alternative 3'!$B$27),(($H48*'Alternative 3'!$B$39)+(3*($N$5/3)*COS($K$5))),IF(($A48&lt;'Alternative 3'!$B$28),(($H48*'Alternative 3'!$B$39)+(2*(($N$5/3)*COS($K$5)))),IF(($A48&lt;'Alternative 3'!$B$29),(($H$3*'Alternative 3'!$B$39+(($N$5/3)*COS($K$5)))),($H48*'Alternative 3'!$B$39))))</f>
        <v>#VALUE!</v>
      </c>
      <c r="T48" s="78" t="e">
        <f>R48*'Alternative 3'!$K49/'Alternative 3'!$L49</f>
        <v>#VALUE!</v>
      </c>
      <c r="U48" s="78" t="e">
        <f>S48/'Alternative 3'!$M49</f>
        <v>#VALUE!</v>
      </c>
      <c r="V48" s="78" t="e">
        <f t="shared" si="2"/>
        <v>#VALUE!</v>
      </c>
      <c r="X48" s="78" t="e">
        <f>'Alternative 3'!$B$39*$B48*$C48*COS($K$13)-($N$12/3)*$E48*SIN($K$13)-($N$12/3)*$F48*SIN($K$13)-($N$12/3)*$G48*SIN($K$13)</f>
        <v>#VALUE!</v>
      </c>
      <c r="Y48" s="79" t="e">
        <f>IF(($A48&lt;'Alternative 3'!$B$27),(($H48*'Alternative 3'!$B$39)+(3*($N$12/3)*COS($K$13))),IF(($A48&lt;'Alternative 3'!$B$28),(($H48*'Alternative 3'!$B$39)+(2*(($N$12/3)*COS($K$13)))),IF(($A48&lt;'Alternative 3'!$B$29),(($H$3*'Alternative 3'!$B$39+(($N$12/3)*COS($K$13)))),($H48*'Alternative 3'!$B$39))))</f>
        <v>#VALUE!</v>
      </c>
      <c r="Z48" s="78" t="e">
        <f>X48*'Alternative 3'!$K49/'Alternative 3'!$L49</f>
        <v>#VALUE!</v>
      </c>
      <c r="AA48" s="78" t="e">
        <f>Y48/'Alternative 3'!$M49</f>
        <v>#VALUE!</v>
      </c>
      <c r="AB48" s="78" t="e">
        <f t="shared" si="3"/>
        <v>#VALUE!</v>
      </c>
      <c r="AD48" s="78" t="e">
        <f>'Alternative 3'!$B$39*$B48*$C48*COS($K$23)-($N$22/3)*$E48*SIN($K$23)-($N$22/3)*$F48*SIN($K$23)-($N$22/3)*$G48*SIN($K$23)</f>
        <v>#VALUE!</v>
      </c>
      <c r="AE48" s="79" t="e">
        <f>IF(($A48&lt;'Alternative 3'!$B$27),(($H48*'Alternative 3'!$B$39)+(3*($N$22/3)*COS($K$23))),IF(($A48&lt;'Alternative 3'!$B$28),(($H48*'Alternative 3'!$B$39)+(2*(($N$22/3)*COS($K$23)))),IF(($A48&lt;'Alternative 3'!$B$29),(($H$3*'Alternative 3'!$B$39+(($N$22/3)*COS($K$23)))),($H48*'Alternative 3'!$B$39))))</f>
        <v>#VALUE!</v>
      </c>
      <c r="AF48" s="78" t="e">
        <f>AD48*'Alternative 3'!$K49/'Alternative 3'!$L49</f>
        <v>#VALUE!</v>
      </c>
      <c r="AG48" s="78" t="e">
        <f>AE48/'Alternative 3'!$M49</f>
        <v>#VALUE!</v>
      </c>
      <c r="AH48" s="78" t="e">
        <f t="shared" si="4"/>
        <v>#VALUE!</v>
      </c>
      <c r="AJ48" s="78" t="e">
        <f>'Alternative 3'!$B$39*$B48*$C48*COS($K$33)-($N$32/3)*$E48*SIN($K$33)-($N$32/3)*$F48*SIN($K$33)-($N$32/3)*$G48*SIN($K$33)</f>
        <v>#VALUE!</v>
      </c>
      <c r="AK48" s="79" t="e">
        <f>IF(($A48&lt;'Alternative 3'!$B$27),(($H48*'Alternative 3'!$B$39)+(3*($N$32/3)*COS($K$33))),IF(($A48&lt;'Alternative 3'!$B$28),(($H48*'Alternative 3'!$B$39)+(2*(($N$32/3)*COS($K$33)))),IF(($A48&lt;'Alternative 3'!$B$29),(($H$3*'Alternative 3'!$B$39+(($N$32/3)*COS($K$33)))),($H48*'Alternative 3'!$B$39))))</f>
        <v>#VALUE!</v>
      </c>
      <c r="AL48" s="78" t="e">
        <f>AJ48*'Alternative 3'!$K49/'Alternative 3'!$L49</f>
        <v>#VALUE!</v>
      </c>
      <c r="AM48" s="78" t="e">
        <f>AK48/'Alternative 3'!$M49</f>
        <v>#VALUE!</v>
      </c>
      <c r="AN48" s="78" t="e">
        <f t="shared" si="5"/>
        <v>#VALUE!</v>
      </c>
      <c r="AP48" s="78" t="e">
        <f>'Alternative 3'!$B$39*$B48*$C48*COS($K$43)-($N$42/3)*$E48*SIN($K$43)-($N$42/3)*$F48*SIN($K$43)-($N$42/3)*$G48*SIN($K$43)</f>
        <v>#VALUE!</v>
      </c>
      <c r="AQ48" s="79" t="e">
        <f>IF(($A48&lt;'Alternative 3'!$B$27),(($H48*'Alternative 3'!$B$39)+(3*($N$42/3)*COS($K$43))),IF(($A48&lt;'Alternative 3'!$B$28),(($H48*'Alternative 3'!$B$39)+(2*(($N$42/3)*COS($K$43)))),IF(($A48&lt;'Alternative 3'!$B$29),(($H$3*'Alternative 3'!$B$39+(($N$42/3)*COS($K$43)))),($H48*'Alternative 3'!$B$39))))</f>
        <v>#VALUE!</v>
      </c>
      <c r="AR48" s="78" t="e">
        <f>AP48*'Alternative 3'!$K49/'Alternative 3'!$L49</f>
        <v>#VALUE!</v>
      </c>
      <c r="AS48" s="78" t="e">
        <f>AQ48/'Alternative 3'!$M49</f>
        <v>#VALUE!</v>
      </c>
      <c r="AT48" s="78" t="e">
        <f t="shared" si="6"/>
        <v>#VALUE!</v>
      </c>
      <c r="AV48" s="78" t="e">
        <f>'Alternative 3'!$B$39*$B48*$C48*COS($K$53)-($N$52/3)*$E48*SIN($K$53)-($N$52/3)*$F48*SIN($K$53)-($N$52/3)*$G48*SIN($K$53)</f>
        <v>#VALUE!</v>
      </c>
      <c r="AW48" s="79" t="e">
        <f>IF(($A48&lt;'Alternative 3'!$B$27),(($H48*'Alternative 3'!$B$39)+(3*($N$52/3)*COS($K$53))),IF(($A48&lt;'Alternative 3'!$B$28),(($H48*'Alternative 3'!$B$39)+(2*(($N$52/3)*COS($K$53)))),IF(($A48&lt;'Alternative 3'!$B$29),(($H$3*'Alternative 3'!$B$39+(($N$52/3)*COS($K$53)))),($H48*'Alternative 3'!$B$39))))</f>
        <v>#VALUE!</v>
      </c>
      <c r="AX48" s="78" t="e">
        <f>AV48*'Alternative 3'!$K49/'Alternative 3'!$L49</f>
        <v>#VALUE!</v>
      </c>
      <c r="AY48" s="78" t="e">
        <f>AW48/'Alternative 3'!$M49</f>
        <v>#VALUE!</v>
      </c>
      <c r="AZ48" s="78" t="e">
        <f t="shared" si="7"/>
        <v>#VALUE!</v>
      </c>
      <c r="BB48" s="78" t="e">
        <f>'Alternative 3'!$B$39*$B48*$C48*COS($K$63)-($N$62/3)*$E48*SIN($K$63)-($N$62/3)*$F48*SIN($K$63)-($N$62/3)*$G48*SIN($K$63)</f>
        <v>#VALUE!</v>
      </c>
      <c r="BC48" s="79" t="e">
        <f>IF(($A48&lt;'Alternative 3'!$B$27),(($H48*'Alternative 3'!$B$39)+(3*($N$62/3)*COS($K$63))),IF(($A48&lt;'Alternative 3'!$B$28),(($H48*'Alternative 3'!$B$39)+(2*(($N$62/3)*COS($K$63)))),IF(($A48&lt;'Alternative 3'!$B$29),(($H$3*'Alternative 3'!$B$39+(($N$62/3)*COS($K$63)))),($H48*'Alternative 3'!$B$39))))</f>
        <v>#VALUE!</v>
      </c>
      <c r="BD48" s="78" t="e">
        <f>BB48*'Alternative 3'!$K49/'Alternative 3'!$L49</f>
        <v>#VALUE!</v>
      </c>
      <c r="BE48" s="78" t="e">
        <f>BC48/'Alternative 3'!$M49</f>
        <v>#VALUE!</v>
      </c>
      <c r="BF48" s="78" t="e">
        <f t="shared" si="8"/>
        <v>#VALUE!</v>
      </c>
      <c r="BH48" s="78" t="e">
        <f>'Alternative 3'!$B$39*$B48*$C48*COS($K$73)-($N$72/3)*$E48*SIN($K$73)-($N$72/3)*$F48*SIN($K$73)-($N$72/3)*$G48*SIN($K$73)</f>
        <v>#VALUE!</v>
      </c>
      <c r="BI48" s="79" t="e">
        <f>IF(($A48&lt;'Alternative 3'!$B$27),(($H48*'Alternative 3'!$B$39)+(3*($N$72/3)*COS($K$73))),IF(($A48&lt;'Alternative 3'!$B$28),(($H48*'Alternative 3'!$B$39)+(2*(($N$72/3)*COS($K$73)))),IF(($A48&lt;'Alternative 3'!$B$29),(($H$3*'Alternative 3'!$B$39+(($N$72/3)*COS($K$73)))),($H48*'Alternative 3'!$B$39))))</f>
        <v>#VALUE!</v>
      </c>
      <c r="BJ48" s="78" t="e">
        <f>BH48*'Alternative 3'!$K49/'Alternative 3'!$L49</f>
        <v>#VALUE!</v>
      </c>
      <c r="BK48" s="78" t="e">
        <f>BI48/'Alternative 3'!$M49</f>
        <v>#VALUE!</v>
      </c>
      <c r="BL48" s="78" t="e">
        <f t="shared" si="9"/>
        <v>#VALUE!</v>
      </c>
      <c r="BN48" s="78" t="e">
        <f>'Alternative 3'!$B$39*$B48*$C48*COS($K$83)-($N$82/3)*$E48*SIN($K$83)-($N$82/3)*$F48*SIN($K$83)-($N$82/3)*$G48*SIN($K$83)</f>
        <v>#VALUE!</v>
      </c>
      <c r="BO48" s="79" t="e">
        <f>IF(($A48&lt;'Alternative 3'!$B$27),(($H48*'Alternative 3'!$B$39)+(3*($N$82/3)*COS($K$83))),IF(($A48&lt;'Alternative 3'!$B$28),(($H48*'Alternative 3'!$B$39)+(2*(($N$82/3)*COS($K$83)))),IF(($A48&lt;'Alternative 3'!$B$29),(($H$3*'Alternative 3'!$B$39+(($N$82/3)*COS($K$83)))),($H48*'Alternative 3'!$B$39))))</f>
        <v>#VALUE!</v>
      </c>
      <c r="BP48" s="78" t="e">
        <f>BN48*'Alternative 3'!$K49/'Alternative 3'!$L49</f>
        <v>#VALUE!</v>
      </c>
      <c r="BQ48" s="78" t="e">
        <f>BO48/'Alternative 3'!$M49</f>
        <v>#VALUE!</v>
      </c>
      <c r="BR48" s="78" t="e">
        <f t="shared" si="10"/>
        <v>#VALUE!</v>
      </c>
      <c r="BT48" s="78" t="e">
        <f>'Alternative 3'!$B$39*$B48*$C48*COS($K$93)-($K$92/3)*$E48*SIN($K$93)-($K$92/3)*$F48*SIN($K$93)-($K$92/3)*$G48*SIN($K$93)</f>
        <v>#VALUE!</v>
      </c>
      <c r="BU48" s="79" t="e">
        <f>IF(($A48&lt;'Alternative 3'!$B$27),(($H48*'Alternative 3'!$B$39)+(3*($N$92/3)*COS($K$93))),IF(($A48&lt;'Alternative 3'!$B$28),(($H48*'Alternative 3'!$B$39)+(2*(($N$92/3)*COS($K$93)))),IF(($A48&lt;'Alternative 3'!$B$29),(($H$3*'Alternative 3'!$B$39+(($N$92/3)*COS($K$93)))),($H48*'Alternative 3'!$B$39))))</f>
        <v>#VALUE!</v>
      </c>
      <c r="BV48" s="78" t="e">
        <f>BT48*'Alternative 3'!$K49/'Alternative 3'!$L49</f>
        <v>#VALUE!</v>
      </c>
      <c r="BW48" s="78" t="e">
        <f>BU48/'Alternative 3'!$M49</f>
        <v>#VALUE!</v>
      </c>
      <c r="BX48" s="78" t="e">
        <f t="shared" si="11"/>
        <v>#VALUE!</v>
      </c>
      <c r="BZ48" s="77">
        <v>150</v>
      </c>
      <c r="CA48" s="77">
        <v>-150</v>
      </c>
    </row>
    <row r="49" spans="1:79" ht="15" customHeight="1" x14ac:dyDescent="0.25">
      <c r="A49" s="13" t="str">
        <f>IF('Alternative 3'!F50&gt;0,'Alternative 3'!F50,"x")</f>
        <v>x</v>
      </c>
      <c r="B49" s="13" t="e">
        <f t="shared" si="17"/>
        <v>#VALUE!</v>
      </c>
      <c r="C49" s="13">
        <f t="shared" si="12"/>
        <v>0</v>
      </c>
      <c r="D49" s="13" t="str">
        <f t="shared" si="13"/>
        <v>x</v>
      </c>
      <c r="E49" s="74">
        <f>IF($A49&lt;='Alternative 3'!$B$27, IF($A49='Alternative 3'!$B$27,0,E50+1),0)</f>
        <v>0</v>
      </c>
      <c r="F49" s="74">
        <f>IF($A49&lt;=('Alternative 3'!$B$28), IF($A49=ROUNDDOWN('Alternative 3'!$B$28,0),0,F50+1),0)</f>
        <v>0</v>
      </c>
      <c r="G49" s="74">
        <f>IF($A49&lt;=('Alternative 3'!$B$29), IF($A49=ROUNDDOWN('Alternative 3'!$B$29,0),0,G50+1),0)</f>
        <v>0</v>
      </c>
      <c r="H49" s="13" t="e">
        <f t="shared" si="14"/>
        <v>#VALUE!</v>
      </c>
      <c r="J49" s="77">
        <f t="shared" si="15"/>
        <v>46</v>
      </c>
      <c r="K49" s="77">
        <f t="shared" si="16"/>
        <v>0.80285145591739149</v>
      </c>
      <c r="L49" s="78">
        <f>'Alternative 3'!$B$27*SIN(K49)+'Alternative 3'!$B$28*SIN(K49)+'Alternative 3'!$B$29*SIN(K49)</f>
        <v>48.915106423028277</v>
      </c>
      <c r="M49" s="77">
        <f>(('Alternative 3'!$B$27)*(((('Alternative 3'!$B$28-'Alternative 3'!$B$27)/2)+'Alternative 3'!$B$27)*'Alternative 3'!$B$39)*COS('Alternative 3-Tilt Up'!K49))+(('Alternative 3'!$B$28)*((('Alternative 3'!$B$28-'Alternative 3'!$B$27)/2)+(('Alternative 3'!$B$29-'Alternative 3'!$B$28)/2))*('Alternative 3'!$B$39)*COS('Alternative 3-Tilt Up'!K49))+(('Alternative 3'!$B$29)*((('Alternative 3'!$B$12-'Alternative 3'!$B$29+(('Alternative 3'!$B$29-'Alternative 3'!$B$28)/2)*('Alternative 3'!$B$39)*COS('Alternative 3-Tilt Up'!K49)))))</f>
        <v>3296986.4563024072</v>
      </c>
      <c r="N49" s="77">
        <f t="shared" si="0"/>
        <v>202206.64110117831</v>
      </c>
      <c r="O49" s="77">
        <f>(((('Alternative 3'!$B$28-'Alternative 3'!$B$27)/2)+'Alternative 3'!$B$27)*('Alternative 3'!$B$39)*COS('Alternative 3-Tilt Up'!K49))+(((('Alternative 3'!$B$28-'Alternative 3'!$B$27)/2)+(('Alternative 3'!$B$29-'Alternative 3'!$B$28)/2))*('Alternative 3'!$B$39)*COS('Alternative 3-Tilt Up'!K49))+(((('Alternative 3'!$B$12-'Alternative 3'!$B$29)+(('Alternative 3'!$B$29-'Alternative 3'!$B$28)/2))*('Alternative 3'!$B$39)*COS('Alternative 3-Tilt Up'!K49)))</f>
        <v>212648.75550119096</v>
      </c>
      <c r="P49" s="77">
        <f t="shared" si="1"/>
        <v>140464.53580333185</v>
      </c>
      <c r="R49" s="78" t="e">
        <f>'Alternative 3'!$B$39*$B49*$C49*COS($K$5)-($N$5/3)*$E49*SIN($K$5)-($N$5/3)*$F49*SIN($K$5)-($N$5/3)*$G49*SIN($K$5)</f>
        <v>#VALUE!</v>
      </c>
      <c r="S49" s="79" t="e">
        <f>IF(($A49&lt;'Alternative 3'!$B$27),(($H49*'Alternative 3'!$B$39)+(3*($N$5/3)*COS($K$5))),IF(($A49&lt;'Alternative 3'!$B$28),(($H49*'Alternative 3'!$B$39)+(2*(($N$5/3)*COS($K$5)))),IF(($A49&lt;'Alternative 3'!$B$29),(($H$3*'Alternative 3'!$B$39+(($N$5/3)*COS($K$5)))),($H49*'Alternative 3'!$B$39))))</f>
        <v>#VALUE!</v>
      </c>
      <c r="T49" s="78" t="e">
        <f>R49*'Alternative 3'!$K50/'Alternative 3'!$L50</f>
        <v>#VALUE!</v>
      </c>
      <c r="U49" s="78" t="e">
        <f>S49/'Alternative 3'!$M50</f>
        <v>#VALUE!</v>
      </c>
      <c r="V49" s="78" t="e">
        <f t="shared" si="2"/>
        <v>#VALUE!</v>
      </c>
      <c r="X49" s="78" t="e">
        <f>'Alternative 3'!$B$39*$B49*$C49*COS($K$13)-($N$12/3)*$E49*SIN($K$13)-($N$12/3)*$F49*SIN($K$13)-($N$12/3)*$G49*SIN($K$13)</f>
        <v>#VALUE!</v>
      </c>
      <c r="Y49" s="79" t="e">
        <f>IF(($A49&lt;'Alternative 3'!$B$27),(($H49*'Alternative 3'!$B$39)+(3*($N$12/3)*COS($K$13))),IF(($A49&lt;'Alternative 3'!$B$28),(($H49*'Alternative 3'!$B$39)+(2*(($N$12/3)*COS($K$13)))),IF(($A49&lt;'Alternative 3'!$B$29),(($H$3*'Alternative 3'!$B$39+(($N$12/3)*COS($K$13)))),($H49*'Alternative 3'!$B$39))))</f>
        <v>#VALUE!</v>
      </c>
      <c r="Z49" s="78" t="e">
        <f>X49*'Alternative 3'!$K50/'Alternative 3'!$L50</f>
        <v>#VALUE!</v>
      </c>
      <c r="AA49" s="78" t="e">
        <f>Y49/'Alternative 3'!$M50</f>
        <v>#VALUE!</v>
      </c>
      <c r="AB49" s="78" t="e">
        <f t="shared" si="3"/>
        <v>#VALUE!</v>
      </c>
      <c r="AD49" s="78" t="e">
        <f>'Alternative 3'!$B$39*$B49*$C49*COS($K$23)-($N$22/3)*$E49*SIN($K$23)-($N$22/3)*$F49*SIN($K$23)-($N$22/3)*$G49*SIN($K$23)</f>
        <v>#VALUE!</v>
      </c>
      <c r="AE49" s="79" t="e">
        <f>IF(($A49&lt;'Alternative 3'!$B$27),(($H49*'Alternative 3'!$B$39)+(3*($N$22/3)*COS($K$23))),IF(($A49&lt;'Alternative 3'!$B$28),(($H49*'Alternative 3'!$B$39)+(2*(($N$22/3)*COS($K$23)))),IF(($A49&lt;'Alternative 3'!$B$29),(($H$3*'Alternative 3'!$B$39+(($N$22/3)*COS($K$23)))),($H49*'Alternative 3'!$B$39))))</f>
        <v>#VALUE!</v>
      </c>
      <c r="AF49" s="78" t="e">
        <f>AD49*'Alternative 3'!$K50/'Alternative 3'!$L50</f>
        <v>#VALUE!</v>
      </c>
      <c r="AG49" s="78" t="e">
        <f>AE49/'Alternative 3'!$M50</f>
        <v>#VALUE!</v>
      </c>
      <c r="AH49" s="78" t="e">
        <f t="shared" si="4"/>
        <v>#VALUE!</v>
      </c>
      <c r="AJ49" s="78" t="e">
        <f>'Alternative 3'!$B$39*$B49*$C49*COS($K$33)-($N$32/3)*$E49*SIN($K$33)-($N$32/3)*$F49*SIN($K$33)-($N$32/3)*$G49*SIN($K$33)</f>
        <v>#VALUE!</v>
      </c>
      <c r="AK49" s="79" t="e">
        <f>IF(($A49&lt;'Alternative 3'!$B$27),(($H49*'Alternative 3'!$B$39)+(3*($N$32/3)*COS($K$33))),IF(($A49&lt;'Alternative 3'!$B$28),(($H49*'Alternative 3'!$B$39)+(2*(($N$32/3)*COS($K$33)))),IF(($A49&lt;'Alternative 3'!$B$29),(($H$3*'Alternative 3'!$B$39+(($N$32/3)*COS($K$33)))),($H49*'Alternative 3'!$B$39))))</f>
        <v>#VALUE!</v>
      </c>
      <c r="AL49" s="78" t="e">
        <f>AJ49*'Alternative 3'!$K50/'Alternative 3'!$L50</f>
        <v>#VALUE!</v>
      </c>
      <c r="AM49" s="78" t="e">
        <f>AK49/'Alternative 3'!$M50</f>
        <v>#VALUE!</v>
      </c>
      <c r="AN49" s="78" t="e">
        <f t="shared" si="5"/>
        <v>#VALUE!</v>
      </c>
      <c r="AP49" s="78" t="e">
        <f>'Alternative 3'!$B$39*$B49*$C49*COS($K$43)-($N$42/3)*$E49*SIN($K$43)-($N$42/3)*$F49*SIN($K$43)-($N$42/3)*$G49*SIN($K$43)</f>
        <v>#VALUE!</v>
      </c>
      <c r="AQ49" s="79" t="e">
        <f>IF(($A49&lt;'Alternative 3'!$B$27),(($H49*'Alternative 3'!$B$39)+(3*($N$42/3)*COS($K$43))),IF(($A49&lt;'Alternative 3'!$B$28),(($H49*'Alternative 3'!$B$39)+(2*(($N$42/3)*COS($K$43)))),IF(($A49&lt;'Alternative 3'!$B$29),(($H$3*'Alternative 3'!$B$39+(($N$42/3)*COS($K$43)))),($H49*'Alternative 3'!$B$39))))</f>
        <v>#VALUE!</v>
      </c>
      <c r="AR49" s="78" t="e">
        <f>AP49*'Alternative 3'!$K50/'Alternative 3'!$L50</f>
        <v>#VALUE!</v>
      </c>
      <c r="AS49" s="78" t="e">
        <f>AQ49/'Alternative 3'!$M50</f>
        <v>#VALUE!</v>
      </c>
      <c r="AT49" s="78" t="e">
        <f t="shared" si="6"/>
        <v>#VALUE!</v>
      </c>
      <c r="AV49" s="78" t="e">
        <f>'Alternative 3'!$B$39*$B49*$C49*COS($K$53)-($N$52/3)*$E49*SIN($K$53)-($N$52/3)*$F49*SIN($K$53)-($N$52/3)*$G49*SIN($K$53)</f>
        <v>#VALUE!</v>
      </c>
      <c r="AW49" s="79" t="e">
        <f>IF(($A49&lt;'Alternative 3'!$B$27),(($H49*'Alternative 3'!$B$39)+(3*($N$52/3)*COS($K$53))),IF(($A49&lt;'Alternative 3'!$B$28),(($H49*'Alternative 3'!$B$39)+(2*(($N$52/3)*COS($K$53)))),IF(($A49&lt;'Alternative 3'!$B$29),(($H$3*'Alternative 3'!$B$39+(($N$52/3)*COS($K$53)))),($H49*'Alternative 3'!$B$39))))</f>
        <v>#VALUE!</v>
      </c>
      <c r="AX49" s="78" t="e">
        <f>AV49*'Alternative 3'!$K50/'Alternative 3'!$L50</f>
        <v>#VALUE!</v>
      </c>
      <c r="AY49" s="78" t="e">
        <f>AW49/'Alternative 3'!$M50</f>
        <v>#VALUE!</v>
      </c>
      <c r="AZ49" s="78" t="e">
        <f t="shared" si="7"/>
        <v>#VALUE!</v>
      </c>
      <c r="BB49" s="78" t="e">
        <f>'Alternative 3'!$B$39*$B49*$C49*COS($K$63)-($N$62/3)*$E49*SIN($K$63)-($N$62/3)*$F49*SIN($K$63)-($N$62/3)*$G49*SIN($K$63)</f>
        <v>#VALUE!</v>
      </c>
      <c r="BC49" s="79" t="e">
        <f>IF(($A49&lt;'Alternative 3'!$B$27),(($H49*'Alternative 3'!$B$39)+(3*($N$62/3)*COS($K$63))),IF(($A49&lt;'Alternative 3'!$B$28),(($H49*'Alternative 3'!$B$39)+(2*(($N$62/3)*COS($K$63)))),IF(($A49&lt;'Alternative 3'!$B$29),(($H$3*'Alternative 3'!$B$39+(($N$62/3)*COS($K$63)))),($H49*'Alternative 3'!$B$39))))</f>
        <v>#VALUE!</v>
      </c>
      <c r="BD49" s="78" t="e">
        <f>BB49*'Alternative 3'!$K50/'Alternative 3'!$L50</f>
        <v>#VALUE!</v>
      </c>
      <c r="BE49" s="78" t="e">
        <f>BC49/'Alternative 3'!$M50</f>
        <v>#VALUE!</v>
      </c>
      <c r="BF49" s="78" t="e">
        <f t="shared" si="8"/>
        <v>#VALUE!</v>
      </c>
      <c r="BH49" s="78" t="e">
        <f>'Alternative 3'!$B$39*$B49*$C49*COS($K$73)-($N$72/3)*$E49*SIN($K$73)-($N$72/3)*$F49*SIN($K$73)-($N$72/3)*$G49*SIN($K$73)</f>
        <v>#VALUE!</v>
      </c>
      <c r="BI49" s="79" t="e">
        <f>IF(($A49&lt;'Alternative 3'!$B$27),(($H49*'Alternative 3'!$B$39)+(3*($N$72/3)*COS($K$73))),IF(($A49&lt;'Alternative 3'!$B$28),(($H49*'Alternative 3'!$B$39)+(2*(($N$72/3)*COS($K$73)))),IF(($A49&lt;'Alternative 3'!$B$29),(($H$3*'Alternative 3'!$B$39+(($N$72/3)*COS($K$73)))),($H49*'Alternative 3'!$B$39))))</f>
        <v>#VALUE!</v>
      </c>
      <c r="BJ49" s="78" t="e">
        <f>BH49*'Alternative 3'!$K50/'Alternative 3'!$L50</f>
        <v>#VALUE!</v>
      </c>
      <c r="BK49" s="78" t="e">
        <f>BI49/'Alternative 3'!$M50</f>
        <v>#VALUE!</v>
      </c>
      <c r="BL49" s="78" t="e">
        <f t="shared" si="9"/>
        <v>#VALUE!</v>
      </c>
      <c r="BN49" s="78" t="e">
        <f>'Alternative 3'!$B$39*$B49*$C49*COS($K$83)-($N$82/3)*$E49*SIN($K$83)-($N$82/3)*$F49*SIN($K$83)-($N$82/3)*$G49*SIN($K$83)</f>
        <v>#VALUE!</v>
      </c>
      <c r="BO49" s="79" t="e">
        <f>IF(($A49&lt;'Alternative 3'!$B$27),(($H49*'Alternative 3'!$B$39)+(3*($N$82/3)*COS($K$83))),IF(($A49&lt;'Alternative 3'!$B$28),(($H49*'Alternative 3'!$B$39)+(2*(($N$82/3)*COS($K$83)))),IF(($A49&lt;'Alternative 3'!$B$29),(($H$3*'Alternative 3'!$B$39+(($N$82/3)*COS($K$83)))),($H49*'Alternative 3'!$B$39))))</f>
        <v>#VALUE!</v>
      </c>
      <c r="BP49" s="78" t="e">
        <f>BN49*'Alternative 3'!$K50/'Alternative 3'!$L50</f>
        <v>#VALUE!</v>
      </c>
      <c r="BQ49" s="78" t="e">
        <f>BO49/'Alternative 3'!$M50</f>
        <v>#VALUE!</v>
      </c>
      <c r="BR49" s="78" t="e">
        <f t="shared" si="10"/>
        <v>#VALUE!</v>
      </c>
      <c r="BT49" s="78" t="e">
        <f>'Alternative 3'!$B$39*$B49*$C49*COS($K$93)-($K$92/3)*$E49*SIN($K$93)-($K$92/3)*$F49*SIN($K$93)-($K$92/3)*$G49*SIN($K$93)</f>
        <v>#VALUE!</v>
      </c>
      <c r="BU49" s="79" t="e">
        <f>IF(($A49&lt;'Alternative 3'!$B$27),(($H49*'Alternative 3'!$B$39)+(3*($N$92/3)*COS($K$93))),IF(($A49&lt;'Alternative 3'!$B$28),(($H49*'Alternative 3'!$B$39)+(2*(($N$92/3)*COS($K$93)))),IF(($A49&lt;'Alternative 3'!$B$29),(($H$3*'Alternative 3'!$B$39+(($N$92/3)*COS($K$93)))),($H49*'Alternative 3'!$B$39))))</f>
        <v>#VALUE!</v>
      </c>
      <c r="BV49" s="78" t="e">
        <f>BT49*'Alternative 3'!$K50/'Alternative 3'!$L50</f>
        <v>#VALUE!</v>
      </c>
      <c r="BW49" s="78" t="e">
        <f>BU49/'Alternative 3'!$M50</f>
        <v>#VALUE!</v>
      </c>
      <c r="BX49" s="78" t="e">
        <f t="shared" si="11"/>
        <v>#VALUE!</v>
      </c>
      <c r="BZ49" s="77">
        <v>150</v>
      </c>
      <c r="CA49" s="77">
        <v>-150</v>
      </c>
    </row>
    <row r="50" spans="1:79" ht="15" customHeight="1" x14ac:dyDescent="0.25">
      <c r="A50" s="13" t="str">
        <f>IF('Alternative 3'!F51&gt;0,'Alternative 3'!F51,"x")</f>
        <v>x</v>
      </c>
      <c r="B50" s="13" t="e">
        <f t="shared" si="17"/>
        <v>#VALUE!</v>
      </c>
      <c r="C50" s="13">
        <f t="shared" si="12"/>
        <v>0</v>
      </c>
      <c r="D50" s="13" t="str">
        <f t="shared" si="13"/>
        <v>x</v>
      </c>
      <c r="E50" s="74">
        <f>IF($A50&lt;='Alternative 3'!$B$27, IF($A50='Alternative 3'!$B$27,0,E51+1),0)</f>
        <v>0</v>
      </c>
      <c r="F50" s="74">
        <f>IF($A50&lt;=('Alternative 3'!$B$28), IF($A50=ROUNDDOWN('Alternative 3'!$B$28,0),0,F51+1),0)</f>
        <v>0</v>
      </c>
      <c r="G50" s="74">
        <f>IF($A50&lt;=('Alternative 3'!$B$29), IF($A50=ROUNDDOWN('Alternative 3'!$B$29,0),0,G51+1),0)</f>
        <v>0</v>
      </c>
      <c r="H50" s="13" t="e">
        <f t="shared" si="14"/>
        <v>#VALUE!</v>
      </c>
      <c r="J50" s="77">
        <f t="shared" si="15"/>
        <v>47</v>
      </c>
      <c r="K50" s="77">
        <f t="shared" si="16"/>
        <v>0.82030474843733492</v>
      </c>
      <c r="L50" s="78">
        <f>'Alternative 3'!$B$27*SIN(K50)+'Alternative 3'!$B$28*SIN(K50)+'Alternative 3'!$B$29*SIN(K50)</f>
        <v>49.73205171010359</v>
      </c>
      <c r="M50" s="77">
        <f>(('Alternative 3'!$B$27)*(((('Alternative 3'!$B$28-'Alternative 3'!$B$27)/2)+'Alternative 3'!$B$27)*'Alternative 3'!$B$39)*COS('Alternative 3-Tilt Up'!K50))+(('Alternative 3'!$B$28)*((('Alternative 3'!$B$28-'Alternative 3'!$B$27)/2)+(('Alternative 3'!$B$29-'Alternative 3'!$B$28)/2))*('Alternative 3'!$B$39)*COS('Alternative 3-Tilt Up'!K50))+(('Alternative 3'!$B$29)*((('Alternative 3'!$B$12-'Alternative 3'!$B$29+(('Alternative 3'!$B$29-'Alternative 3'!$B$28)/2)*('Alternative 3'!$B$39)*COS('Alternative 3-Tilt Up'!K50)))))</f>
        <v>3236903.1003722595</v>
      </c>
      <c r="N50" s="77">
        <f t="shared" si="0"/>
        <v>195260.58079650768</v>
      </c>
      <c r="O50" s="77">
        <f>(((('Alternative 3'!$B$28-'Alternative 3'!$B$27)/2)+'Alternative 3'!$B$27)*('Alternative 3'!$B$39)*COS('Alternative 3-Tilt Up'!K50))+(((('Alternative 3'!$B$28-'Alternative 3'!$B$27)/2)+(('Alternative 3'!$B$29-'Alternative 3'!$B$28)/2))*('Alternative 3'!$B$39)*COS('Alternative 3-Tilt Up'!K50))+(((('Alternative 3'!$B$12-'Alternative 3'!$B$29)+(('Alternative 3'!$B$29-'Alternative 3'!$B$28)/2))*('Alternative 3'!$B$39)*COS('Alternative 3-Tilt Up'!K50)))</f>
        <v>208773.27430074304</v>
      </c>
      <c r="P50" s="77">
        <f t="shared" si="1"/>
        <v>133167.39588806921</v>
      </c>
      <c r="R50" s="78" t="e">
        <f>'Alternative 3'!$B$39*$B50*$C50*COS($K$5)-($N$5/3)*$E50*SIN($K$5)-($N$5/3)*$F50*SIN($K$5)-($N$5/3)*$G50*SIN($K$5)</f>
        <v>#VALUE!</v>
      </c>
      <c r="S50" s="79" t="e">
        <f>IF(($A50&lt;'Alternative 3'!$B$27),(($H50*'Alternative 3'!$B$39)+(3*($N$5/3)*COS($K$5))),IF(($A50&lt;'Alternative 3'!$B$28),(($H50*'Alternative 3'!$B$39)+(2*(($N$5/3)*COS($K$5)))),IF(($A50&lt;'Alternative 3'!$B$29),(($H$3*'Alternative 3'!$B$39+(($N$5/3)*COS($K$5)))),($H50*'Alternative 3'!$B$39))))</f>
        <v>#VALUE!</v>
      </c>
      <c r="T50" s="78" t="e">
        <f>R50*'Alternative 3'!$K51/'Alternative 3'!$L51</f>
        <v>#VALUE!</v>
      </c>
      <c r="U50" s="78" t="e">
        <f>S50/'Alternative 3'!$M51</f>
        <v>#VALUE!</v>
      </c>
      <c r="V50" s="78" t="e">
        <f t="shared" si="2"/>
        <v>#VALUE!</v>
      </c>
      <c r="X50" s="78" t="e">
        <f>'Alternative 3'!$B$39*$B50*$C50*COS($K$13)-($N$12/3)*$E50*SIN($K$13)-($N$12/3)*$F50*SIN($K$13)-($N$12/3)*$G50*SIN($K$13)</f>
        <v>#VALUE!</v>
      </c>
      <c r="Y50" s="79" t="e">
        <f>IF(($A50&lt;'Alternative 3'!$B$27),(($H50*'Alternative 3'!$B$39)+(3*($N$12/3)*COS($K$13))),IF(($A50&lt;'Alternative 3'!$B$28),(($H50*'Alternative 3'!$B$39)+(2*(($N$12/3)*COS($K$13)))),IF(($A50&lt;'Alternative 3'!$B$29),(($H$3*'Alternative 3'!$B$39+(($N$12/3)*COS($K$13)))),($H50*'Alternative 3'!$B$39))))</f>
        <v>#VALUE!</v>
      </c>
      <c r="Z50" s="78" t="e">
        <f>X50*'Alternative 3'!$K51/'Alternative 3'!$L51</f>
        <v>#VALUE!</v>
      </c>
      <c r="AA50" s="78" t="e">
        <f>Y50/'Alternative 3'!$M51</f>
        <v>#VALUE!</v>
      </c>
      <c r="AB50" s="78" t="e">
        <f t="shared" si="3"/>
        <v>#VALUE!</v>
      </c>
      <c r="AD50" s="78" t="e">
        <f>'Alternative 3'!$B$39*$B50*$C50*COS($K$23)-($N$22/3)*$E50*SIN($K$23)-($N$22/3)*$F50*SIN($K$23)-($N$22/3)*$G50*SIN($K$23)</f>
        <v>#VALUE!</v>
      </c>
      <c r="AE50" s="79" t="e">
        <f>IF(($A50&lt;'Alternative 3'!$B$27),(($H50*'Alternative 3'!$B$39)+(3*($N$22/3)*COS($K$23))),IF(($A50&lt;'Alternative 3'!$B$28),(($H50*'Alternative 3'!$B$39)+(2*(($N$22/3)*COS($K$23)))),IF(($A50&lt;'Alternative 3'!$B$29),(($H$3*'Alternative 3'!$B$39+(($N$22/3)*COS($K$23)))),($H50*'Alternative 3'!$B$39))))</f>
        <v>#VALUE!</v>
      </c>
      <c r="AF50" s="78" t="e">
        <f>AD50*'Alternative 3'!$K51/'Alternative 3'!$L51</f>
        <v>#VALUE!</v>
      </c>
      <c r="AG50" s="78" t="e">
        <f>AE50/'Alternative 3'!$M51</f>
        <v>#VALUE!</v>
      </c>
      <c r="AH50" s="78" t="e">
        <f t="shared" si="4"/>
        <v>#VALUE!</v>
      </c>
      <c r="AJ50" s="78" t="e">
        <f>'Alternative 3'!$B$39*$B50*$C50*COS($K$33)-($N$32/3)*$E50*SIN($K$33)-($N$32/3)*$F50*SIN($K$33)-($N$32/3)*$G50*SIN($K$33)</f>
        <v>#VALUE!</v>
      </c>
      <c r="AK50" s="79" t="e">
        <f>IF(($A50&lt;'Alternative 3'!$B$27),(($H50*'Alternative 3'!$B$39)+(3*($N$32/3)*COS($K$33))),IF(($A50&lt;'Alternative 3'!$B$28),(($H50*'Alternative 3'!$B$39)+(2*(($N$32/3)*COS($K$33)))),IF(($A50&lt;'Alternative 3'!$B$29),(($H$3*'Alternative 3'!$B$39+(($N$32/3)*COS($K$33)))),($H50*'Alternative 3'!$B$39))))</f>
        <v>#VALUE!</v>
      </c>
      <c r="AL50" s="78" t="e">
        <f>AJ50*'Alternative 3'!$K51/'Alternative 3'!$L51</f>
        <v>#VALUE!</v>
      </c>
      <c r="AM50" s="78" t="e">
        <f>AK50/'Alternative 3'!$M51</f>
        <v>#VALUE!</v>
      </c>
      <c r="AN50" s="78" t="e">
        <f t="shared" si="5"/>
        <v>#VALUE!</v>
      </c>
      <c r="AP50" s="78" t="e">
        <f>'Alternative 3'!$B$39*$B50*$C50*COS($K$43)-($N$42/3)*$E50*SIN($K$43)-($N$42/3)*$F50*SIN($K$43)-($N$42/3)*$G50*SIN($K$43)</f>
        <v>#VALUE!</v>
      </c>
      <c r="AQ50" s="79" t="e">
        <f>IF(($A50&lt;'Alternative 3'!$B$27),(($H50*'Alternative 3'!$B$39)+(3*($N$42/3)*COS($K$43))),IF(($A50&lt;'Alternative 3'!$B$28),(($H50*'Alternative 3'!$B$39)+(2*(($N$42/3)*COS($K$43)))),IF(($A50&lt;'Alternative 3'!$B$29),(($H$3*'Alternative 3'!$B$39+(($N$42/3)*COS($K$43)))),($H50*'Alternative 3'!$B$39))))</f>
        <v>#VALUE!</v>
      </c>
      <c r="AR50" s="78" t="e">
        <f>AP50*'Alternative 3'!$K51/'Alternative 3'!$L51</f>
        <v>#VALUE!</v>
      </c>
      <c r="AS50" s="78" t="e">
        <f>AQ50/'Alternative 3'!$M51</f>
        <v>#VALUE!</v>
      </c>
      <c r="AT50" s="78" t="e">
        <f t="shared" si="6"/>
        <v>#VALUE!</v>
      </c>
      <c r="AV50" s="78" t="e">
        <f>'Alternative 3'!$B$39*$B50*$C50*COS($K$53)-($N$52/3)*$E50*SIN($K$53)-($N$52/3)*$F50*SIN($K$53)-($N$52/3)*$G50*SIN($K$53)</f>
        <v>#VALUE!</v>
      </c>
      <c r="AW50" s="79" t="e">
        <f>IF(($A50&lt;'Alternative 3'!$B$27),(($H50*'Alternative 3'!$B$39)+(3*($N$52/3)*COS($K$53))),IF(($A50&lt;'Alternative 3'!$B$28),(($H50*'Alternative 3'!$B$39)+(2*(($N$52/3)*COS($K$53)))),IF(($A50&lt;'Alternative 3'!$B$29),(($H$3*'Alternative 3'!$B$39+(($N$52/3)*COS($K$53)))),($H50*'Alternative 3'!$B$39))))</f>
        <v>#VALUE!</v>
      </c>
      <c r="AX50" s="78" t="e">
        <f>AV50*'Alternative 3'!$K51/'Alternative 3'!$L51</f>
        <v>#VALUE!</v>
      </c>
      <c r="AY50" s="78" t="e">
        <f>AW50/'Alternative 3'!$M51</f>
        <v>#VALUE!</v>
      </c>
      <c r="AZ50" s="78" t="e">
        <f t="shared" si="7"/>
        <v>#VALUE!</v>
      </c>
      <c r="BB50" s="78" t="e">
        <f>'Alternative 3'!$B$39*$B50*$C50*COS($K$63)-($N$62/3)*$E50*SIN($K$63)-($N$62/3)*$F50*SIN($K$63)-($N$62/3)*$G50*SIN($K$63)</f>
        <v>#VALUE!</v>
      </c>
      <c r="BC50" s="79" t="e">
        <f>IF(($A50&lt;'Alternative 3'!$B$27),(($H50*'Alternative 3'!$B$39)+(3*($N$62/3)*COS($K$63))),IF(($A50&lt;'Alternative 3'!$B$28),(($H50*'Alternative 3'!$B$39)+(2*(($N$62/3)*COS($K$63)))),IF(($A50&lt;'Alternative 3'!$B$29),(($H$3*'Alternative 3'!$B$39+(($N$62/3)*COS($K$63)))),($H50*'Alternative 3'!$B$39))))</f>
        <v>#VALUE!</v>
      </c>
      <c r="BD50" s="78" t="e">
        <f>BB50*'Alternative 3'!$K51/'Alternative 3'!$L51</f>
        <v>#VALUE!</v>
      </c>
      <c r="BE50" s="78" t="e">
        <f>BC50/'Alternative 3'!$M51</f>
        <v>#VALUE!</v>
      </c>
      <c r="BF50" s="78" t="e">
        <f t="shared" si="8"/>
        <v>#VALUE!</v>
      </c>
      <c r="BH50" s="78" t="e">
        <f>'Alternative 3'!$B$39*$B50*$C50*COS($K$73)-($N$72/3)*$E50*SIN($K$73)-($N$72/3)*$F50*SIN($K$73)-($N$72/3)*$G50*SIN($K$73)</f>
        <v>#VALUE!</v>
      </c>
      <c r="BI50" s="79" t="e">
        <f>IF(($A50&lt;'Alternative 3'!$B$27),(($H50*'Alternative 3'!$B$39)+(3*($N$72/3)*COS($K$73))),IF(($A50&lt;'Alternative 3'!$B$28),(($H50*'Alternative 3'!$B$39)+(2*(($N$72/3)*COS($K$73)))),IF(($A50&lt;'Alternative 3'!$B$29),(($H$3*'Alternative 3'!$B$39+(($N$72/3)*COS($K$73)))),($H50*'Alternative 3'!$B$39))))</f>
        <v>#VALUE!</v>
      </c>
      <c r="BJ50" s="78" t="e">
        <f>BH50*'Alternative 3'!$K51/'Alternative 3'!$L51</f>
        <v>#VALUE!</v>
      </c>
      <c r="BK50" s="78" t="e">
        <f>BI50/'Alternative 3'!$M51</f>
        <v>#VALUE!</v>
      </c>
      <c r="BL50" s="78" t="e">
        <f t="shared" si="9"/>
        <v>#VALUE!</v>
      </c>
      <c r="BN50" s="78" t="e">
        <f>'Alternative 3'!$B$39*$B50*$C50*COS($K$83)-($N$82/3)*$E50*SIN($K$83)-($N$82/3)*$F50*SIN($K$83)-($N$82/3)*$G50*SIN($K$83)</f>
        <v>#VALUE!</v>
      </c>
      <c r="BO50" s="79" t="e">
        <f>IF(($A50&lt;'Alternative 3'!$B$27),(($H50*'Alternative 3'!$B$39)+(3*($N$82/3)*COS($K$83))),IF(($A50&lt;'Alternative 3'!$B$28),(($H50*'Alternative 3'!$B$39)+(2*(($N$82/3)*COS($K$83)))),IF(($A50&lt;'Alternative 3'!$B$29),(($H$3*'Alternative 3'!$B$39+(($N$82/3)*COS($K$83)))),($H50*'Alternative 3'!$B$39))))</f>
        <v>#VALUE!</v>
      </c>
      <c r="BP50" s="78" t="e">
        <f>BN50*'Alternative 3'!$K51/'Alternative 3'!$L51</f>
        <v>#VALUE!</v>
      </c>
      <c r="BQ50" s="78" t="e">
        <f>BO50/'Alternative 3'!$M51</f>
        <v>#VALUE!</v>
      </c>
      <c r="BR50" s="78" t="e">
        <f t="shared" si="10"/>
        <v>#VALUE!</v>
      </c>
      <c r="BT50" s="78" t="e">
        <f>'Alternative 3'!$B$39*$B50*$C50*COS($K$93)-($K$92/3)*$E50*SIN($K$93)-($K$92/3)*$F50*SIN($K$93)-($K$92/3)*$G50*SIN($K$93)</f>
        <v>#VALUE!</v>
      </c>
      <c r="BU50" s="79" t="e">
        <f>IF(($A50&lt;'Alternative 3'!$B$27),(($H50*'Alternative 3'!$B$39)+(3*($N$92/3)*COS($K$93))),IF(($A50&lt;'Alternative 3'!$B$28),(($H50*'Alternative 3'!$B$39)+(2*(($N$92/3)*COS($K$93)))),IF(($A50&lt;'Alternative 3'!$B$29),(($H$3*'Alternative 3'!$B$39+(($N$92/3)*COS($K$93)))),($H50*'Alternative 3'!$B$39))))</f>
        <v>#VALUE!</v>
      </c>
      <c r="BV50" s="78" t="e">
        <f>BT50*'Alternative 3'!$K51/'Alternative 3'!$L51</f>
        <v>#VALUE!</v>
      </c>
      <c r="BW50" s="78" t="e">
        <f>BU50/'Alternative 3'!$M51</f>
        <v>#VALUE!</v>
      </c>
      <c r="BX50" s="78" t="e">
        <f t="shared" si="11"/>
        <v>#VALUE!</v>
      </c>
      <c r="BZ50" s="77">
        <v>150</v>
      </c>
      <c r="CA50" s="77">
        <v>-150</v>
      </c>
    </row>
    <row r="51" spans="1:79" ht="15" customHeight="1" x14ac:dyDescent="0.25">
      <c r="A51" s="13" t="str">
        <f>IF('Alternative 3'!F52&gt;0,'Alternative 3'!F52,"x")</f>
        <v>x</v>
      </c>
      <c r="B51" s="13" t="e">
        <f t="shared" si="17"/>
        <v>#VALUE!</v>
      </c>
      <c r="C51" s="13">
        <f t="shared" si="12"/>
        <v>0</v>
      </c>
      <c r="D51" s="13" t="str">
        <f t="shared" si="13"/>
        <v>x</v>
      </c>
      <c r="E51" s="74">
        <f>IF($A51&lt;='Alternative 3'!$B$27, IF($A51='Alternative 3'!$B$27,0,E52+1),0)</f>
        <v>0</v>
      </c>
      <c r="F51" s="74">
        <f>IF($A51&lt;=('Alternative 3'!$B$28), IF($A51=ROUNDDOWN('Alternative 3'!$B$28,0),0,F52+1),0)</f>
        <v>0</v>
      </c>
      <c r="G51" s="74">
        <f>IF($A51&lt;=('Alternative 3'!$B$29), IF($A51=ROUNDDOWN('Alternative 3'!$B$29,0),0,G52+1),0)</f>
        <v>0</v>
      </c>
      <c r="H51" s="13" t="e">
        <f t="shared" si="14"/>
        <v>#VALUE!</v>
      </c>
      <c r="J51" s="77">
        <f t="shared" si="15"/>
        <v>48</v>
      </c>
      <c r="K51" s="77">
        <f t="shared" si="16"/>
        <v>0.83775804095727813</v>
      </c>
      <c r="L51" s="78">
        <f>'Alternative 3'!$B$27*SIN(K51)+'Alternative 3'!$B$28*SIN(K51)+'Alternative 3'!$B$29*SIN(K51)</f>
        <v>50.533848132462801</v>
      </c>
      <c r="M51" s="77">
        <f>(('Alternative 3'!$B$27)*(((('Alternative 3'!$B$28-'Alternative 3'!$B$27)/2)+'Alternative 3'!$B$27)*'Alternative 3'!$B$39)*COS('Alternative 3-Tilt Up'!K51))+(('Alternative 3'!$B$28)*((('Alternative 3'!$B$28-'Alternative 3'!$B$27)/2)+(('Alternative 3'!$B$29-'Alternative 3'!$B$28)/2))*('Alternative 3'!$B$39)*COS('Alternative 3-Tilt Up'!K51))+(('Alternative 3'!$B$29)*((('Alternative 3'!$B$12-'Alternative 3'!$B$29+(('Alternative 3'!$B$29-'Alternative 3'!$B$28)/2)*('Alternative 3'!$B$39)*COS('Alternative 3-Tilt Up'!K51)))))</f>
        <v>3175833.8119922825</v>
      </c>
      <c r="N51" s="77">
        <f t="shared" si="0"/>
        <v>188537.02593562054</v>
      </c>
      <c r="O51" s="77">
        <f>(((('Alternative 3'!$B$28-'Alternative 3'!$B$27)/2)+'Alternative 3'!$B$27)*('Alternative 3'!$B$39)*COS('Alternative 3-Tilt Up'!K51))+(((('Alternative 3'!$B$28-'Alternative 3'!$B$27)/2)+(('Alternative 3'!$B$29-'Alternative 3'!$B$28)/2))*('Alternative 3'!$B$39)*COS('Alternative 3-Tilt Up'!K51))+(((('Alternative 3'!$B$12-'Alternative 3'!$B$29)+(('Alternative 3'!$B$29-'Alternative 3'!$B$28)/2))*('Alternative 3'!$B$39)*COS('Alternative 3-Tilt Up'!K51)))</f>
        <v>204834.19873851104</v>
      </c>
      <c r="P51" s="77">
        <f t="shared" si="1"/>
        <v>126155.89448539756</v>
      </c>
      <c r="R51" s="78" t="e">
        <f>'Alternative 3'!$B$39*$B51*$C51*COS($K$5)-($N$5/3)*$E51*SIN($K$5)-($N$5/3)*$F51*SIN($K$5)-($N$5/3)*$G51*SIN($K$5)</f>
        <v>#VALUE!</v>
      </c>
      <c r="S51" s="79" t="e">
        <f>IF(($A51&lt;'Alternative 3'!$B$27),(($H51*'Alternative 3'!$B$39)+(3*($N$5/3)*COS($K$5))),IF(($A51&lt;'Alternative 3'!$B$28),(($H51*'Alternative 3'!$B$39)+(2*(($N$5/3)*COS($K$5)))),IF(($A51&lt;'Alternative 3'!$B$29),(($H$3*'Alternative 3'!$B$39+(($N$5/3)*COS($K$5)))),($H51*'Alternative 3'!$B$39))))</f>
        <v>#VALUE!</v>
      </c>
      <c r="T51" s="78" t="e">
        <f>R51*'Alternative 3'!$K52/'Alternative 3'!$L52</f>
        <v>#VALUE!</v>
      </c>
      <c r="U51" s="78" t="e">
        <f>S51/'Alternative 3'!$M52</f>
        <v>#VALUE!</v>
      </c>
      <c r="V51" s="78" t="e">
        <f t="shared" si="2"/>
        <v>#VALUE!</v>
      </c>
      <c r="X51" s="78" t="e">
        <f>'Alternative 3'!$B$39*$B51*$C51*COS($K$13)-($N$12/3)*$E51*SIN($K$13)-($N$12/3)*$F51*SIN($K$13)-($N$12/3)*$G51*SIN($K$13)</f>
        <v>#VALUE!</v>
      </c>
      <c r="Y51" s="79" t="e">
        <f>IF(($A51&lt;'Alternative 3'!$B$27),(($H51*'Alternative 3'!$B$39)+(3*($N$12/3)*COS($K$13))),IF(($A51&lt;'Alternative 3'!$B$28),(($H51*'Alternative 3'!$B$39)+(2*(($N$12/3)*COS($K$13)))),IF(($A51&lt;'Alternative 3'!$B$29),(($H$3*'Alternative 3'!$B$39+(($N$12/3)*COS($K$13)))),($H51*'Alternative 3'!$B$39))))</f>
        <v>#VALUE!</v>
      </c>
      <c r="Z51" s="78" t="e">
        <f>X51*'Alternative 3'!$K52/'Alternative 3'!$L52</f>
        <v>#VALUE!</v>
      </c>
      <c r="AA51" s="78" t="e">
        <f>Y51/'Alternative 3'!$M52</f>
        <v>#VALUE!</v>
      </c>
      <c r="AB51" s="78" t="e">
        <f t="shared" si="3"/>
        <v>#VALUE!</v>
      </c>
      <c r="AD51" s="78" t="e">
        <f>'Alternative 3'!$B$39*$B51*$C51*COS($K$23)-($N$22/3)*$E51*SIN($K$23)-($N$22/3)*$F51*SIN($K$23)-($N$22/3)*$G51*SIN($K$23)</f>
        <v>#VALUE!</v>
      </c>
      <c r="AE51" s="79" t="e">
        <f>IF(($A51&lt;'Alternative 3'!$B$27),(($H51*'Alternative 3'!$B$39)+(3*($N$22/3)*COS($K$23))),IF(($A51&lt;'Alternative 3'!$B$28),(($H51*'Alternative 3'!$B$39)+(2*(($N$22/3)*COS($K$23)))),IF(($A51&lt;'Alternative 3'!$B$29),(($H$3*'Alternative 3'!$B$39+(($N$22/3)*COS($K$23)))),($H51*'Alternative 3'!$B$39))))</f>
        <v>#VALUE!</v>
      </c>
      <c r="AF51" s="78" t="e">
        <f>AD51*'Alternative 3'!$K52/'Alternative 3'!$L52</f>
        <v>#VALUE!</v>
      </c>
      <c r="AG51" s="78" t="e">
        <f>AE51/'Alternative 3'!$M52</f>
        <v>#VALUE!</v>
      </c>
      <c r="AH51" s="78" t="e">
        <f t="shared" si="4"/>
        <v>#VALUE!</v>
      </c>
      <c r="AJ51" s="78" t="e">
        <f>'Alternative 3'!$B$39*$B51*$C51*COS($K$33)-($N$32/3)*$E51*SIN($K$33)-($N$32/3)*$F51*SIN($K$33)-($N$32/3)*$G51*SIN($K$33)</f>
        <v>#VALUE!</v>
      </c>
      <c r="AK51" s="79" t="e">
        <f>IF(($A51&lt;'Alternative 3'!$B$27),(($H51*'Alternative 3'!$B$39)+(3*($N$32/3)*COS($K$33))),IF(($A51&lt;'Alternative 3'!$B$28),(($H51*'Alternative 3'!$B$39)+(2*(($N$32/3)*COS($K$33)))),IF(($A51&lt;'Alternative 3'!$B$29),(($H$3*'Alternative 3'!$B$39+(($N$32/3)*COS($K$33)))),($H51*'Alternative 3'!$B$39))))</f>
        <v>#VALUE!</v>
      </c>
      <c r="AL51" s="78" t="e">
        <f>AJ51*'Alternative 3'!$K52/'Alternative 3'!$L52</f>
        <v>#VALUE!</v>
      </c>
      <c r="AM51" s="78" t="e">
        <f>AK51/'Alternative 3'!$M52</f>
        <v>#VALUE!</v>
      </c>
      <c r="AN51" s="78" t="e">
        <f t="shared" si="5"/>
        <v>#VALUE!</v>
      </c>
      <c r="AP51" s="78" t="e">
        <f>'Alternative 3'!$B$39*$B51*$C51*COS($K$43)-($N$42/3)*$E51*SIN($K$43)-($N$42/3)*$F51*SIN($K$43)-($N$42/3)*$G51*SIN($K$43)</f>
        <v>#VALUE!</v>
      </c>
      <c r="AQ51" s="79" t="e">
        <f>IF(($A51&lt;'Alternative 3'!$B$27),(($H51*'Alternative 3'!$B$39)+(3*($N$42/3)*COS($K$43))),IF(($A51&lt;'Alternative 3'!$B$28),(($H51*'Alternative 3'!$B$39)+(2*(($N$42/3)*COS($K$43)))),IF(($A51&lt;'Alternative 3'!$B$29),(($H$3*'Alternative 3'!$B$39+(($N$42/3)*COS($K$43)))),($H51*'Alternative 3'!$B$39))))</f>
        <v>#VALUE!</v>
      </c>
      <c r="AR51" s="78" t="e">
        <f>AP51*'Alternative 3'!$K52/'Alternative 3'!$L52</f>
        <v>#VALUE!</v>
      </c>
      <c r="AS51" s="78" t="e">
        <f>AQ51/'Alternative 3'!$M52</f>
        <v>#VALUE!</v>
      </c>
      <c r="AT51" s="78" t="e">
        <f t="shared" si="6"/>
        <v>#VALUE!</v>
      </c>
      <c r="AV51" s="78" t="e">
        <f>'Alternative 3'!$B$39*$B51*$C51*COS($K$53)-($N$52/3)*$E51*SIN($K$53)-($N$52/3)*$F51*SIN($K$53)-($N$52/3)*$G51*SIN($K$53)</f>
        <v>#VALUE!</v>
      </c>
      <c r="AW51" s="79" t="e">
        <f>IF(($A51&lt;'Alternative 3'!$B$27),(($H51*'Alternative 3'!$B$39)+(3*($N$52/3)*COS($K$53))),IF(($A51&lt;'Alternative 3'!$B$28),(($H51*'Alternative 3'!$B$39)+(2*(($N$52/3)*COS($K$53)))),IF(($A51&lt;'Alternative 3'!$B$29),(($H$3*'Alternative 3'!$B$39+(($N$52/3)*COS($K$53)))),($H51*'Alternative 3'!$B$39))))</f>
        <v>#VALUE!</v>
      </c>
      <c r="AX51" s="78" t="e">
        <f>AV51*'Alternative 3'!$K52/'Alternative 3'!$L52</f>
        <v>#VALUE!</v>
      </c>
      <c r="AY51" s="78" t="e">
        <f>AW51/'Alternative 3'!$M52</f>
        <v>#VALUE!</v>
      </c>
      <c r="AZ51" s="78" t="e">
        <f t="shared" si="7"/>
        <v>#VALUE!</v>
      </c>
      <c r="BB51" s="78" t="e">
        <f>'Alternative 3'!$B$39*$B51*$C51*COS($K$63)-($N$62/3)*$E51*SIN($K$63)-($N$62/3)*$F51*SIN($K$63)-($N$62/3)*$G51*SIN($K$63)</f>
        <v>#VALUE!</v>
      </c>
      <c r="BC51" s="79" t="e">
        <f>IF(($A51&lt;'Alternative 3'!$B$27),(($H51*'Alternative 3'!$B$39)+(3*($N$62/3)*COS($K$63))),IF(($A51&lt;'Alternative 3'!$B$28),(($H51*'Alternative 3'!$B$39)+(2*(($N$62/3)*COS($K$63)))),IF(($A51&lt;'Alternative 3'!$B$29),(($H$3*'Alternative 3'!$B$39+(($N$62/3)*COS($K$63)))),($H51*'Alternative 3'!$B$39))))</f>
        <v>#VALUE!</v>
      </c>
      <c r="BD51" s="78" t="e">
        <f>BB51*'Alternative 3'!$K52/'Alternative 3'!$L52</f>
        <v>#VALUE!</v>
      </c>
      <c r="BE51" s="78" t="e">
        <f>BC51/'Alternative 3'!$M52</f>
        <v>#VALUE!</v>
      </c>
      <c r="BF51" s="78" t="e">
        <f t="shared" si="8"/>
        <v>#VALUE!</v>
      </c>
      <c r="BH51" s="78" t="e">
        <f>'Alternative 3'!$B$39*$B51*$C51*COS($K$73)-($N$72/3)*$E51*SIN($K$73)-($N$72/3)*$F51*SIN($K$73)-($N$72/3)*$G51*SIN($K$73)</f>
        <v>#VALUE!</v>
      </c>
      <c r="BI51" s="79" t="e">
        <f>IF(($A51&lt;'Alternative 3'!$B$27),(($H51*'Alternative 3'!$B$39)+(3*($N$72/3)*COS($K$73))),IF(($A51&lt;'Alternative 3'!$B$28),(($H51*'Alternative 3'!$B$39)+(2*(($N$72/3)*COS($K$73)))),IF(($A51&lt;'Alternative 3'!$B$29),(($H$3*'Alternative 3'!$B$39+(($N$72/3)*COS($K$73)))),($H51*'Alternative 3'!$B$39))))</f>
        <v>#VALUE!</v>
      </c>
      <c r="BJ51" s="78" t="e">
        <f>BH51*'Alternative 3'!$K52/'Alternative 3'!$L52</f>
        <v>#VALUE!</v>
      </c>
      <c r="BK51" s="78" t="e">
        <f>BI51/'Alternative 3'!$M52</f>
        <v>#VALUE!</v>
      </c>
      <c r="BL51" s="78" t="e">
        <f t="shared" si="9"/>
        <v>#VALUE!</v>
      </c>
      <c r="BN51" s="78" t="e">
        <f>'Alternative 3'!$B$39*$B51*$C51*COS($K$83)-($N$82/3)*$E51*SIN($K$83)-($N$82/3)*$F51*SIN($K$83)-($N$82/3)*$G51*SIN($K$83)</f>
        <v>#VALUE!</v>
      </c>
      <c r="BO51" s="79" t="e">
        <f>IF(($A51&lt;'Alternative 3'!$B$27),(($H51*'Alternative 3'!$B$39)+(3*($N$82/3)*COS($K$83))),IF(($A51&lt;'Alternative 3'!$B$28),(($H51*'Alternative 3'!$B$39)+(2*(($N$82/3)*COS($K$83)))),IF(($A51&lt;'Alternative 3'!$B$29),(($H$3*'Alternative 3'!$B$39+(($N$82/3)*COS($K$83)))),($H51*'Alternative 3'!$B$39))))</f>
        <v>#VALUE!</v>
      </c>
      <c r="BP51" s="78" t="e">
        <f>BN51*'Alternative 3'!$K52/'Alternative 3'!$L52</f>
        <v>#VALUE!</v>
      </c>
      <c r="BQ51" s="78" t="e">
        <f>BO51/'Alternative 3'!$M52</f>
        <v>#VALUE!</v>
      </c>
      <c r="BR51" s="78" t="e">
        <f t="shared" si="10"/>
        <v>#VALUE!</v>
      </c>
      <c r="BT51" s="78" t="e">
        <f>'Alternative 3'!$B$39*$B51*$C51*COS($K$93)-($K$92/3)*$E51*SIN($K$93)-($K$92/3)*$F51*SIN($K$93)-($K$92/3)*$G51*SIN($K$93)</f>
        <v>#VALUE!</v>
      </c>
      <c r="BU51" s="79" t="e">
        <f>IF(($A51&lt;'Alternative 3'!$B$27),(($H51*'Alternative 3'!$B$39)+(3*($N$92/3)*COS($K$93))),IF(($A51&lt;'Alternative 3'!$B$28),(($H51*'Alternative 3'!$B$39)+(2*(($N$92/3)*COS($K$93)))),IF(($A51&lt;'Alternative 3'!$B$29),(($H$3*'Alternative 3'!$B$39+(($N$92/3)*COS($K$93)))),($H51*'Alternative 3'!$B$39))))</f>
        <v>#VALUE!</v>
      </c>
      <c r="BV51" s="78" t="e">
        <f>BT51*'Alternative 3'!$K52/'Alternative 3'!$L52</f>
        <v>#VALUE!</v>
      </c>
      <c r="BW51" s="78" t="e">
        <f>BU51/'Alternative 3'!$M52</f>
        <v>#VALUE!</v>
      </c>
      <c r="BX51" s="78" t="e">
        <f t="shared" si="11"/>
        <v>#VALUE!</v>
      </c>
      <c r="BZ51" s="77">
        <v>150</v>
      </c>
      <c r="CA51" s="77">
        <v>-150</v>
      </c>
    </row>
    <row r="52" spans="1:79" ht="15" customHeight="1" x14ac:dyDescent="0.25">
      <c r="A52" s="13" t="str">
        <f>IF('Alternative 3'!F53&gt;0,'Alternative 3'!F53,"x")</f>
        <v>x</v>
      </c>
      <c r="B52" s="13" t="e">
        <f t="shared" si="17"/>
        <v>#VALUE!</v>
      </c>
      <c r="C52" s="13">
        <f t="shared" si="12"/>
        <v>0</v>
      </c>
      <c r="D52" s="13" t="str">
        <f t="shared" si="13"/>
        <v>x</v>
      </c>
      <c r="E52" s="74">
        <f>IF($A52&lt;='Alternative 3'!$B$27, IF($A52='Alternative 3'!$B$27,0,E53+1),0)</f>
        <v>0</v>
      </c>
      <c r="F52" s="74">
        <f>IF($A52&lt;=('Alternative 3'!$B$28), IF($A52=ROUNDDOWN('Alternative 3'!$B$28,0),0,F53+1),0)</f>
        <v>0</v>
      </c>
      <c r="G52" s="74">
        <f>IF($A52&lt;=('Alternative 3'!$B$29), IF($A52=ROUNDDOWN('Alternative 3'!$B$29,0),0,G53+1),0)</f>
        <v>0</v>
      </c>
      <c r="H52" s="13" t="e">
        <f t="shared" si="14"/>
        <v>#VALUE!</v>
      </c>
      <c r="J52" s="77">
        <f t="shared" si="15"/>
        <v>49</v>
      </c>
      <c r="K52" s="77">
        <f t="shared" si="16"/>
        <v>0.85521133347722145</v>
      </c>
      <c r="L52" s="78">
        <f>'Alternative 3'!$B$27*SIN(K52)+'Alternative 3'!$B$28*SIN(K52)+'Alternative 3'!$B$29*SIN(K52)</f>
        <v>51.320251455148494</v>
      </c>
      <c r="M52" s="77">
        <f>(('Alternative 3'!$B$27)*(((('Alternative 3'!$B$28-'Alternative 3'!$B$27)/2)+'Alternative 3'!$B$27)*'Alternative 3'!$B$39)*COS('Alternative 3-Tilt Up'!K52))+(('Alternative 3'!$B$28)*((('Alternative 3'!$B$28-'Alternative 3'!$B$27)/2)+(('Alternative 3'!$B$29-'Alternative 3'!$B$28)/2))*('Alternative 3'!$B$39)*COS('Alternative 3-Tilt Up'!K52))+(('Alternative 3'!$B$29)*((('Alternative 3'!$B$12-'Alternative 3'!$B$29+(('Alternative 3'!$B$29-'Alternative 3'!$B$28)/2)*('Alternative 3'!$B$39)*COS('Alternative 3-Tilt Up'!K52)))))</f>
        <v>3113797.1934593073</v>
      </c>
      <c r="N52" s="82">
        <f t="shared" si="0"/>
        <v>182021.54735235198</v>
      </c>
      <c r="O52" s="77">
        <f>(((('Alternative 3'!$B$28-'Alternative 3'!$B$27)/2)+'Alternative 3'!$B$27)*('Alternative 3'!$B$39)*COS('Alternative 3-Tilt Up'!K52))+(((('Alternative 3'!$B$28-'Alternative 3'!$B$27)/2)+(('Alternative 3'!$B$29-'Alternative 3'!$B$28)/2))*('Alternative 3'!$B$39)*COS('Alternative 3-Tilt Up'!K52))+(((('Alternative 3'!$B$12-'Alternative 3'!$B$29)+(('Alternative 3'!$B$29-'Alternative 3'!$B$28)/2))*('Alternative 3'!$B$39)*COS('Alternative 3-Tilt Up'!K52)))</f>
        <v>200832.72869506985</v>
      </c>
      <c r="P52" s="77">
        <f t="shared" si="1"/>
        <v>119416.87961133367</v>
      </c>
      <c r="R52" s="78" t="e">
        <f>'Alternative 3'!$B$39*$B52*$C52*COS($K$5)-($N$5/3)*$E52*SIN($K$5)-($N$5/3)*$F52*SIN($K$5)-($N$5/3)*$G52*SIN($K$5)</f>
        <v>#VALUE!</v>
      </c>
      <c r="S52" s="79" t="e">
        <f>IF(($A52&lt;'Alternative 3'!$B$27),(($H52*'Alternative 3'!$B$39)+(3*($N$5/3)*COS($K$5))),IF(($A52&lt;'Alternative 3'!$B$28),(($H52*'Alternative 3'!$B$39)+(2*(($N$5/3)*COS($K$5)))),IF(($A52&lt;'Alternative 3'!$B$29),(($H$3*'Alternative 3'!$B$39+(($N$5/3)*COS($K$5)))),($H52*'Alternative 3'!$B$39))))</f>
        <v>#VALUE!</v>
      </c>
      <c r="T52" s="78" t="e">
        <f>R52*'Alternative 3'!$K53/'Alternative 3'!$L53</f>
        <v>#VALUE!</v>
      </c>
      <c r="U52" s="78" t="e">
        <f>S52/'Alternative 3'!$M53</f>
        <v>#VALUE!</v>
      </c>
      <c r="V52" s="78" t="e">
        <f t="shared" si="2"/>
        <v>#VALUE!</v>
      </c>
      <c r="X52" s="78" t="e">
        <f>'Alternative 3'!$B$39*$B52*$C52*COS($K$13)-($N$12/3)*$E52*SIN($K$13)-($N$12/3)*$F52*SIN($K$13)-($N$12/3)*$G52*SIN($K$13)</f>
        <v>#VALUE!</v>
      </c>
      <c r="Y52" s="79" t="e">
        <f>IF(($A52&lt;'Alternative 3'!$B$27),(($H52*'Alternative 3'!$B$39)+(3*($N$12/3)*COS($K$13))),IF(($A52&lt;'Alternative 3'!$B$28),(($H52*'Alternative 3'!$B$39)+(2*(($N$12/3)*COS($K$13)))),IF(($A52&lt;'Alternative 3'!$B$29),(($H$3*'Alternative 3'!$B$39+(($N$12/3)*COS($K$13)))),($H52*'Alternative 3'!$B$39))))</f>
        <v>#VALUE!</v>
      </c>
      <c r="Z52" s="78" t="e">
        <f>X52*'Alternative 3'!$K53/'Alternative 3'!$L53</f>
        <v>#VALUE!</v>
      </c>
      <c r="AA52" s="78" t="e">
        <f>Y52/'Alternative 3'!$M53</f>
        <v>#VALUE!</v>
      </c>
      <c r="AB52" s="78" t="e">
        <f t="shared" si="3"/>
        <v>#VALUE!</v>
      </c>
      <c r="AD52" s="78" t="e">
        <f>'Alternative 3'!$B$39*$B52*$C52*COS($K$23)-($N$22/3)*$E52*SIN($K$23)-($N$22/3)*$F52*SIN($K$23)-($N$22/3)*$G52*SIN($K$23)</f>
        <v>#VALUE!</v>
      </c>
      <c r="AE52" s="79" t="e">
        <f>IF(($A52&lt;'Alternative 3'!$B$27),(($H52*'Alternative 3'!$B$39)+(3*($N$22/3)*COS($K$23))),IF(($A52&lt;'Alternative 3'!$B$28),(($H52*'Alternative 3'!$B$39)+(2*(($N$22/3)*COS($K$23)))),IF(($A52&lt;'Alternative 3'!$B$29),(($H$3*'Alternative 3'!$B$39+(($N$22/3)*COS($K$23)))),($H52*'Alternative 3'!$B$39))))</f>
        <v>#VALUE!</v>
      </c>
      <c r="AF52" s="78" t="e">
        <f>AD52*'Alternative 3'!$K53/'Alternative 3'!$L53</f>
        <v>#VALUE!</v>
      </c>
      <c r="AG52" s="78" t="e">
        <f>AE52/'Alternative 3'!$M53</f>
        <v>#VALUE!</v>
      </c>
      <c r="AH52" s="78" t="e">
        <f t="shared" si="4"/>
        <v>#VALUE!</v>
      </c>
      <c r="AJ52" s="78" t="e">
        <f>'Alternative 3'!$B$39*$B52*$C52*COS($K$33)-($N$32/3)*$E52*SIN($K$33)-($N$32/3)*$F52*SIN($K$33)-($N$32/3)*$G52*SIN($K$33)</f>
        <v>#VALUE!</v>
      </c>
      <c r="AK52" s="79" t="e">
        <f>IF(($A52&lt;'Alternative 3'!$B$27),(($H52*'Alternative 3'!$B$39)+(3*($N$32/3)*COS($K$33))),IF(($A52&lt;'Alternative 3'!$B$28),(($H52*'Alternative 3'!$B$39)+(2*(($N$32/3)*COS($K$33)))),IF(($A52&lt;'Alternative 3'!$B$29),(($H$3*'Alternative 3'!$B$39+(($N$32/3)*COS($K$33)))),($H52*'Alternative 3'!$B$39))))</f>
        <v>#VALUE!</v>
      </c>
      <c r="AL52" s="78" t="e">
        <f>AJ52*'Alternative 3'!$K53/'Alternative 3'!$L53</f>
        <v>#VALUE!</v>
      </c>
      <c r="AM52" s="78" t="e">
        <f>AK52/'Alternative 3'!$M53</f>
        <v>#VALUE!</v>
      </c>
      <c r="AN52" s="78" t="e">
        <f t="shared" si="5"/>
        <v>#VALUE!</v>
      </c>
      <c r="AP52" s="78" t="e">
        <f>'Alternative 3'!$B$39*$B52*$C52*COS($K$43)-($N$42/3)*$E52*SIN($K$43)-($N$42/3)*$F52*SIN($K$43)-($N$42/3)*$G52*SIN($K$43)</f>
        <v>#VALUE!</v>
      </c>
      <c r="AQ52" s="79" t="e">
        <f>IF(($A52&lt;'Alternative 3'!$B$27),(($H52*'Alternative 3'!$B$39)+(3*($N$42/3)*COS($K$43))),IF(($A52&lt;'Alternative 3'!$B$28),(($H52*'Alternative 3'!$B$39)+(2*(($N$42/3)*COS($K$43)))),IF(($A52&lt;'Alternative 3'!$B$29),(($H$3*'Alternative 3'!$B$39+(($N$42/3)*COS($K$43)))),($H52*'Alternative 3'!$B$39))))</f>
        <v>#VALUE!</v>
      </c>
      <c r="AR52" s="78" t="e">
        <f>AP52*'Alternative 3'!$K53/'Alternative 3'!$L53</f>
        <v>#VALUE!</v>
      </c>
      <c r="AS52" s="78" t="e">
        <f>AQ52/'Alternative 3'!$M53</f>
        <v>#VALUE!</v>
      </c>
      <c r="AT52" s="78" t="e">
        <f t="shared" si="6"/>
        <v>#VALUE!</v>
      </c>
      <c r="AV52" s="78" t="e">
        <f>'Alternative 3'!$B$39*$B52*$C52*COS($K$53)-($N$52/3)*$E52*SIN($K$53)-($N$52/3)*$F52*SIN($K$53)-($N$52/3)*$G52*SIN($K$53)</f>
        <v>#VALUE!</v>
      </c>
      <c r="AW52" s="79" t="e">
        <f>IF(($A52&lt;'Alternative 3'!$B$27),(($H52*'Alternative 3'!$B$39)+(3*($N$52/3)*COS($K$53))),IF(($A52&lt;'Alternative 3'!$B$28),(($H52*'Alternative 3'!$B$39)+(2*(($N$52/3)*COS($K$53)))),IF(($A52&lt;'Alternative 3'!$B$29),(($H$3*'Alternative 3'!$B$39+(($N$52/3)*COS($K$53)))),($H52*'Alternative 3'!$B$39))))</f>
        <v>#VALUE!</v>
      </c>
      <c r="AX52" s="78" t="e">
        <f>AV52*'Alternative 3'!$K53/'Alternative 3'!$L53</f>
        <v>#VALUE!</v>
      </c>
      <c r="AY52" s="78" t="e">
        <f>AW52/'Alternative 3'!$M53</f>
        <v>#VALUE!</v>
      </c>
      <c r="AZ52" s="78" t="e">
        <f t="shared" si="7"/>
        <v>#VALUE!</v>
      </c>
      <c r="BB52" s="78" t="e">
        <f>'Alternative 3'!$B$39*$B52*$C52*COS($K$63)-($N$62/3)*$E52*SIN($K$63)-($N$62/3)*$F52*SIN($K$63)-($N$62/3)*$G52*SIN($K$63)</f>
        <v>#VALUE!</v>
      </c>
      <c r="BC52" s="79" t="e">
        <f>IF(($A52&lt;'Alternative 3'!$B$27),(($H52*'Alternative 3'!$B$39)+(3*($N$62/3)*COS($K$63))),IF(($A52&lt;'Alternative 3'!$B$28),(($H52*'Alternative 3'!$B$39)+(2*(($N$62/3)*COS($K$63)))),IF(($A52&lt;'Alternative 3'!$B$29),(($H$3*'Alternative 3'!$B$39+(($N$62/3)*COS($K$63)))),($H52*'Alternative 3'!$B$39))))</f>
        <v>#VALUE!</v>
      </c>
      <c r="BD52" s="78" t="e">
        <f>BB52*'Alternative 3'!$K53/'Alternative 3'!$L53</f>
        <v>#VALUE!</v>
      </c>
      <c r="BE52" s="78" t="e">
        <f>BC52/'Alternative 3'!$M53</f>
        <v>#VALUE!</v>
      </c>
      <c r="BF52" s="78" t="e">
        <f t="shared" si="8"/>
        <v>#VALUE!</v>
      </c>
      <c r="BH52" s="78" t="e">
        <f>'Alternative 3'!$B$39*$B52*$C52*COS($K$73)-($N$72/3)*$E52*SIN($K$73)-($N$72/3)*$F52*SIN($K$73)-($N$72/3)*$G52*SIN($K$73)</f>
        <v>#VALUE!</v>
      </c>
      <c r="BI52" s="79" t="e">
        <f>IF(($A52&lt;'Alternative 3'!$B$27),(($H52*'Alternative 3'!$B$39)+(3*($N$72/3)*COS($K$73))),IF(($A52&lt;'Alternative 3'!$B$28),(($H52*'Alternative 3'!$B$39)+(2*(($N$72/3)*COS($K$73)))),IF(($A52&lt;'Alternative 3'!$B$29),(($H$3*'Alternative 3'!$B$39+(($N$72/3)*COS($K$73)))),($H52*'Alternative 3'!$B$39))))</f>
        <v>#VALUE!</v>
      </c>
      <c r="BJ52" s="78" t="e">
        <f>BH52*'Alternative 3'!$K53/'Alternative 3'!$L53</f>
        <v>#VALUE!</v>
      </c>
      <c r="BK52" s="78" t="e">
        <f>BI52/'Alternative 3'!$M53</f>
        <v>#VALUE!</v>
      </c>
      <c r="BL52" s="78" t="e">
        <f t="shared" si="9"/>
        <v>#VALUE!</v>
      </c>
      <c r="BN52" s="78" t="e">
        <f>'Alternative 3'!$B$39*$B52*$C52*COS($K$83)-($N$82/3)*$E52*SIN($K$83)-($N$82/3)*$F52*SIN($K$83)-($N$82/3)*$G52*SIN($K$83)</f>
        <v>#VALUE!</v>
      </c>
      <c r="BO52" s="79" t="e">
        <f>IF(($A52&lt;'Alternative 3'!$B$27),(($H52*'Alternative 3'!$B$39)+(3*($N$82/3)*COS($K$83))),IF(($A52&lt;'Alternative 3'!$B$28),(($H52*'Alternative 3'!$B$39)+(2*(($N$82/3)*COS($K$83)))),IF(($A52&lt;'Alternative 3'!$B$29),(($H$3*'Alternative 3'!$B$39+(($N$82/3)*COS($K$83)))),($H52*'Alternative 3'!$B$39))))</f>
        <v>#VALUE!</v>
      </c>
      <c r="BP52" s="78" t="e">
        <f>BN52*'Alternative 3'!$K53/'Alternative 3'!$L53</f>
        <v>#VALUE!</v>
      </c>
      <c r="BQ52" s="78" t="e">
        <f>BO52/'Alternative 3'!$M53</f>
        <v>#VALUE!</v>
      </c>
      <c r="BR52" s="78" t="e">
        <f t="shared" si="10"/>
        <v>#VALUE!</v>
      </c>
      <c r="BT52" s="78" t="e">
        <f>'Alternative 3'!$B$39*$B52*$C52*COS($K$93)-($K$92/3)*$E52*SIN($K$93)-($K$92/3)*$F52*SIN($K$93)-($K$92/3)*$G52*SIN($K$93)</f>
        <v>#VALUE!</v>
      </c>
      <c r="BU52" s="79" t="e">
        <f>IF(($A52&lt;'Alternative 3'!$B$27),(($H52*'Alternative 3'!$B$39)+(3*($N$92/3)*COS($K$93))),IF(($A52&lt;'Alternative 3'!$B$28),(($H52*'Alternative 3'!$B$39)+(2*(($N$92/3)*COS($K$93)))),IF(($A52&lt;'Alternative 3'!$B$29),(($H$3*'Alternative 3'!$B$39+(($N$92/3)*COS($K$93)))),($H52*'Alternative 3'!$B$39))))</f>
        <v>#VALUE!</v>
      </c>
      <c r="BV52" s="78" t="e">
        <f>BT52*'Alternative 3'!$K53/'Alternative 3'!$L53</f>
        <v>#VALUE!</v>
      </c>
      <c r="BW52" s="78" t="e">
        <f>BU52/'Alternative 3'!$M53</f>
        <v>#VALUE!</v>
      </c>
      <c r="BX52" s="78" t="e">
        <f t="shared" si="11"/>
        <v>#VALUE!</v>
      </c>
      <c r="BZ52" s="77">
        <v>150</v>
      </c>
      <c r="CA52" s="77">
        <v>-150</v>
      </c>
    </row>
    <row r="53" spans="1:79" ht="15" customHeight="1" x14ac:dyDescent="0.25">
      <c r="A53" s="13" t="str">
        <f>IF('Alternative 3'!F54&gt;0,'Alternative 3'!F54,"x")</f>
        <v>x</v>
      </c>
      <c r="B53" s="13" t="e">
        <f t="shared" si="17"/>
        <v>#VALUE!</v>
      </c>
      <c r="C53" s="13">
        <f t="shared" si="12"/>
        <v>0</v>
      </c>
      <c r="D53" s="13" t="str">
        <f t="shared" si="13"/>
        <v>x</v>
      </c>
      <c r="E53" s="74">
        <f>IF($A53&lt;='Alternative 3'!$B$27, IF($A53='Alternative 3'!$B$27,0,E54+1),0)</f>
        <v>0</v>
      </c>
      <c r="F53" s="74">
        <f>IF($A53&lt;=('Alternative 3'!$B$28), IF($A53=ROUNDDOWN('Alternative 3'!$B$28,0),0,F54+1),0)</f>
        <v>0</v>
      </c>
      <c r="G53" s="74">
        <f>IF($A53&lt;=('Alternative 3'!$B$29), IF($A53=ROUNDDOWN('Alternative 3'!$B$29,0),0,G54+1),0)</f>
        <v>0</v>
      </c>
      <c r="H53" s="13" t="e">
        <f t="shared" si="14"/>
        <v>#VALUE!</v>
      </c>
      <c r="J53" s="77">
        <f t="shared" si="15"/>
        <v>50</v>
      </c>
      <c r="K53" s="82">
        <f t="shared" si="16"/>
        <v>0.87266462599716477</v>
      </c>
      <c r="L53" s="78">
        <f>'Alternative 3'!$B$27*SIN(K53)+'Alternative 3'!$B$28*SIN(K53)+'Alternative 3'!$B$29*SIN(K53)</f>
        <v>52.091022132090501</v>
      </c>
      <c r="M53" s="77">
        <f>(('Alternative 3'!$B$27)*(((('Alternative 3'!$B$28-'Alternative 3'!$B$27)/2)+'Alternative 3'!$B$27)*'Alternative 3'!$B$39)*COS('Alternative 3-Tilt Up'!K53))+(('Alternative 3'!$B$28)*((('Alternative 3'!$B$28-'Alternative 3'!$B$27)/2)+(('Alternative 3'!$B$29-'Alternative 3'!$B$28)/2))*('Alternative 3'!$B$39)*COS('Alternative 3-Tilt Up'!K53))+(('Alternative 3'!$B$29)*((('Alternative 3'!$B$12-'Alternative 3'!$B$29+(('Alternative 3'!$B$29-'Alternative 3'!$B$28)/2)*('Alternative 3'!$B$39)*COS('Alternative 3-Tilt Up'!K53)))))</f>
        <v>3050812.1417283025</v>
      </c>
      <c r="N53" s="77">
        <f t="shared" si="0"/>
        <v>175700.84153803883</v>
      </c>
      <c r="O53" s="77">
        <f>(((('Alternative 3'!$B$28-'Alternative 3'!$B$27)/2)+'Alternative 3'!$B$27)*('Alternative 3'!$B$39)*COS('Alternative 3-Tilt Up'!K53))+(((('Alternative 3'!$B$28-'Alternative 3'!$B$27)/2)+(('Alternative 3'!$B$29-'Alternative 3'!$B$28)/2))*('Alternative 3'!$B$39)*COS('Alternative 3-Tilt Up'!K53))+(((('Alternative 3'!$B$12-'Alternative 3'!$B$29)+(('Alternative 3'!$B$29-'Alternative 3'!$B$28)/2))*('Alternative 3'!$B$39)*COS('Alternative 3-Tilt Up'!K53)))</f>
        <v>196770.08305695781</v>
      </c>
      <c r="P53" s="82">
        <f t="shared" si="1"/>
        <v>112938.32395214941</v>
      </c>
      <c r="R53" s="78" t="e">
        <f>'Alternative 3'!$B$39*$B53*$C53*COS($K$5)-($N$5/3)*$E53*SIN($K$5)-($N$5/3)*$F53*SIN($K$5)-($N$5/3)*$G53*SIN($K$5)</f>
        <v>#VALUE!</v>
      </c>
      <c r="S53" s="79" t="e">
        <f>IF(($A53&lt;'Alternative 3'!$B$27),(($H53*'Alternative 3'!$B$39)+(3*($N$5/3)*COS($K$5))),IF(($A53&lt;'Alternative 3'!$B$28),(($H53*'Alternative 3'!$B$39)+(2*(($N$5/3)*COS($K$5)))),IF(($A53&lt;'Alternative 3'!$B$29),(($H$3*'Alternative 3'!$B$39+(($N$5/3)*COS($K$5)))),($H53*'Alternative 3'!$B$39))))</f>
        <v>#VALUE!</v>
      </c>
      <c r="T53" s="78" t="e">
        <f>R53*'Alternative 3'!$K54/'Alternative 3'!$L54</f>
        <v>#VALUE!</v>
      </c>
      <c r="U53" s="78" t="e">
        <f>S53/'Alternative 3'!$M54</f>
        <v>#VALUE!</v>
      </c>
      <c r="V53" s="78" t="e">
        <f t="shared" si="2"/>
        <v>#VALUE!</v>
      </c>
      <c r="X53" s="78" t="e">
        <f>'Alternative 3'!$B$39*$B53*$C53*COS($K$13)-($N$12/3)*$E53*SIN($K$13)-($N$12/3)*$F53*SIN($K$13)-($N$12/3)*$G53*SIN($K$13)</f>
        <v>#VALUE!</v>
      </c>
      <c r="Y53" s="79" t="e">
        <f>IF(($A53&lt;'Alternative 3'!$B$27),(($H53*'Alternative 3'!$B$39)+(3*($N$12/3)*COS($K$13))),IF(($A53&lt;'Alternative 3'!$B$28),(($H53*'Alternative 3'!$B$39)+(2*(($N$12/3)*COS($K$13)))),IF(($A53&lt;'Alternative 3'!$B$29),(($H$3*'Alternative 3'!$B$39+(($N$12/3)*COS($K$13)))),($H53*'Alternative 3'!$B$39))))</f>
        <v>#VALUE!</v>
      </c>
      <c r="Z53" s="78" t="e">
        <f>X53*'Alternative 3'!$K54/'Alternative 3'!$L54</f>
        <v>#VALUE!</v>
      </c>
      <c r="AA53" s="78" t="e">
        <f>Y53/'Alternative 3'!$M54</f>
        <v>#VALUE!</v>
      </c>
      <c r="AB53" s="78" t="e">
        <f t="shared" si="3"/>
        <v>#VALUE!</v>
      </c>
      <c r="AD53" s="78" t="e">
        <f>'Alternative 3'!$B$39*$B53*$C53*COS($K$23)-($N$22/3)*$E53*SIN($K$23)-($N$22/3)*$F53*SIN($K$23)-($N$22/3)*$G53*SIN($K$23)</f>
        <v>#VALUE!</v>
      </c>
      <c r="AE53" s="79" t="e">
        <f>IF(($A53&lt;'Alternative 3'!$B$27),(($H53*'Alternative 3'!$B$39)+(3*($N$22/3)*COS($K$23))),IF(($A53&lt;'Alternative 3'!$B$28),(($H53*'Alternative 3'!$B$39)+(2*(($N$22/3)*COS($K$23)))),IF(($A53&lt;'Alternative 3'!$B$29),(($H$3*'Alternative 3'!$B$39+(($N$22/3)*COS($K$23)))),($H53*'Alternative 3'!$B$39))))</f>
        <v>#VALUE!</v>
      </c>
      <c r="AF53" s="78" t="e">
        <f>AD53*'Alternative 3'!$K54/'Alternative 3'!$L54</f>
        <v>#VALUE!</v>
      </c>
      <c r="AG53" s="78" t="e">
        <f>AE53/'Alternative 3'!$M54</f>
        <v>#VALUE!</v>
      </c>
      <c r="AH53" s="78" t="e">
        <f t="shared" si="4"/>
        <v>#VALUE!</v>
      </c>
      <c r="AJ53" s="78" t="e">
        <f>'Alternative 3'!$B$39*$B53*$C53*COS($K$33)-($N$32/3)*$E53*SIN($K$33)-($N$32/3)*$F53*SIN($K$33)-($N$32/3)*$G53*SIN($K$33)</f>
        <v>#VALUE!</v>
      </c>
      <c r="AK53" s="79" t="e">
        <f>IF(($A53&lt;'Alternative 3'!$B$27),(($H53*'Alternative 3'!$B$39)+(3*($N$32/3)*COS($K$33))),IF(($A53&lt;'Alternative 3'!$B$28),(($H53*'Alternative 3'!$B$39)+(2*(($N$32/3)*COS($K$33)))),IF(($A53&lt;'Alternative 3'!$B$29),(($H$3*'Alternative 3'!$B$39+(($N$32/3)*COS($K$33)))),($H53*'Alternative 3'!$B$39))))</f>
        <v>#VALUE!</v>
      </c>
      <c r="AL53" s="78" t="e">
        <f>AJ53*'Alternative 3'!$K54/'Alternative 3'!$L54</f>
        <v>#VALUE!</v>
      </c>
      <c r="AM53" s="78" t="e">
        <f>AK53/'Alternative 3'!$M54</f>
        <v>#VALUE!</v>
      </c>
      <c r="AN53" s="78" t="e">
        <f t="shared" si="5"/>
        <v>#VALUE!</v>
      </c>
      <c r="AP53" s="78" t="e">
        <f>'Alternative 3'!$B$39*$B53*$C53*COS($K$43)-($N$42/3)*$E53*SIN($K$43)-($N$42/3)*$F53*SIN($K$43)-($N$42/3)*$G53*SIN($K$43)</f>
        <v>#VALUE!</v>
      </c>
      <c r="AQ53" s="79" t="e">
        <f>IF(($A53&lt;'Alternative 3'!$B$27),(($H53*'Alternative 3'!$B$39)+(3*($N$42/3)*COS($K$43))),IF(($A53&lt;'Alternative 3'!$B$28),(($H53*'Alternative 3'!$B$39)+(2*(($N$42/3)*COS($K$43)))),IF(($A53&lt;'Alternative 3'!$B$29),(($H$3*'Alternative 3'!$B$39+(($N$42/3)*COS($K$43)))),($H53*'Alternative 3'!$B$39))))</f>
        <v>#VALUE!</v>
      </c>
      <c r="AR53" s="78" t="e">
        <f>AP53*'Alternative 3'!$K54/'Alternative 3'!$L54</f>
        <v>#VALUE!</v>
      </c>
      <c r="AS53" s="78" t="e">
        <f>AQ53/'Alternative 3'!$M54</f>
        <v>#VALUE!</v>
      </c>
      <c r="AT53" s="78" t="e">
        <f t="shared" si="6"/>
        <v>#VALUE!</v>
      </c>
      <c r="AV53" s="78" t="e">
        <f>'Alternative 3'!$B$39*$B53*$C53*COS($K$53)-($N$52/3)*$E53*SIN($K$53)-($N$52/3)*$F53*SIN($K$53)-($N$52/3)*$G53*SIN($K$53)</f>
        <v>#VALUE!</v>
      </c>
      <c r="AW53" s="79" t="e">
        <f>IF(($A53&lt;'Alternative 3'!$B$27),(($H53*'Alternative 3'!$B$39)+(3*($N$52/3)*COS($K$53))),IF(($A53&lt;'Alternative 3'!$B$28),(($H53*'Alternative 3'!$B$39)+(2*(($N$52/3)*COS($K$53)))),IF(($A53&lt;'Alternative 3'!$B$29),(($H$3*'Alternative 3'!$B$39+(($N$52/3)*COS($K$53)))),($H53*'Alternative 3'!$B$39))))</f>
        <v>#VALUE!</v>
      </c>
      <c r="AX53" s="78" t="e">
        <f>AV53*'Alternative 3'!$K54/'Alternative 3'!$L54</f>
        <v>#VALUE!</v>
      </c>
      <c r="AY53" s="78" t="e">
        <f>AW53/'Alternative 3'!$M54</f>
        <v>#VALUE!</v>
      </c>
      <c r="AZ53" s="78" t="e">
        <f t="shared" si="7"/>
        <v>#VALUE!</v>
      </c>
      <c r="BB53" s="78" t="e">
        <f>'Alternative 3'!$B$39*$B53*$C53*COS($K$63)-($N$62/3)*$E53*SIN($K$63)-($N$62/3)*$F53*SIN($K$63)-($N$62/3)*$G53*SIN($K$63)</f>
        <v>#VALUE!</v>
      </c>
      <c r="BC53" s="79" t="e">
        <f>IF(($A53&lt;'Alternative 3'!$B$27),(($H53*'Alternative 3'!$B$39)+(3*($N$62/3)*COS($K$63))),IF(($A53&lt;'Alternative 3'!$B$28),(($H53*'Alternative 3'!$B$39)+(2*(($N$62/3)*COS($K$63)))),IF(($A53&lt;'Alternative 3'!$B$29),(($H$3*'Alternative 3'!$B$39+(($N$62/3)*COS($K$63)))),($H53*'Alternative 3'!$B$39))))</f>
        <v>#VALUE!</v>
      </c>
      <c r="BD53" s="78" t="e">
        <f>BB53*'Alternative 3'!$K54/'Alternative 3'!$L54</f>
        <v>#VALUE!</v>
      </c>
      <c r="BE53" s="78" t="e">
        <f>BC53/'Alternative 3'!$M54</f>
        <v>#VALUE!</v>
      </c>
      <c r="BF53" s="78" t="e">
        <f t="shared" si="8"/>
        <v>#VALUE!</v>
      </c>
      <c r="BH53" s="78" t="e">
        <f>'Alternative 3'!$B$39*$B53*$C53*COS($K$73)-($N$72/3)*$E53*SIN($K$73)-($N$72/3)*$F53*SIN($K$73)-($N$72/3)*$G53*SIN($K$73)</f>
        <v>#VALUE!</v>
      </c>
      <c r="BI53" s="79" t="e">
        <f>IF(($A53&lt;'Alternative 3'!$B$27),(($H53*'Alternative 3'!$B$39)+(3*($N$72/3)*COS($K$73))),IF(($A53&lt;'Alternative 3'!$B$28),(($H53*'Alternative 3'!$B$39)+(2*(($N$72/3)*COS($K$73)))),IF(($A53&lt;'Alternative 3'!$B$29),(($H$3*'Alternative 3'!$B$39+(($N$72/3)*COS($K$73)))),($H53*'Alternative 3'!$B$39))))</f>
        <v>#VALUE!</v>
      </c>
      <c r="BJ53" s="78" t="e">
        <f>BH53*'Alternative 3'!$K54/'Alternative 3'!$L54</f>
        <v>#VALUE!</v>
      </c>
      <c r="BK53" s="78" t="e">
        <f>BI53/'Alternative 3'!$M54</f>
        <v>#VALUE!</v>
      </c>
      <c r="BL53" s="78" t="e">
        <f t="shared" si="9"/>
        <v>#VALUE!</v>
      </c>
      <c r="BN53" s="78" t="e">
        <f>'Alternative 3'!$B$39*$B53*$C53*COS($K$83)-($N$82/3)*$E53*SIN($K$83)-($N$82/3)*$F53*SIN($K$83)-($N$82/3)*$G53*SIN($K$83)</f>
        <v>#VALUE!</v>
      </c>
      <c r="BO53" s="79" t="e">
        <f>IF(($A53&lt;'Alternative 3'!$B$27),(($H53*'Alternative 3'!$B$39)+(3*($N$82/3)*COS($K$83))),IF(($A53&lt;'Alternative 3'!$B$28),(($H53*'Alternative 3'!$B$39)+(2*(($N$82/3)*COS($K$83)))),IF(($A53&lt;'Alternative 3'!$B$29),(($H$3*'Alternative 3'!$B$39+(($N$82/3)*COS($K$83)))),($H53*'Alternative 3'!$B$39))))</f>
        <v>#VALUE!</v>
      </c>
      <c r="BP53" s="78" t="e">
        <f>BN53*'Alternative 3'!$K54/'Alternative 3'!$L54</f>
        <v>#VALUE!</v>
      </c>
      <c r="BQ53" s="78" t="e">
        <f>BO53/'Alternative 3'!$M54</f>
        <v>#VALUE!</v>
      </c>
      <c r="BR53" s="78" t="e">
        <f t="shared" si="10"/>
        <v>#VALUE!</v>
      </c>
      <c r="BT53" s="78" t="e">
        <f>'Alternative 3'!$B$39*$B53*$C53*COS($K$93)-($K$92/3)*$E53*SIN($K$93)-($K$92/3)*$F53*SIN($K$93)-($K$92/3)*$G53*SIN($K$93)</f>
        <v>#VALUE!</v>
      </c>
      <c r="BU53" s="79" t="e">
        <f>IF(($A53&lt;'Alternative 3'!$B$27),(($H53*'Alternative 3'!$B$39)+(3*($N$92/3)*COS($K$93))),IF(($A53&lt;'Alternative 3'!$B$28),(($H53*'Alternative 3'!$B$39)+(2*(($N$92/3)*COS($K$93)))),IF(($A53&lt;'Alternative 3'!$B$29),(($H$3*'Alternative 3'!$B$39+(($N$92/3)*COS($K$93)))),($H53*'Alternative 3'!$B$39))))</f>
        <v>#VALUE!</v>
      </c>
      <c r="BV53" s="78" t="e">
        <f>BT53*'Alternative 3'!$K54/'Alternative 3'!$L54</f>
        <v>#VALUE!</v>
      </c>
      <c r="BW53" s="78" t="e">
        <f>BU53/'Alternative 3'!$M54</f>
        <v>#VALUE!</v>
      </c>
      <c r="BX53" s="78" t="e">
        <f t="shared" si="11"/>
        <v>#VALUE!</v>
      </c>
      <c r="BZ53" s="77">
        <v>150</v>
      </c>
      <c r="CA53" s="77">
        <v>-150</v>
      </c>
    </row>
    <row r="54" spans="1:79" ht="15" customHeight="1" x14ac:dyDescent="0.25">
      <c r="A54" s="13" t="str">
        <f>IF('Alternative 3'!F55&gt;0,'Alternative 3'!F55,"x")</f>
        <v>x</v>
      </c>
      <c r="B54" s="13" t="e">
        <f t="shared" si="17"/>
        <v>#VALUE!</v>
      </c>
      <c r="C54" s="13">
        <f t="shared" si="12"/>
        <v>0</v>
      </c>
      <c r="D54" s="13" t="str">
        <f t="shared" si="13"/>
        <v>x</v>
      </c>
      <c r="E54" s="74">
        <f>IF($A54&lt;='Alternative 3'!$B$27, IF($A54='Alternative 3'!$B$27,0,E55+1),0)</f>
        <v>0</v>
      </c>
      <c r="F54" s="74">
        <f>IF($A54&lt;=('Alternative 3'!$B$28), IF($A54=ROUNDDOWN('Alternative 3'!$B$28,0),0,F55+1),0)</f>
        <v>0</v>
      </c>
      <c r="G54" s="74">
        <f>IF($A54&lt;=('Alternative 3'!$B$29), IF($A54=ROUNDDOWN('Alternative 3'!$B$29,0),0,G55+1),0)</f>
        <v>0</v>
      </c>
      <c r="H54" s="13" t="e">
        <f t="shared" si="14"/>
        <v>#VALUE!</v>
      </c>
      <c r="J54" s="77">
        <f t="shared" si="15"/>
        <v>51</v>
      </c>
      <c r="K54" s="77">
        <f t="shared" si="16"/>
        <v>0.89011791851710798</v>
      </c>
      <c r="L54" s="78">
        <f>'Alternative 3'!$B$27*SIN(K54)+'Alternative 3'!$B$28*SIN(K54)+'Alternative 3'!$B$29*SIN(K54)</f>
        <v>52.845925379074018</v>
      </c>
      <c r="M54" s="77">
        <f>(('Alternative 3'!$B$27)*(((('Alternative 3'!$B$28-'Alternative 3'!$B$27)/2)+'Alternative 3'!$B$27)*'Alternative 3'!$B$39)*COS('Alternative 3-Tilt Up'!K54))+(('Alternative 3'!$B$28)*((('Alternative 3'!$B$28-'Alternative 3'!$B$27)/2)+(('Alternative 3'!$B$29-'Alternative 3'!$B$28)/2))*('Alternative 3'!$B$39)*COS('Alternative 3-Tilt Up'!K54))+(('Alternative 3'!$B$29)*((('Alternative 3'!$B$12-'Alternative 3'!$B$29+(('Alternative 3'!$B$29-'Alternative 3'!$B$28)/2)*('Alternative 3'!$B$39)*COS('Alternative 3-Tilt Up'!K54)))))</f>
        <v>2986897.8426561742</v>
      </c>
      <c r="N54" s="77">
        <f t="shared" si="0"/>
        <v>169562.6193257425</v>
      </c>
      <c r="O54" s="77">
        <f>(((('Alternative 3'!$B$28-'Alternative 3'!$B$27)/2)+'Alternative 3'!$B$27)*('Alternative 3'!$B$39)*COS('Alternative 3-Tilt Up'!K54))+(((('Alternative 3'!$B$28-'Alternative 3'!$B$27)/2)+(('Alternative 3'!$B$29-'Alternative 3'!$B$28)/2))*('Alternative 3'!$B$39)*COS('Alternative 3-Tilt Up'!K54))+(((('Alternative 3'!$B$12-'Alternative 3'!$B$29)+(('Alternative 3'!$B$29-'Alternative 3'!$B$28)/2))*('Alternative 3'!$B$39)*COS('Alternative 3-Tilt Up'!K54)))</f>
        <v>192647.49934539199</v>
      </c>
      <c r="P54" s="77">
        <f t="shared" si="1"/>
        <v>106709.213901511</v>
      </c>
      <c r="R54" s="78" t="e">
        <f>'Alternative 3'!$B$39*$B54*$C54*COS($K$5)-($N$5/3)*$E54*SIN($K$5)-($N$5/3)*$F54*SIN($K$5)-($N$5/3)*$G54*SIN($K$5)</f>
        <v>#VALUE!</v>
      </c>
      <c r="S54" s="79" t="e">
        <f>IF(($A54&lt;'Alternative 3'!$B$27),(($H54*'Alternative 3'!$B$39)+(3*($N$5/3)*COS($K$5))),IF(($A54&lt;'Alternative 3'!$B$28),(($H54*'Alternative 3'!$B$39)+(2*(($N$5/3)*COS($K$5)))),IF(($A54&lt;'Alternative 3'!$B$29),(($H$3*'Alternative 3'!$B$39+(($N$5/3)*COS($K$5)))),($H54*'Alternative 3'!$B$39))))</f>
        <v>#VALUE!</v>
      </c>
      <c r="T54" s="78" t="e">
        <f>R54*'Alternative 3'!$K55/'Alternative 3'!$L55</f>
        <v>#VALUE!</v>
      </c>
      <c r="U54" s="78" t="e">
        <f>S54/'Alternative 3'!$M55</f>
        <v>#VALUE!</v>
      </c>
      <c r="V54" s="78" t="e">
        <f t="shared" si="2"/>
        <v>#VALUE!</v>
      </c>
      <c r="X54" s="78" t="e">
        <f>'Alternative 3'!$B$39*$B54*$C54*COS($K$13)-($N$12/3)*$E54*SIN($K$13)-($N$12/3)*$F54*SIN($K$13)-($N$12/3)*$G54*SIN($K$13)</f>
        <v>#VALUE!</v>
      </c>
      <c r="Y54" s="79" t="e">
        <f>IF(($A54&lt;'Alternative 3'!$B$27),(($H54*'Alternative 3'!$B$39)+(3*($N$12/3)*COS($K$13))),IF(($A54&lt;'Alternative 3'!$B$28),(($H54*'Alternative 3'!$B$39)+(2*(($N$12/3)*COS($K$13)))),IF(($A54&lt;'Alternative 3'!$B$29),(($H$3*'Alternative 3'!$B$39+(($N$12/3)*COS($K$13)))),($H54*'Alternative 3'!$B$39))))</f>
        <v>#VALUE!</v>
      </c>
      <c r="Z54" s="78" t="e">
        <f>X54*'Alternative 3'!$K55/'Alternative 3'!$L55</f>
        <v>#VALUE!</v>
      </c>
      <c r="AA54" s="78" t="e">
        <f>Y54/'Alternative 3'!$M55</f>
        <v>#VALUE!</v>
      </c>
      <c r="AB54" s="78" t="e">
        <f t="shared" si="3"/>
        <v>#VALUE!</v>
      </c>
      <c r="AD54" s="78" t="e">
        <f>'Alternative 3'!$B$39*$B54*$C54*COS($K$23)-($N$22/3)*$E54*SIN($K$23)-($N$22/3)*$F54*SIN($K$23)-($N$22/3)*$G54*SIN($K$23)</f>
        <v>#VALUE!</v>
      </c>
      <c r="AE54" s="79" t="e">
        <f>IF(($A54&lt;'Alternative 3'!$B$27),(($H54*'Alternative 3'!$B$39)+(3*($N$22/3)*COS($K$23))),IF(($A54&lt;'Alternative 3'!$B$28),(($H54*'Alternative 3'!$B$39)+(2*(($N$22/3)*COS($K$23)))),IF(($A54&lt;'Alternative 3'!$B$29),(($H$3*'Alternative 3'!$B$39+(($N$22/3)*COS($K$23)))),($H54*'Alternative 3'!$B$39))))</f>
        <v>#VALUE!</v>
      </c>
      <c r="AF54" s="78" t="e">
        <f>AD54*'Alternative 3'!$K55/'Alternative 3'!$L55</f>
        <v>#VALUE!</v>
      </c>
      <c r="AG54" s="78" t="e">
        <f>AE54/'Alternative 3'!$M55</f>
        <v>#VALUE!</v>
      </c>
      <c r="AH54" s="78" t="e">
        <f t="shared" si="4"/>
        <v>#VALUE!</v>
      </c>
      <c r="AJ54" s="78" t="e">
        <f>'Alternative 3'!$B$39*$B54*$C54*COS($K$33)-($N$32/3)*$E54*SIN($K$33)-($N$32/3)*$F54*SIN($K$33)-($N$32/3)*$G54*SIN($K$33)</f>
        <v>#VALUE!</v>
      </c>
      <c r="AK54" s="79" t="e">
        <f>IF(($A54&lt;'Alternative 3'!$B$27),(($H54*'Alternative 3'!$B$39)+(3*($N$32/3)*COS($K$33))),IF(($A54&lt;'Alternative 3'!$B$28),(($H54*'Alternative 3'!$B$39)+(2*(($N$32/3)*COS($K$33)))),IF(($A54&lt;'Alternative 3'!$B$29),(($H$3*'Alternative 3'!$B$39+(($N$32/3)*COS($K$33)))),($H54*'Alternative 3'!$B$39))))</f>
        <v>#VALUE!</v>
      </c>
      <c r="AL54" s="78" t="e">
        <f>AJ54*'Alternative 3'!$K55/'Alternative 3'!$L55</f>
        <v>#VALUE!</v>
      </c>
      <c r="AM54" s="78" t="e">
        <f>AK54/'Alternative 3'!$M55</f>
        <v>#VALUE!</v>
      </c>
      <c r="AN54" s="78" t="e">
        <f t="shared" si="5"/>
        <v>#VALUE!</v>
      </c>
      <c r="AP54" s="78" t="e">
        <f>'Alternative 3'!$B$39*$B54*$C54*COS($K$43)-($N$42/3)*$E54*SIN($K$43)-($N$42/3)*$F54*SIN($K$43)-($N$42/3)*$G54*SIN($K$43)</f>
        <v>#VALUE!</v>
      </c>
      <c r="AQ54" s="79" t="e">
        <f>IF(($A54&lt;'Alternative 3'!$B$27),(($H54*'Alternative 3'!$B$39)+(3*($N$42/3)*COS($K$43))),IF(($A54&lt;'Alternative 3'!$B$28),(($H54*'Alternative 3'!$B$39)+(2*(($N$42/3)*COS($K$43)))),IF(($A54&lt;'Alternative 3'!$B$29),(($H$3*'Alternative 3'!$B$39+(($N$42/3)*COS($K$43)))),($H54*'Alternative 3'!$B$39))))</f>
        <v>#VALUE!</v>
      </c>
      <c r="AR54" s="78" t="e">
        <f>AP54*'Alternative 3'!$K55/'Alternative 3'!$L55</f>
        <v>#VALUE!</v>
      </c>
      <c r="AS54" s="78" t="e">
        <f>AQ54/'Alternative 3'!$M55</f>
        <v>#VALUE!</v>
      </c>
      <c r="AT54" s="78" t="e">
        <f t="shared" si="6"/>
        <v>#VALUE!</v>
      </c>
      <c r="AV54" s="78" t="e">
        <f>'Alternative 3'!$B$39*$B54*$C54*COS($K$53)-($N$52/3)*$E54*SIN($K$53)-($N$52/3)*$F54*SIN($K$53)-($N$52/3)*$G54*SIN($K$53)</f>
        <v>#VALUE!</v>
      </c>
      <c r="AW54" s="79" t="e">
        <f>IF(($A54&lt;'Alternative 3'!$B$27),(($H54*'Alternative 3'!$B$39)+(3*($N$52/3)*COS($K$53))),IF(($A54&lt;'Alternative 3'!$B$28),(($H54*'Alternative 3'!$B$39)+(2*(($N$52/3)*COS($K$53)))),IF(($A54&lt;'Alternative 3'!$B$29),(($H$3*'Alternative 3'!$B$39+(($N$52/3)*COS($K$53)))),($H54*'Alternative 3'!$B$39))))</f>
        <v>#VALUE!</v>
      </c>
      <c r="AX54" s="78" t="e">
        <f>AV54*'Alternative 3'!$K55/'Alternative 3'!$L55</f>
        <v>#VALUE!</v>
      </c>
      <c r="AY54" s="78" t="e">
        <f>AW54/'Alternative 3'!$M55</f>
        <v>#VALUE!</v>
      </c>
      <c r="AZ54" s="78" t="e">
        <f t="shared" si="7"/>
        <v>#VALUE!</v>
      </c>
      <c r="BB54" s="78" t="e">
        <f>'Alternative 3'!$B$39*$B54*$C54*COS($K$63)-($N$62/3)*$E54*SIN($K$63)-($N$62/3)*$F54*SIN($K$63)-($N$62/3)*$G54*SIN($K$63)</f>
        <v>#VALUE!</v>
      </c>
      <c r="BC54" s="79" t="e">
        <f>IF(($A54&lt;'Alternative 3'!$B$27),(($H54*'Alternative 3'!$B$39)+(3*($N$62/3)*COS($K$63))),IF(($A54&lt;'Alternative 3'!$B$28),(($H54*'Alternative 3'!$B$39)+(2*(($N$62/3)*COS($K$63)))),IF(($A54&lt;'Alternative 3'!$B$29),(($H$3*'Alternative 3'!$B$39+(($N$62/3)*COS($K$63)))),($H54*'Alternative 3'!$B$39))))</f>
        <v>#VALUE!</v>
      </c>
      <c r="BD54" s="78" t="e">
        <f>BB54*'Alternative 3'!$K55/'Alternative 3'!$L55</f>
        <v>#VALUE!</v>
      </c>
      <c r="BE54" s="78" t="e">
        <f>BC54/'Alternative 3'!$M55</f>
        <v>#VALUE!</v>
      </c>
      <c r="BF54" s="78" t="e">
        <f t="shared" si="8"/>
        <v>#VALUE!</v>
      </c>
      <c r="BH54" s="78" t="e">
        <f>'Alternative 3'!$B$39*$B54*$C54*COS($K$73)-($N$72/3)*$E54*SIN($K$73)-($N$72/3)*$F54*SIN($K$73)-($N$72/3)*$G54*SIN($K$73)</f>
        <v>#VALUE!</v>
      </c>
      <c r="BI54" s="79" t="e">
        <f>IF(($A54&lt;'Alternative 3'!$B$27),(($H54*'Alternative 3'!$B$39)+(3*($N$72/3)*COS($K$73))),IF(($A54&lt;'Alternative 3'!$B$28),(($H54*'Alternative 3'!$B$39)+(2*(($N$72/3)*COS($K$73)))),IF(($A54&lt;'Alternative 3'!$B$29),(($H$3*'Alternative 3'!$B$39+(($N$72/3)*COS($K$73)))),($H54*'Alternative 3'!$B$39))))</f>
        <v>#VALUE!</v>
      </c>
      <c r="BJ54" s="78" t="e">
        <f>BH54*'Alternative 3'!$K55/'Alternative 3'!$L55</f>
        <v>#VALUE!</v>
      </c>
      <c r="BK54" s="78" t="e">
        <f>BI54/'Alternative 3'!$M55</f>
        <v>#VALUE!</v>
      </c>
      <c r="BL54" s="78" t="e">
        <f t="shared" si="9"/>
        <v>#VALUE!</v>
      </c>
      <c r="BN54" s="78" t="e">
        <f>'Alternative 3'!$B$39*$B54*$C54*COS($K$83)-($N$82/3)*$E54*SIN($K$83)-($N$82/3)*$F54*SIN($K$83)-($N$82/3)*$G54*SIN($K$83)</f>
        <v>#VALUE!</v>
      </c>
      <c r="BO54" s="79" t="e">
        <f>IF(($A54&lt;'Alternative 3'!$B$27),(($H54*'Alternative 3'!$B$39)+(3*($N$82/3)*COS($K$83))),IF(($A54&lt;'Alternative 3'!$B$28),(($H54*'Alternative 3'!$B$39)+(2*(($N$82/3)*COS($K$83)))),IF(($A54&lt;'Alternative 3'!$B$29),(($H$3*'Alternative 3'!$B$39+(($N$82/3)*COS($K$83)))),($H54*'Alternative 3'!$B$39))))</f>
        <v>#VALUE!</v>
      </c>
      <c r="BP54" s="78" t="e">
        <f>BN54*'Alternative 3'!$K55/'Alternative 3'!$L55</f>
        <v>#VALUE!</v>
      </c>
      <c r="BQ54" s="78" t="e">
        <f>BO54/'Alternative 3'!$M55</f>
        <v>#VALUE!</v>
      </c>
      <c r="BR54" s="78" t="e">
        <f t="shared" si="10"/>
        <v>#VALUE!</v>
      </c>
      <c r="BT54" s="78" t="e">
        <f>'Alternative 3'!$B$39*$B54*$C54*COS($K$93)-($K$92/3)*$E54*SIN($K$93)-($K$92/3)*$F54*SIN($K$93)-($K$92/3)*$G54*SIN($K$93)</f>
        <v>#VALUE!</v>
      </c>
      <c r="BU54" s="79" t="e">
        <f>IF(($A54&lt;'Alternative 3'!$B$27),(($H54*'Alternative 3'!$B$39)+(3*($N$92/3)*COS($K$93))),IF(($A54&lt;'Alternative 3'!$B$28),(($H54*'Alternative 3'!$B$39)+(2*(($N$92/3)*COS($K$93)))),IF(($A54&lt;'Alternative 3'!$B$29),(($H$3*'Alternative 3'!$B$39+(($N$92/3)*COS($K$93)))),($H54*'Alternative 3'!$B$39))))</f>
        <v>#VALUE!</v>
      </c>
      <c r="BV54" s="78" t="e">
        <f>BT54*'Alternative 3'!$K55/'Alternative 3'!$L55</f>
        <v>#VALUE!</v>
      </c>
      <c r="BW54" s="78" t="e">
        <f>BU54/'Alternative 3'!$M55</f>
        <v>#VALUE!</v>
      </c>
      <c r="BX54" s="78" t="e">
        <f t="shared" si="11"/>
        <v>#VALUE!</v>
      </c>
      <c r="BZ54" s="77">
        <v>150</v>
      </c>
      <c r="CA54" s="77">
        <v>-150</v>
      </c>
    </row>
    <row r="55" spans="1:79" ht="15" customHeight="1" x14ac:dyDescent="0.25">
      <c r="A55" s="13" t="str">
        <f>IF('Alternative 3'!F56&gt;0,'Alternative 3'!F56,"x")</f>
        <v>x</v>
      </c>
      <c r="B55" s="13" t="e">
        <f t="shared" si="17"/>
        <v>#VALUE!</v>
      </c>
      <c r="C55" s="13">
        <f t="shared" si="12"/>
        <v>0</v>
      </c>
      <c r="D55" s="13" t="str">
        <f t="shared" si="13"/>
        <v>x</v>
      </c>
      <c r="E55" s="74">
        <f>IF($A55&lt;='Alternative 3'!$B$27, IF($A55='Alternative 3'!$B$27,0,E56+1),0)</f>
        <v>0</v>
      </c>
      <c r="F55" s="74">
        <f>IF($A55&lt;=('Alternative 3'!$B$28), IF($A55=ROUNDDOWN('Alternative 3'!$B$28,0),0,F56+1),0)</f>
        <v>0</v>
      </c>
      <c r="G55" s="74">
        <f>IF($A55&lt;=('Alternative 3'!$B$29), IF($A55=ROUNDDOWN('Alternative 3'!$B$29,0),0,G56+1),0)</f>
        <v>0</v>
      </c>
      <c r="H55" s="13" t="e">
        <f t="shared" si="14"/>
        <v>#VALUE!</v>
      </c>
      <c r="J55" s="77">
        <f t="shared" si="15"/>
        <v>52</v>
      </c>
      <c r="K55" s="77">
        <f t="shared" si="16"/>
        <v>0.90757121103705141</v>
      </c>
      <c r="L55" s="78">
        <f>'Alternative 3'!$B$27*SIN(K55)+'Alternative 3'!$B$28*SIN(K55)+'Alternative 3'!$B$29*SIN(K55)</f>
        <v>53.584731245257096</v>
      </c>
      <c r="M55" s="77">
        <f>(('Alternative 3'!$B$27)*(((('Alternative 3'!$B$28-'Alternative 3'!$B$27)/2)+'Alternative 3'!$B$27)*'Alternative 3'!$B$39)*COS('Alternative 3-Tilt Up'!K55))+(('Alternative 3'!$B$28)*((('Alternative 3'!$B$28-'Alternative 3'!$B$27)/2)+(('Alternative 3'!$B$29-'Alternative 3'!$B$28)/2))*('Alternative 3'!$B$39)*COS('Alternative 3-Tilt Up'!K55))+(('Alternative 3'!$B$29)*((('Alternative 3'!$B$12-'Alternative 3'!$B$29+(('Alternative 3'!$B$29-'Alternative 3'!$B$28)/2)*('Alternative 3'!$B$39)*COS('Alternative 3-Tilt Up'!K55)))))</f>
        <v>2922073.765157572</v>
      </c>
      <c r="N55" s="77">
        <f t="shared" si="0"/>
        <v>163595.5073722355</v>
      </c>
      <c r="O55" s="77">
        <f>(((('Alternative 3'!$B$28-'Alternative 3'!$B$27)/2)+'Alternative 3'!$B$27)*('Alternative 3'!$B$39)*COS('Alternative 3-Tilt Up'!K55))+(((('Alternative 3'!$B$28-'Alternative 3'!$B$27)/2)+(('Alternative 3'!$B$29-'Alternative 3'!$B$28)/2))*('Alternative 3'!$B$39)*COS('Alternative 3-Tilt Up'!K55))+(((('Alternative 3'!$B$12-'Alternative 3'!$B$29)+(('Alternative 3'!$B$29-'Alternative 3'!$B$28)/2))*('Alternative 3'!$B$39)*COS('Alternative 3-Tilt Up'!K55)))</f>
        <v>188466.23333930736</v>
      </c>
      <c r="P55" s="77">
        <f t="shared" si="1"/>
        <v>100719.45142544011</v>
      </c>
      <c r="R55" s="78" t="e">
        <f>'Alternative 3'!$B$39*$B55*$C55*COS($K$5)-($N$5/3)*$E55*SIN($K$5)-($N$5/3)*$F55*SIN($K$5)-($N$5/3)*$G55*SIN($K$5)</f>
        <v>#VALUE!</v>
      </c>
      <c r="S55" s="79" t="e">
        <f>IF(($A55&lt;'Alternative 3'!$B$27),(($H55*'Alternative 3'!$B$39)+(3*($N$5/3)*COS($K$5))),IF(($A55&lt;'Alternative 3'!$B$28),(($H55*'Alternative 3'!$B$39)+(2*(($N$5/3)*COS($K$5)))),IF(($A55&lt;'Alternative 3'!$B$29),(($H$3*'Alternative 3'!$B$39+(($N$5/3)*COS($K$5)))),($H55*'Alternative 3'!$B$39))))</f>
        <v>#VALUE!</v>
      </c>
      <c r="T55" s="78" t="e">
        <f>R55*'Alternative 3'!$K56/'Alternative 3'!$L56</f>
        <v>#VALUE!</v>
      </c>
      <c r="U55" s="78" t="e">
        <f>S55/'Alternative 3'!$M56</f>
        <v>#VALUE!</v>
      </c>
      <c r="V55" s="78" t="e">
        <f t="shared" si="2"/>
        <v>#VALUE!</v>
      </c>
      <c r="X55" s="78" t="e">
        <f>'Alternative 3'!$B$39*$B55*$C55*COS($K$13)-($N$12/3)*$E55*SIN($K$13)-($N$12/3)*$F55*SIN($K$13)-($N$12/3)*$G55*SIN($K$13)</f>
        <v>#VALUE!</v>
      </c>
      <c r="Y55" s="79" t="e">
        <f>IF(($A55&lt;'Alternative 3'!$B$27),(($H55*'Alternative 3'!$B$39)+(3*($N$12/3)*COS($K$13))),IF(($A55&lt;'Alternative 3'!$B$28),(($H55*'Alternative 3'!$B$39)+(2*(($N$12/3)*COS($K$13)))),IF(($A55&lt;'Alternative 3'!$B$29),(($H$3*'Alternative 3'!$B$39+(($N$12/3)*COS($K$13)))),($H55*'Alternative 3'!$B$39))))</f>
        <v>#VALUE!</v>
      </c>
      <c r="Z55" s="78" t="e">
        <f>X55*'Alternative 3'!$K56/'Alternative 3'!$L56</f>
        <v>#VALUE!</v>
      </c>
      <c r="AA55" s="78" t="e">
        <f>Y55/'Alternative 3'!$M56</f>
        <v>#VALUE!</v>
      </c>
      <c r="AB55" s="78" t="e">
        <f t="shared" si="3"/>
        <v>#VALUE!</v>
      </c>
      <c r="AD55" s="78" t="e">
        <f>'Alternative 3'!$B$39*$B55*$C55*COS($K$23)-($N$22/3)*$E55*SIN($K$23)-($N$22/3)*$F55*SIN($K$23)-($N$22/3)*$G55*SIN($K$23)</f>
        <v>#VALUE!</v>
      </c>
      <c r="AE55" s="79" t="e">
        <f>IF(($A55&lt;'Alternative 3'!$B$27),(($H55*'Alternative 3'!$B$39)+(3*($N$22/3)*COS($K$23))),IF(($A55&lt;'Alternative 3'!$B$28),(($H55*'Alternative 3'!$B$39)+(2*(($N$22/3)*COS($K$23)))),IF(($A55&lt;'Alternative 3'!$B$29),(($H$3*'Alternative 3'!$B$39+(($N$22/3)*COS($K$23)))),($H55*'Alternative 3'!$B$39))))</f>
        <v>#VALUE!</v>
      </c>
      <c r="AF55" s="78" t="e">
        <f>AD55*'Alternative 3'!$K56/'Alternative 3'!$L56</f>
        <v>#VALUE!</v>
      </c>
      <c r="AG55" s="78" t="e">
        <f>AE55/'Alternative 3'!$M56</f>
        <v>#VALUE!</v>
      </c>
      <c r="AH55" s="78" t="e">
        <f t="shared" si="4"/>
        <v>#VALUE!</v>
      </c>
      <c r="AJ55" s="78" t="e">
        <f>'Alternative 3'!$B$39*$B55*$C55*COS($K$33)-($N$32/3)*$E55*SIN($K$33)-($N$32/3)*$F55*SIN($K$33)-($N$32/3)*$G55*SIN($K$33)</f>
        <v>#VALUE!</v>
      </c>
      <c r="AK55" s="79" t="e">
        <f>IF(($A55&lt;'Alternative 3'!$B$27),(($H55*'Alternative 3'!$B$39)+(3*($N$32/3)*COS($K$33))),IF(($A55&lt;'Alternative 3'!$B$28),(($H55*'Alternative 3'!$B$39)+(2*(($N$32/3)*COS($K$33)))),IF(($A55&lt;'Alternative 3'!$B$29),(($H$3*'Alternative 3'!$B$39+(($N$32/3)*COS($K$33)))),($H55*'Alternative 3'!$B$39))))</f>
        <v>#VALUE!</v>
      </c>
      <c r="AL55" s="78" t="e">
        <f>AJ55*'Alternative 3'!$K56/'Alternative 3'!$L56</f>
        <v>#VALUE!</v>
      </c>
      <c r="AM55" s="78" t="e">
        <f>AK55/'Alternative 3'!$M56</f>
        <v>#VALUE!</v>
      </c>
      <c r="AN55" s="78" t="e">
        <f t="shared" si="5"/>
        <v>#VALUE!</v>
      </c>
      <c r="AP55" s="78" t="e">
        <f>'Alternative 3'!$B$39*$B55*$C55*COS($K$43)-($N$42/3)*$E55*SIN($K$43)-($N$42/3)*$F55*SIN($K$43)-($N$42/3)*$G55*SIN($K$43)</f>
        <v>#VALUE!</v>
      </c>
      <c r="AQ55" s="79" t="e">
        <f>IF(($A55&lt;'Alternative 3'!$B$27),(($H55*'Alternative 3'!$B$39)+(3*($N$42/3)*COS($K$43))),IF(($A55&lt;'Alternative 3'!$B$28),(($H55*'Alternative 3'!$B$39)+(2*(($N$42/3)*COS($K$43)))),IF(($A55&lt;'Alternative 3'!$B$29),(($H$3*'Alternative 3'!$B$39+(($N$42/3)*COS($K$43)))),($H55*'Alternative 3'!$B$39))))</f>
        <v>#VALUE!</v>
      </c>
      <c r="AR55" s="78" t="e">
        <f>AP55*'Alternative 3'!$K56/'Alternative 3'!$L56</f>
        <v>#VALUE!</v>
      </c>
      <c r="AS55" s="78" t="e">
        <f>AQ55/'Alternative 3'!$M56</f>
        <v>#VALUE!</v>
      </c>
      <c r="AT55" s="78" t="e">
        <f t="shared" si="6"/>
        <v>#VALUE!</v>
      </c>
      <c r="AV55" s="78" t="e">
        <f>'Alternative 3'!$B$39*$B55*$C55*COS($K$53)-($N$52/3)*$E55*SIN($K$53)-($N$52/3)*$F55*SIN($K$53)-($N$52/3)*$G55*SIN($K$53)</f>
        <v>#VALUE!</v>
      </c>
      <c r="AW55" s="79" t="e">
        <f>IF(($A55&lt;'Alternative 3'!$B$27),(($H55*'Alternative 3'!$B$39)+(3*($N$52/3)*COS($K$53))),IF(($A55&lt;'Alternative 3'!$B$28),(($H55*'Alternative 3'!$B$39)+(2*(($N$52/3)*COS($K$53)))),IF(($A55&lt;'Alternative 3'!$B$29),(($H$3*'Alternative 3'!$B$39+(($N$52/3)*COS($K$53)))),($H55*'Alternative 3'!$B$39))))</f>
        <v>#VALUE!</v>
      </c>
      <c r="AX55" s="78" t="e">
        <f>AV55*'Alternative 3'!$K56/'Alternative 3'!$L56</f>
        <v>#VALUE!</v>
      </c>
      <c r="AY55" s="78" t="e">
        <f>AW55/'Alternative 3'!$M56</f>
        <v>#VALUE!</v>
      </c>
      <c r="AZ55" s="78" t="e">
        <f t="shared" si="7"/>
        <v>#VALUE!</v>
      </c>
      <c r="BB55" s="78" t="e">
        <f>'Alternative 3'!$B$39*$B55*$C55*COS($K$63)-($N$62/3)*$E55*SIN($K$63)-($N$62/3)*$F55*SIN($K$63)-($N$62/3)*$G55*SIN($K$63)</f>
        <v>#VALUE!</v>
      </c>
      <c r="BC55" s="79" t="e">
        <f>IF(($A55&lt;'Alternative 3'!$B$27),(($H55*'Alternative 3'!$B$39)+(3*($N$62/3)*COS($K$63))),IF(($A55&lt;'Alternative 3'!$B$28),(($H55*'Alternative 3'!$B$39)+(2*(($N$62/3)*COS($K$63)))),IF(($A55&lt;'Alternative 3'!$B$29),(($H$3*'Alternative 3'!$B$39+(($N$62/3)*COS($K$63)))),($H55*'Alternative 3'!$B$39))))</f>
        <v>#VALUE!</v>
      </c>
      <c r="BD55" s="78" t="e">
        <f>BB55*'Alternative 3'!$K56/'Alternative 3'!$L56</f>
        <v>#VALUE!</v>
      </c>
      <c r="BE55" s="78" t="e">
        <f>BC55/'Alternative 3'!$M56</f>
        <v>#VALUE!</v>
      </c>
      <c r="BF55" s="78" t="e">
        <f t="shared" si="8"/>
        <v>#VALUE!</v>
      </c>
      <c r="BH55" s="78" t="e">
        <f>'Alternative 3'!$B$39*$B55*$C55*COS($K$73)-($N$72/3)*$E55*SIN($K$73)-($N$72/3)*$F55*SIN($K$73)-($N$72/3)*$G55*SIN($K$73)</f>
        <v>#VALUE!</v>
      </c>
      <c r="BI55" s="79" t="e">
        <f>IF(($A55&lt;'Alternative 3'!$B$27),(($H55*'Alternative 3'!$B$39)+(3*($N$72/3)*COS($K$73))),IF(($A55&lt;'Alternative 3'!$B$28),(($H55*'Alternative 3'!$B$39)+(2*(($N$72/3)*COS($K$73)))),IF(($A55&lt;'Alternative 3'!$B$29),(($H$3*'Alternative 3'!$B$39+(($N$72/3)*COS($K$73)))),($H55*'Alternative 3'!$B$39))))</f>
        <v>#VALUE!</v>
      </c>
      <c r="BJ55" s="78" t="e">
        <f>BH55*'Alternative 3'!$K56/'Alternative 3'!$L56</f>
        <v>#VALUE!</v>
      </c>
      <c r="BK55" s="78" t="e">
        <f>BI55/'Alternative 3'!$M56</f>
        <v>#VALUE!</v>
      </c>
      <c r="BL55" s="78" t="e">
        <f t="shared" si="9"/>
        <v>#VALUE!</v>
      </c>
      <c r="BN55" s="78" t="e">
        <f>'Alternative 3'!$B$39*$B55*$C55*COS($K$83)-($N$82/3)*$E55*SIN($K$83)-($N$82/3)*$F55*SIN($K$83)-($N$82/3)*$G55*SIN($K$83)</f>
        <v>#VALUE!</v>
      </c>
      <c r="BO55" s="79" t="e">
        <f>IF(($A55&lt;'Alternative 3'!$B$27),(($H55*'Alternative 3'!$B$39)+(3*($N$82/3)*COS($K$83))),IF(($A55&lt;'Alternative 3'!$B$28),(($H55*'Alternative 3'!$B$39)+(2*(($N$82/3)*COS($K$83)))),IF(($A55&lt;'Alternative 3'!$B$29),(($H$3*'Alternative 3'!$B$39+(($N$82/3)*COS($K$83)))),($H55*'Alternative 3'!$B$39))))</f>
        <v>#VALUE!</v>
      </c>
      <c r="BP55" s="78" t="e">
        <f>BN55*'Alternative 3'!$K56/'Alternative 3'!$L56</f>
        <v>#VALUE!</v>
      </c>
      <c r="BQ55" s="78" t="e">
        <f>BO55/'Alternative 3'!$M56</f>
        <v>#VALUE!</v>
      </c>
      <c r="BR55" s="78" t="e">
        <f t="shared" si="10"/>
        <v>#VALUE!</v>
      </c>
      <c r="BT55" s="78" t="e">
        <f>'Alternative 3'!$B$39*$B55*$C55*COS($K$93)-($K$92/3)*$E55*SIN($K$93)-($K$92/3)*$F55*SIN($K$93)-($K$92/3)*$G55*SIN($K$93)</f>
        <v>#VALUE!</v>
      </c>
      <c r="BU55" s="79" t="e">
        <f>IF(($A55&lt;'Alternative 3'!$B$27),(($H55*'Alternative 3'!$B$39)+(3*($N$92/3)*COS($K$93))),IF(($A55&lt;'Alternative 3'!$B$28),(($H55*'Alternative 3'!$B$39)+(2*(($N$92/3)*COS($K$93)))),IF(($A55&lt;'Alternative 3'!$B$29),(($H$3*'Alternative 3'!$B$39+(($N$92/3)*COS($K$93)))),($H55*'Alternative 3'!$B$39))))</f>
        <v>#VALUE!</v>
      </c>
      <c r="BV55" s="78" t="e">
        <f>BT55*'Alternative 3'!$K56/'Alternative 3'!$L56</f>
        <v>#VALUE!</v>
      </c>
      <c r="BW55" s="78" t="e">
        <f>BU55/'Alternative 3'!$M56</f>
        <v>#VALUE!</v>
      </c>
      <c r="BX55" s="78" t="e">
        <f t="shared" si="11"/>
        <v>#VALUE!</v>
      </c>
      <c r="BZ55" s="77">
        <v>150</v>
      </c>
      <c r="CA55" s="77">
        <v>-150</v>
      </c>
    </row>
    <row r="56" spans="1:79" ht="15" customHeight="1" x14ac:dyDescent="0.25">
      <c r="A56" s="13" t="str">
        <f>IF('Alternative 3'!F57&gt;0,'Alternative 3'!F57,"x")</f>
        <v>x</v>
      </c>
      <c r="B56" s="13" t="e">
        <f t="shared" si="17"/>
        <v>#VALUE!</v>
      </c>
      <c r="C56" s="13">
        <f t="shared" si="12"/>
        <v>0</v>
      </c>
      <c r="D56" s="13" t="str">
        <f t="shared" si="13"/>
        <v>x</v>
      </c>
      <c r="E56" s="74">
        <f>IF($A56&lt;='Alternative 3'!$B$27, IF($A56='Alternative 3'!$B$27,0,E57+1),0)</f>
        <v>0</v>
      </c>
      <c r="F56" s="74">
        <f>IF($A56&lt;=('Alternative 3'!$B$28), IF($A56=ROUNDDOWN('Alternative 3'!$B$28,0),0,F57+1),0)</f>
        <v>0</v>
      </c>
      <c r="G56" s="74">
        <f>IF($A56&lt;=('Alternative 3'!$B$29), IF($A56=ROUNDDOWN('Alternative 3'!$B$29,0),0,G57+1),0)</f>
        <v>0</v>
      </c>
      <c r="H56" s="13" t="e">
        <f t="shared" si="14"/>
        <v>#VALUE!</v>
      </c>
      <c r="J56" s="77">
        <f t="shared" si="15"/>
        <v>53</v>
      </c>
      <c r="K56" s="77">
        <f t="shared" si="16"/>
        <v>0.92502450355699462</v>
      </c>
      <c r="L56" s="78">
        <f>'Alternative 3'!$B$27*SIN(K56)+'Alternative 3'!$B$28*SIN(K56)+'Alternative 3'!$B$29*SIN(K56)</f>
        <v>54.307214683215911</v>
      </c>
      <c r="M56" s="77">
        <f>(('Alternative 3'!$B$27)*(((('Alternative 3'!$B$28-'Alternative 3'!$B$27)/2)+'Alternative 3'!$B$27)*'Alternative 3'!$B$39)*COS('Alternative 3-Tilt Up'!K56))+(('Alternative 3'!$B$28)*((('Alternative 3'!$B$28-'Alternative 3'!$B$27)/2)+(('Alternative 3'!$B$29-'Alternative 3'!$B$28)/2))*('Alternative 3'!$B$39)*COS('Alternative 3-Tilt Up'!K56))+(('Alternative 3'!$B$29)*((('Alternative 3'!$B$12-'Alternative 3'!$B$29+(('Alternative 3'!$B$29-'Alternative 3'!$B$28)/2)*('Alternative 3'!$B$39)*COS('Alternative 3-Tilt Up'!K56)))))</f>
        <v>2856359.6552744671</v>
      </c>
      <c r="N56" s="77">
        <f t="shared" si="0"/>
        <v>157788.96074505814</v>
      </c>
      <c r="O56" s="77">
        <f>(((('Alternative 3'!$B$28-'Alternative 3'!$B$27)/2)+'Alternative 3'!$B$27)*('Alternative 3'!$B$39)*COS('Alternative 3-Tilt Up'!K56))+(((('Alternative 3'!$B$28-'Alternative 3'!$B$27)/2)+(('Alternative 3'!$B$29-'Alternative 3'!$B$28)/2))*('Alternative 3'!$B$39)*COS('Alternative 3-Tilt Up'!K56))+(((('Alternative 3'!$B$12-'Alternative 3'!$B$29)+(('Alternative 3'!$B$29-'Alternative 3'!$B$28)/2))*('Alternative 3'!$B$39)*COS('Alternative 3-Tilt Up'!K56)))</f>
        <v>184227.55869283422</v>
      </c>
      <c r="P56" s="77">
        <f t="shared" si="1"/>
        <v>94959.76706392481</v>
      </c>
      <c r="R56" s="78" t="e">
        <f>'Alternative 3'!$B$39*$B56*$C56*COS($K$5)-($N$5/3)*$E56*SIN($K$5)-($N$5/3)*$F56*SIN($K$5)-($N$5/3)*$G56*SIN($K$5)</f>
        <v>#VALUE!</v>
      </c>
      <c r="S56" s="79" t="e">
        <f>IF(($A56&lt;'Alternative 3'!$B$27),(($H56*'Alternative 3'!$B$39)+(3*($N$5/3)*COS($K$5))),IF(($A56&lt;'Alternative 3'!$B$28),(($H56*'Alternative 3'!$B$39)+(2*(($N$5/3)*COS($K$5)))),IF(($A56&lt;'Alternative 3'!$B$29),(($H$3*'Alternative 3'!$B$39+(($N$5/3)*COS($K$5)))),($H56*'Alternative 3'!$B$39))))</f>
        <v>#VALUE!</v>
      </c>
      <c r="T56" s="78" t="e">
        <f>R56*'Alternative 3'!$K57/'Alternative 3'!$L57</f>
        <v>#VALUE!</v>
      </c>
      <c r="U56" s="78" t="e">
        <f>S56/'Alternative 3'!$M57</f>
        <v>#VALUE!</v>
      </c>
      <c r="V56" s="78" t="e">
        <f t="shared" si="2"/>
        <v>#VALUE!</v>
      </c>
      <c r="X56" s="78" t="e">
        <f>'Alternative 3'!$B$39*$B56*$C56*COS($K$13)-($N$12/3)*$E56*SIN($K$13)-($N$12/3)*$F56*SIN($K$13)-($N$12/3)*$G56*SIN($K$13)</f>
        <v>#VALUE!</v>
      </c>
      <c r="Y56" s="79" t="e">
        <f>IF(($A56&lt;'Alternative 3'!$B$27),(($H56*'Alternative 3'!$B$39)+(3*($N$12/3)*COS($K$13))),IF(($A56&lt;'Alternative 3'!$B$28),(($H56*'Alternative 3'!$B$39)+(2*(($N$12/3)*COS($K$13)))),IF(($A56&lt;'Alternative 3'!$B$29),(($H$3*'Alternative 3'!$B$39+(($N$12/3)*COS($K$13)))),($H56*'Alternative 3'!$B$39))))</f>
        <v>#VALUE!</v>
      </c>
      <c r="Z56" s="78" t="e">
        <f>X56*'Alternative 3'!$K57/'Alternative 3'!$L57</f>
        <v>#VALUE!</v>
      </c>
      <c r="AA56" s="78" t="e">
        <f>Y56/'Alternative 3'!$M57</f>
        <v>#VALUE!</v>
      </c>
      <c r="AB56" s="78" t="e">
        <f t="shared" si="3"/>
        <v>#VALUE!</v>
      </c>
      <c r="AD56" s="78" t="e">
        <f>'Alternative 3'!$B$39*$B56*$C56*COS($K$23)-($N$22/3)*$E56*SIN($K$23)-($N$22/3)*$F56*SIN($K$23)-($N$22/3)*$G56*SIN($K$23)</f>
        <v>#VALUE!</v>
      </c>
      <c r="AE56" s="79" t="e">
        <f>IF(($A56&lt;'Alternative 3'!$B$27),(($H56*'Alternative 3'!$B$39)+(3*($N$22/3)*COS($K$23))),IF(($A56&lt;'Alternative 3'!$B$28),(($H56*'Alternative 3'!$B$39)+(2*(($N$22/3)*COS($K$23)))),IF(($A56&lt;'Alternative 3'!$B$29),(($H$3*'Alternative 3'!$B$39+(($N$22/3)*COS($K$23)))),($H56*'Alternative 3'!$B$39))))</f>
        <v>#VALUE!</v>
      </c>
      <c r="AF56" s="78" t="e">
        <f>AD56*'Alternative 3'!$K57/'Alternative 3'!$L57</f>
        <v>#VALUE!</v>
      </c>
      <c r="AG56" s="78" t="e">
        <f>AE56/'Alternative 3'!$M57</f>
        <v>#VALUE!</v>
      </c>
      <c r="AH56" s="78" t="e">
        <f t="shared" si="4"/>
        <v>#VALUE!</v>
      </c>
      <c r="AJ56" s="78" t="e">
        <f>'Alternative 3'!$B$39*$B56*$C56*COS($K$33)-($N$32/3)*$E56*SIN($K$33)-($N$32/3)*$F56*SIN($K$33)-($N$32/3)*$G56*SIN($K$33)</f>
        <v>#VALUE!</v>
      </c>
      <c r="AK56" s="79" t="e">
        <f>IF(($A56&lt;'Alternative 3'!$B$27),(($H56*'Alternative 3'!$B$39)+(3*($N$32/3)*COS($K$33))),IF(($A56&lt;'Alternative 3'!$B$28),(($H56*'Alternative 3'!$B$39)+(2*(($N$32/3)*COS($K$33)))),IF(($A56&lt;'Alternative 3'!$B$29),(($H$3*'Alternative 3'!$B$39+(($N$32/3)*COS($K$33)))),($H56*'Alternative 3'!$B$39))))</f>
        <v>#VALUE!</v>
      </c>
      <c r="AL56" s="78" t="e">
        <f>AJ56*'Alternative 3'!$K57/'Alternative 3'!$L57</f>
        <v>#VALUE!</v>
      </c>
      <c r="AM56" s="78" t="e">
        <f>AK56/'Alternative 3'!$M57</f>
        <v>#VALUE!</v>
      </c>
      <c r="AN56" s="78" t="e">
        <f t="shared" si="5"/>
        <v>#VALUE!</v>
      </c>
      <c r="AP56" s="78" t="e">
        <f>'Alternative 3'!$B$39*$B56*$C56*COS($K$43)-($N$42/3)*$E56*SIN($K$43)-($N$42/3)*$F56*SIN($K$43)-($N$42/3)*$G56*SIN($K$43)</f>
        <v>#VALUE!</v>
      </c>
      <c r="AQ56" s="79" t="e">
        <f>IF(($A56&lt;'Alternative 3'!$B$27),(($H56*'Alternative 3'!$B$39)+(3*($N$42/3)*COS($K$43))),IF(($A56&lt;'Alternative 3'!$B$28),(($H56*'Alternative 3'!$B$39)+(2*(($N$42/3)*COS($K$43)))),IF(($A56&lt;'Alternative 3'!$B$29),(($H$3*'Alternative 3'!$B$39+(($N$42/3)*COS($K$43)))),($H56*'Alternative 3'!$B$39))))</f>
        <v>#VALUE!</v>
      </c>
      <c r="AR56" s="78" t="e">
        <f>AP56*'Alternative 3'!$K57/'Alternative 3'!$L57</f>
        <v>#VALUE!</v>
      </c>
      <c r="AS56" s="78" t="e">
        <f>AQ56/'Alternative 3'!$M57</f>
        <v>#VALUE!</v>
      </c>
      <c r="AT56" s="78" t="e">
        <f t="shared" si="6"/>
        <v>#VALUE!</v>
      </c>
      <c r="AV56" s="78" t="e">
        <f>'Alternative 3'!$B$39*$B56*$C56*COS($K$53)-($N$52/3)*$E56*SIN($K$53)-($N$52/3)*$F56*SIN($K$53)-($N$52/3)*$G56*SIN($K$53)</f>
        <v>#VALUE!</v>
      </c>
      <c r="AW56" s="79" t="e">
        <f>IF(($A56&lt;'Alternative 3'!$B$27),(($H56*'Alternative 3'!$B$39)+(3*($N$52/3)*COS($K$53))),IF(($A56&lt;'Alternative 3'!$B$28),(($H56*'Alternative 3'!$B$39)+(2*(($N$52/3)*COS($K$53)))),IF(($A56&lt;'Alternative 3'!$B$29),(($H$3*'Alternative 3'!$B$39+(($N$52/3)*COS($K$53)))),($H56*'Alternative 3'!$B$39))))</f>
        <v>#VALUE!</v>
      </c>
      <c r="AX56" s="78" t="e">
        <f>AV56*'Alternative 3'!$K57/'Alternative 3'!$L57</f>
        <v>#VALUE!</v>
      </c>
      <c r="AY56" s="78" t="e">
        <f>AW56/'Alternative 3'!$M57</f>
        <v>#VALUE!</v>
      </c>
      <c r="AZ56" s="78" t="e">
        <f t="shared" si="7"/>
        <v>#VALUE!</v>
      </c>
      <c r="BB56" s="78" t="e">
        <f>'Alternative 3'!$B$39*$B56*$C56*COS($K$63)-($N$62/3)*$E56*SIN($K$63)-($N$62/3)*$F56*SIN($K$63)-($N$62/3)*$G56*SIN($K$63)</f>
        <v>#VALUE!</v>
      </c>
      <c r="BC56" s="79" t="e">
        <f>IF(($A56&lt;'Alternative 3'!$B$27),(($H56*'Alternative 3'!$B$39)+(3*($N$62/3)*COS($K$63))),IF(($A56&lt;'Alternative 3'!$B$28),(($H56*'Alternative 3'!$B$39)+(2*(($N$62/3)*COS($K$63)))),IF(($A56&lt;'Alternative 3'!$B$29),(($H$3*'Alternative 3'!$B$39+(($N$62/3)*COS($K$63)))),($H56*'Alternative 3'!$B$39))))</f>
        <v>#VALUE!</v>
      </c>
      <c r="BD56" s="78" t="e">
        <f>BB56*'Alternative 3'!$K57/'Alternative 3'!$L57</f>
        <v>#VALUE!</v>
      </c>
      <c r="BE56" s="78" t="e">
        <f>BC56/'Alternative 3'!$M57</f>
        <v>#VALUE!</v>
      </c>
      <c r="BF56" s="78" t="e">
        <f t="shared" si="8"/>
        <v>#VALUE!</v>
      </c>
      <c r="BH56" s="78" t="e">
        <f>'Alternative 3'!$B$39*$B56*$C56*COS($K$73)-($N$72/3)*$E56*SIN($K$73)-($N$72/3)*$F56*SIN($K$73)-($N$72/3)*$G56*SIN($K$73)</f>
        <v>#VALUE!</v>
      </c>
      <c r="BI56" s="79" t="e">
        <f>IF(($A56&lt;'Alternative 3'!$B$27),(($H56*'Alternative 3'!$B$39)+(3*($N$72/3)*COS($K$73))),IF(($A56&lt;'Alternative 3'!$B$28),(($H56*'Alternative 3'!$B$39)+(2*(($N$72/3)*COS($K$73)))),IF(($A56&lt;'Alternative 3'!$B$29),(($H$3*'Alternative 3'!$B$39+(($N$72/3)*COS($K$73)))),($H56*'Alternative 3'!$B$39))))</f>
        <v>#VALUE!</v>
      </c>
      <c r="BJ56" s="78" t="e">
        <f>BH56*'Alternative 3'!$K57/'Alternative 3'!$L57</f>
        <v>#VALUE!</v>
      </c>
      <c r="BK56" s="78" t="e">
        <f>BI56/'Alternative 3'!$M57</f>
        <v>#VALUE!</v>
      </c>
      <c r="BL56" s="78" t="e">
        <f t="shared" si="9"/>
        <v>#VALUE!</v>
      </c>
      <c r="BN56" s="78" t="e">
        <f>'Alternative 3'!$B$39*$B56*$C56*COS($K$83)-($N$82/3)*$E56*SIN($K$83)-($N$82/3)*$F56*SIN($K$83)-($N$82/3)*$G56*SIN($K$83)</f>
        <v>#VALUE!</v>
      </c>
      <c r="BO56" s="79" t="e">
        <f>IF(($A56&lt;'Alternative 3'!$B$27),(($H56*'Alternative 3'!$B$39)+(3*($N$82/3)*COS($K$83))),IF(($A56&lt;'Alternative 3'!$B$28),(($H56*'Alternative 3'!$B$39)+(2*(($N$82/3)*COS($K$83)))),IF(($A56&lt;'Alternative 3'!$B$29),(($H$3*'Alternative 3'!$B$39+(($N$82/3)*COS($K$83)))),($H56*'Alternative 3'!$B$39))))</f>
        <v>#VALUE!</v>
      </c>
      <c r="BP56" s="78" t="e">
        <f>BN56*'Alternative 3'!$K57/'Alternative 3'!$L57</f>
        <v>#VALUE!</v>
      </c>
      <c r="BQ56" s="78" t="e">
        <f>BO56/'Alternative 3'!$M57</f>
        <v>#VALUE!</v>
      </c>
      <c r="BR56" s="78" t="e">
        <f t="shared" si="10"/>
        <v>#VALUE!</v>
      </c>
      <c r="BT56" s="78" t="e">
        <f>'Alternative 3'!$B$39*$B56*$C56*COS($K$93)-($K$92/3)*$E56*SIN($K$93)-($K$92/3)*$F56*SIN($K$93)-($K$92/3)*$G56*SIN($K$93)</f>
        <v>#VALUE!</v>
      </c>
      <c r="BU56" s="79" t="e">
        <f>IF(($A56&lt;'Alternative 3'!$B$27),(($H56*'Alternative 3'!$B$39)+(3*($N$92/3)*COS($K$93))),IF(($A56&lt;'Alternative 3'!$B$28),(($H56*'Alternative 3'!$B$39)+(2*(($N$92/3)*COS($K$93)))),IF(($A56&lt;'Alternative 3'!$B$29),(($H$3*'Alternative 3'!$B$39+(($N$92/3)*COS($K$93)))),($H56*'Alternative 3'!$B$39))))</f>
        <v>#VALUE!</v>
      </c>
      <c r="BV56" s="78" t="e">
        <f>BT56*'Alternative 3'!$K57/'Alternative 3'!$L57</f>
        <v>#VALUE!</v>
      </c>
      <c r="BW56" s="78" t="e">
        <f>BU56/'Alternative 3'!$M57</f>
        <v>#VALUE!</v>
      </c>
      <c r="BX56" s="78" t="e">
        <f t="shared" si="11"/>
        <v>#VALUE!</v>
      </c>
      <c r="BZ56" s="77">
        <v>150</v>
      </c>
      <c r="CA56" s="77">
        <v>-150</v>
      </c>
    </row>
    <row r="57" spans="1:79" ht="15" customHeight="1" x14ac:dyDescent="0.25">
      <c r="A57" s="13" t="str">
        <f>IF('Alternative 3'!F58&gt;0,'Alternative 3'!F58,"x")</f>
        <v>x</v>
      </c>
      <c r="B57" s="13" t="e">
        <f t="shared" si="17"/>
        <v>#VALUE!</v>
      </c>
      <c r="C57" s="13">
        <f t="shared" si="12"/>
        <v>0</v>
      </c>
      <c r="D57" s="13" t="str">
        <f t="shared" si="13"/>
        <v>x</v>
      </c>
      <c r="E57" s="74">
        <f>IF($A57&lt;='Alternative 3'!$B$27, IF($A57='Alternative 3'!$B$27,0,E58+1),0)</f>
        <v>0</v>
      </c>
      <c r="F57" s="74">
        <f>IF($A57&lt;=('Alternative 3'!$B$28), IF($A57=ROUNDDOWN('Alternative 3'!$B$28,0),0,F58+1),0)</f>
        <v>0</v>
      </c>
      <c r="G57" s="74">
        <f>IF($A57&lt;=('Alternative 3'!$B$29), IF($A57=ROUNDDOWN('Alternative 3'!$B$29,0),0,G58+1),0)</f>
        <v>0</v>
      </c>
      <c r="H57" s="13" t="e">
        <f t="shared" si="14"/>
        <v>#VALUE!</v>
      </c>
      <c r="J57" s="77">
        <f t="shared" si="15"/>
        <v>54</v>
      </c>
      <c r="K57" s="77">
        <f t="shared" si="16"/>
        <v>0.94247779607693793</v>
      </c>
      <c r="L57" s="78">
        <f>'Alternative 3'!$B$27*SIN(K57)+'Alternative 3'!$B$28*SIN(K57)+'Alternative 3'!$B$29*SIN(K57)</f>
        <v>55.013155617496423</v>
      </c>
      <c r="M57" s="77">
        <f>(('Alternative 3'!$B$27)*(((('Alternative 3'!$B$28-'Alternative 3'!$B$27)/2)+'Alternative 3'!$B$27)*'Alternative 3'!$B$39)*COS('Alternative 3-Tilt Up'!K57))+(('Alternative 3'!$B$28)*((('Alternative 3'!$B$28-'Alternative 3'!$B$27)/2)+(('Alternative 3'!$B$29-'Alternative 3'!$B$28)/2))*('Alternative 3'!$B$39)*COS('Alternative 3-Tilt Up'!K57))+(('Alternative 3'!$B$29)*((('Alternative 3'!$B$12-'Alternative 3'!$B$29+(('Alternative 3'!$B$29-'Alternative 3'!$B$28)/2)*('Alternative 3'!$B$39)*COS('Alternative 3-Tilt Up'!K57)))))</f>
        <v>2789775.530161316</v>
      </c>
      <c r="N57" s="77">
        <f t="shared" si="0"/>
        <v>152133.18517256918</v>
      </c>
      <c r="O57" s="77">
        <f>(((('Alternative 3'!$B$28-'Alternative 3'!$B$27)/2)+'Alternative 3'!$B$27)*('Alternative 3'!$B$39)*COS('Alternative 3-Tilt Up'!K57))+(((('Alternative 3'!$B$28-'Alternative 3'!$B$27)/2)+(('Alternative 3'!$B$29-'Alternative 3'!$B$28)/2))*('Alternative 3'!$B$39)*COS('Alternative 3-Tilt Up'!K57))+(((('Alternative 3'!$B$12-'Alternative 3'!$B$29)+(('Alternative 3'!$B$29-'Alternative 3'!$B$28)/2))*('Alternative 3'!$B$39)*COS('Alternative 3-Tilt Up'!K57)))</f>
        <v>179932.76654733071</v>
      </c>
      <c r="P57" s="77">
        <f t="shared" si="1"/>
        <v>89421.642628716116</v>
      </c>
      <c r="R57" s="78" t="e">
        <f>'Alternative 3'!$B$39*$B57*$C57*COS($K$5)-($N$5/3)*$E57*SIN($K$5)-($N$5/3)*$F57*SIN($K$5)-($N$5/3)*$G57*SIN($K$5)</f>
        <v>#VALUE!</v>
      </c>
      <c r="S57" s="79" t="e">
        <f>IF(($A57&lt;'Alternative 3'!$B$27),(($H57*'Alternative 3'!$B$39)+(3*($N$5/3)*COS($K$5))),IF(($A57&lt;'Alternative 3'!$B$28),(($H57*'Alternative 3'!$B$39)+(2*(($N$5/3)*COS($K$5)))),IF(($A57&lt;'Alternative 3'!$B$29),(($H$3*'Alternative 3'!$B$39+(($N$5/3)*COS($K$5)))),($H57*'Alternative 3'!$B$39))))</f>
        <v>#VALUE!</v>
      </c>
      <c r="T57" s="78" t="e">
        <f>R57*'Alternative 3'!$K58/'Alternative 3'!$L58</f>
        <v>#VALUE!</v>
      </c>
      <c r="U57" s="78" t="e">
        <f>S57/'Alternative 3'!$M58</f>
        <v>#VALUE!</v>
      </c>
      <c r="V57" s="78" t="e">
        <f t="shared" si="2"/>
        <v>#VALUE!</v>
      </c>
      <c r="X57" s="78" t="e">
        <f>'Alternative 3'!$B$39*$B57*$C57*COS($K$13)-($N$12/3)*$E57*SIN($K$13)-($N$12/3)*$F57*SIN($K$13)-($N$12/3)*$G57*SIN($K$13)</f>
        <v>#VALUE!</v>
      </c>
      <c r="Y57" s="79" t="e">
        <f>IF(($A57&lt;'Alternative 3'!$B$27),(($H57*'Alternative 3'!$B$39)+(3*($N$12/3)*COS($K$13))),IF(($A57&lt;'Alternative 3'!$B$28),(($H57*'Alternative 3'!$B$39)+(2*(($N$12/3)*COS($K$13)))),IF(($A57&lt;'Alternative 3'!$B$29),(($H$3*'Alternative 3'!$B$39+(($N$12/3)*COS($K$13)))),($H57*'Alternative 3'!$B$39))))</f>
        <v>#VALUE!</v>
      </c>
      <c r="Z57" s="78" t="e">
        <f>X57*'Alternative 3'!$K58/'Alternative 3'!$L58</f>
        <v>#VALUE!</v>
      </c>
      <c r="AA57" s="78" t="e">
        <f>Y57/'Alternative 3'!$M58</f>
        <v>#VALUE!</v>
      </c>
      <c r="AB57" s="78" t="e">
        <f t="shared" si="3"/>
        <v>#VALUE!</v>
      </c>
      <c r="AD57" s="78" t="e">
        <f>'Alternative 3'!$B$39*$B57*$C57*COS($K$23)-($N$22/3)*$E57*SIN($K$23)-($N$22/3)*$F57*SIN($K$23)-($N$22/3)*$G57*SIN($K$23)</f>
        <v>#VALUE!</v>
      </c>
      <c r="AE57" s="79" t="e">
        <f>IF(($A57&lt;'Alternative 3'!$B$27),(($H57*'Alternative 3'!$B$39)+(3*($N$22/3)*COS($K$23))),IF(($A57&lt;'Alternative 3'!$B$28),(($H57*'Alternative 3'!$B$39)+(2*(($N$22/3)*COS($K$23)))),IF(($A57&lt;'Alternative 3'!$B$29),(($H$3*'Alternative 3'!$B$39+(($N$22/3)*COS($K$23)))),($H57*'Alternative 3'!$B$39))))</f>
        <v>#VALUE!</v>
      </c>
      <c r="AF57" s="78" t="e">
        <f>AD57*'Alternative 3'!$K58/'Alternative 3'!$L58</f>
        <v>#VALUE!</v>
      </c>
      <c r="AG57" s="78" t="e">
        <f>AE57/'Alternative 3'!$M58</f>
        <v>#VALUE!</v>
      </c>
      <c r="AH57" s="78" t="e">
        <f t="shared" si="4"/>
        <v>#VALUE!</v>
      </c>
      <c r="AJ57" s="78" t="e">
        <f>'Alternative 3'!$B$39*$B57*$C57*COS($K$33)-($N$32/3)*$E57*SIN($K$33)-($N$32/3)*$F57*SIN($K$33)-($N$32/3)*$G57*SIN($K$33)</f>
        <v>#VALUE!</v>
      </c>
      <c r="AK57" s="79" t="e">
        <f>IF(($A57&lt;'Alternative 3'!$B$27),(($H57*'Alternative 3'!$B$39)+(3*($N$32/3)*COS($K$33))),IF(($A57&lt;'Alternative 3'!$B$28),(($H57*'Alternative 3'!$B$39)+(2*(($N$32/3)*COS($K$33)))),IF(($A57&lt;'Alternative 3'!$B$29),(($H$3*'Alternative 3'!$B$39+(($N$32/3)*COS($K$33)))),($H57*'Alternative 3'!$B$39))))</f>
        <v>#VALUE!</v>
      </c>
      <c r="AL57" s="78" t="e">
        <f>AJ57*'Alternative 3'!$K58/'Alternative 3'!$L58</f>
        <v>#VALUE!</v>
      </c>
      <c r="AM57" s="78" t="e">
        <f>AK57/'Alternative 3'!$M58</f>
        <v>#VALUE!</v>
      </c>
      <c r="AN57" s="78" t="e">
        <f t="shared" si="5"/>
        <v>#VALUE!</v>
      </c>
      <c r="AP57" s="78" t="e">
        <f>'Alternative 3'!$B$39*$B57*$C57*COS($K$43)-($N$42/3)*$E57*SIN($K$43)-($N$42/3)*$F57*SIN($K$43)-($N$42/3)*$G57*SIN($K$43)</f>
        <v>#VALUE!</v>
      </c>
      <c r="AQ57" s="79" t="e">
        <f>IF(($A57&lt;'Alternative 3'!$B$27),(($H57*'Alternative 3'!$B$39)+(3*($N$42/3)*COS($K$43))),IF(($A57&lt;'Alternative 3'!$B$28),(($H57*'Alternative 3'!$B$39)+(2*(($N$42/3)*COS($K$43)))),IF(($A57&lt;'Alternative 3'!$B$29),(($H$3*'Alternative 3'!$B$39+(($N$42/3)*COS($K$43)))),($H57*'Alternative 3'!$B$39))))</f>
        <v>#VALUE!</v>
      </c>
      <c r="AR57" s="78" t="e">
        <f>AP57*'Alternative 3'!$K58/'Alternative 3'!$L58</f>
        <v>#VALUE!</v>
      </c>
      <c r="AS57" s="78" t="e">
        <f>AQ57/'Alternative 3'!$M58</f>
        <v>#VALUE!</v>
      </c>
      <c r="AT57" s="78" t="e">
        <f t="shared" si="6"/>
        <v>#VALUE!</v>
      </c>
      <c r="AV57" s="78" t="e">
        <f>'Alternative 3'!$B$39*$B57*$C57*COS($K$53)-($N$52/3)*$E57*SIN($K$53)-($N$52/3)*$F57*SIN($K$53)-($N$52/3)*$G57*SIN($K$53)</f>
        <v>#VALUE!</v>
      </c>
      <c r="AW57" s="79" t="e">
        <f>IF(($A57&lt;'Alternative 3'!$B$27),(($H57*'Alternative 3'!$B$39)+(3*($N$52/3)*COS($K$53))),IF(($A57&lt;'Alternative 3'!$B$28),(($H57*'Alternative 3'!$B$39)+(2*(($N$52/3)*COS($K$53)))),IF(($A57&lt;'Alternative 3'!$B$29),(($H$3*'Alternative 3'!$B$39+(($N$52/3)*COS($K$53)))),($H57*'Alternative 3'!$B$39))))</f>
        <v>#VALUE!</v>
      </c>
      <c r="AX57" s="78" t="e">
        <f>AV57*'Alternative 3'!$K58/'Alternative 3'!$L58</f>
        <v>#VALUE!</v>
      </c>
      <c r="AY57" s="78" t="e">
        <f>AW57/'Alternative 3'!$M58</f>
        <v>#VALUE!</v>
      </c>
      <c r="AZ57" s="78" t="e">
        <f t="shared" si="7"/>
        <v>#VALUE!</v>
      </c>
      <c r="BB57" s="78" t="e">
        <f>'Alternative 3'!$B$39*$B57*$C57*COS($K$63)-($N$62/3)*$E57*SIN($K$63)-($N$62/3)*$F57*SIN($K$63)-($N$62/3)*$G57*SIN($K$63)</f>
        <v>#VALUE!</v>
      </c>
      <c r="BC57" s="79" t="e">
        <f>IF(($A57&lt;'Alternative 3'!$B$27),(($H57*'Alternative 3'!$B$39)+(3*($N$62/3)*COS($K$63))),IF(($A57&lt;'Alternative 3'!$B$28),(($H57*'Alternative 3'!$B$39)+(2*(($N$62/3)*COS($K$63)))),IF(($A57&lt;'Alternative 3'!$B$29),(($H$3*'Alternative 3'!$B$39+(($N$62/3)*COS($K$63)))),($H57*'Alternative 3'!$B$39))))</f>
        <v>#VALUE!</v>
      </c>
      <c r="BD57" s="78" t="e">
        <f>BB57*'Alternative 3'!$K58/'Alternative 3'!$L58</f>
        <v>#VALUE!</v>
      </c>
      <c r="BE57" s="78" t="e">
        <f>BC57/'Alternative 3'!$M58</f>
        <v>#VALUE!</v>
      </c>
      <c r="BF57" s="78" t="e">
        <f t="shared" si="8"/>
        <v>#VALUE!</v>
      </c>
      <c r="BH57" s="78" t="e">
        <f>'Alternative 3'!$B$39*$B57*$C57*COS($K$73)-($N$72/3)*$E57*SIN($K$73)-($N$72/3)*$F57*SIN($K$73)-($N$72/3)*$G57*SIN($K$73)</f>
        <v>#VALUE!</v>
      </c>
      <c r="BI57" s="79" t="e">
        <f>IF(($A57&lt;'Alternative 3'!$B$27),(($H57*'Alternative 3'!$B$39)+(3*($N$72/3)*COS($K$73))),IF(($A57&lt;'Alternative 3'!$B$28),(($H57*'Alternative 3'!$B$39)+(2*(($N$72/3)*COS($K$73)))),IF(($A57&lt;'Alternative 3'!$B$29),(($H$3*'Alternative 3'!$B$39+(($N$72/3)*COS($K$73)))),($H57*'Alternative 3'!$B$39))))</f>
        <v>#VALUE!</v>
      </c>
      <c r="BJ57" s="78" t="e">
        <f>BH57*'Alternative 3'!$K58/'Alternative 3'!$L58</f>
        <v>#VALUE!</v>
      </c>
      <c r="BK57" s="78" t="e">
        <f>BI57/'Alternative 3'!$M58</f>
        <v>#VALUE!</v>
      </c>
      <c r="BL57" s="78" t="e">
        <f t="shared" si="9"/>
        <v>#VALUE!</v>
      </c>
      <c r="BN57" s="78" t="e">
        <f>'Alternative 3'!$B$39*$B57*$C57*COS($K$83)-($N$82/3)*$E57*SIN($K$83)-($N$82/3)*$F57*SIN($K$83)-($N$82/3)*$G57*SIN($K$83)</f>
        <v>#VALUE!</v>
      </c>
      <c r="BO57" s="79" t="e">
        <f>IF(($A57&lt;'Alternative 3'!$B$27),(($H57*'Alternative 3'!$B$39)+(3*($N$82/3)*COS($K$83))),IF(($A57&lt;'Alternative 3'!$B$28),(($H57*'Alternative 3'!$B$39)+(2*(($N$82/3)*COS($K$83)))),IF(($A57&lt;'Alternative 3'!$B$29),(($H$3*'Alternative 3'!$B$39+(($N$82/3)*COS($K$83)))),($H57*'Alternative 3'!$B$39))))</f>
        <v>#VALUE!</v>
      </c>
      <c r="BP57" s="78" t="e">
        <f>BN57*'Alternative 3'!$K58/'Alternative 3'!$L58</f>
        <v>#VALUE!</v>
      </c>
      <c r="BQ57" s="78" t="e">
        <f>BO57/'Alternative 3'!$M58</f>
        <v>#VALUE!</v>
      </c>
      <c r="BR57" s="78" t="e">
        <f t="shared" si="10"/>
        <v>#VALUE!</v>
      </c>
      <c r="BT57" s="78" t="e">
        <f>'Alternative 3'!$B$39*$B57*$C57*COS($K$93)-($K$92/3)*$E57*SIN($K$93)-($K$92/3)*$F57*SIN($K$93)-($K$92/3)*$G57*SIN($K$93)</f>
        <v>#VALUE!</v>
      </c>
      <c r="BU57" s="79" t="e">
        <f>IF(($A57&lt;'Alternative 3'!$B$27),(($H57*'Alternative 3'!$B$39)+(3*($N$92/3)*COS($K$93))),IF(($A57&lt;'Alternative 3'!$B$28),(($H57*'Alternative 3'!$B$39)+(2*(($N$92/3)*COS($K$93)))),IF(($A57&lt;'Alternative 3'!$B$29),(($H$3*'Alternative 3'!$B$39+(($N$92/3)*COS($K$93)))),($H57*'Alternative 3'!$B$39))))</f>
        <v>#VALUE!</v>
      </c>
      <c r="BV57" s="78" t="e">
        <f>BT57*'Alternative 3'!$K58/'Alternative 3'!$L58</f>
        <v>#VALUE!</v>
      </c>
      <c r="BW57" s="78" t="e">
        <f>BU57/'Alternative 3'!$M58</f>
        <v>#VALUE!</v>
      </c>
      <c r="BX57" s="78" t="e">
        <f t="shared" si="11"/>
        <v>#VALUE!</v>
      </c>
      <c r="BZ57" s="77">
        <v>150</v>
      </c>
      <c r="CA57" s="77">
        <v>-150</v>
      </c>
    </row>
    <row r="58" spans="1:79" ht="15" customHeight="1" x14ac:dyDescent="0.25">
      <c r="A58" s="13" t="str">
        <f>IF('Alternative 3'!F59&gt;0,'Alternative 3'!F59,"x")</f>
        <v>x</v>
      </c>
      <c r="B58" s="13" t="e">
        <f t="shared" si="17"/>
        <v>#VALUE!</v>
      </c>
      <c r="C58" s="13">
        <f t="shared" si="12"/>
        <v>0</v>
      </c>
      <c r="D58" s="13" t="str">
        <f t="shared" si="13"/>
        <v>x</v>
      </c>
      <c r="E58" s="74">
        <f>IF($A58&lt;='Alternative 3'!$B$27, IF($A58='Alternative 3'!$B$27,0,E59+1),0)</f>
        <v>0</v>
      </c>
      <c r="F58" s="74">
        <f>IF($A58&lt;=('Alternative 3'!$B$28), IF($A58=ROUNDDOWN('Alternative 3'!$B$28,0),0,F59+1),0)</f>
        <v>0</v>
      </c>
      <c r="G58" s="74">
        <f>IF($A58&lt;=('Alternative 3'!$B$29), IF($A58=ROUNDDOWN('Alternative 3'!$B$29,0),0,G59+1),0)</f>
        <v>0</v>
      </c>
      <c r="H58" s="13" t="e">
        <f t="shared" si="14"/>
        <v>#VALUE!</v>
      </c>
      <c r="J58" s="77">
        <f t="shared" si="15"/>
        <v>55</v>
      </c>
      <c r="K58" s="77">
        <f t="shared" si="16"/>
        <v>0.95993108859688125</v>
      </c>
      <c r="L58" s="78">
        <f>'Alternative 3'!$B$27*SIN(K58)+'Alternative 3'!$B$28*SIN(K58)+'Alternative 3'!$B$29*SIN(K58)</f>
        <v>55.702339011651446</v>
      </c>
      <c r="M58" s="77">
        <f>(('Alternative 3'!$B$27)*(((('Alternative 3'!$B$28-'Alternative 3'!$B$27)/2)+'Alternative 3'!$B$27)*'Alternative 3'!$B$39)*COS('Alternative 3-Tilt Up'!K58))+(('Alternative 3'!$B$28)*((('Alternative 3'!$B$28-'Alternative 3'!$B$27)/2)+(('Alternative 3'!$B$29-'Alternative 3'!$B$28)/2))*('Alternative 3'!$B$39)*COS('Alternative 3-Tilt Up'!K58))+(('Alternative 3'!$B$29)*((('Alternative 3'!$B$12-'Alternative 3'!$B$29+(('Alternative 3'!$B$29-'Alternative 3'!$B$28)/2)*('Alternative 3'!$B$39)*COS('Alternative 3-Tilt Up'!K58)))))</f>
        <v>2722341.6719876439</v>
      </c>
      <c r="N58" s="77">
        <f t="shared" si="0"/>
        <v>146619.06772450989</v>
      </c>
      <c r="O58" s="77">
        <f>(((('Alternative 3'!$B$28-'Alternative 3'!$B$27)/2)+'Alternative 3'!$B$27)*('Alternative 3'!$B$39)*COS('Alternative 3-Tilt Up'!K58))+(((('Alternative 3'!$B$28-'Alternative 3'!$B$27)/2)+(('Alternative 3'!$B$29-'Alternative 3'!$B$28)/2))*('Alternative 3'!$B$39)*COS('Alternative 3-Tilt Up'!K58))+(((('Alternative 3'!$B$12-'Alternative 3'!$B$29)+(('Alternative 3'!$B$29-'Alternative 3'!$B$28)/2))*('Alternative 3'!$B$39)*COS('Alternative 3-Tilt Up'!K58)))</f>
        <v>175583.16513808913</v>
      </c>
      <c r="P58" s="77">
        <f t="shared" si="1"/>
        <v>84097.242366537073</v>
      </c>
      <c r="R58" s="78" t="e">
        <f>'Alternative 3'!$B$39*$B58*$C58*COS($K$5)-($N$5/3)*$E58*SIN($K$5)-($N$5/3)*$F58*SIN($K$5)-($N$5/3)*$G58*SIN($K$5)</f>
        <v>#VALUE!</v>
      </c>
      <c r="S58" s="79" t="e">
        <f>IF(($A58&lt;'Alternative 3'!$B$27),(($H58*'Alternative 3'!$B$39)+(3*($N$5/3)*COS($K$5))),IF(($A58&lt;'Alternative 3'!$B$28),(($H58*'Alternative 3'!$B$39)+(2*(($N$5/3)*COS($K$5)))),IF(($A58&lt;'Alternative 3'!$B$29),(($H$3*'Alternative 3'!$B$39+(($N$5/3)*COS($K$5)))),($H58*'Alternative 3'!$B$39))))</f>
        <v>#VALUE!</v>
      </c>
      <c r="T58" s="78" t="e">
        <f>R58*'Alternative 3'!$K59/'Alternative 3'!$L59</f>
        <v>#VALUE!</v>
      </c>
      <c r="U58" s="78" t="e">
        <f>S58/'Alternative 3'!$M59</f>
        <v>#VALUE!</v>
      </c>
      <c r="V58" s="78" t="e">
        <f t="shared" si="2"/>
        <v>#VALUE!</v>
      </c>
      <c r="X58" s="78" t="e">
        <f>'Alternative 3'!$B$39*$B58*$C58*COS($K$13)-($N$12/3)*$E58*SIN($K$13)-($N$12/3)*$F58*SIN($K$13)-($N$12/3)*$G58*SIN($K$13)</f>
        <v>#VALUE!</v>
      </c>
      <c r="Y58" s="79" t="e">
        <f>IF(($A58&lt;'Alternative 3'!$B$27),(($H58*'Alternative 3'!$B$39)+(3*($N$12/3)*COS($K$13))),IF(($A58&lt;'Alternative 3'!$B$28),(($H58*'Alternative 3'!$B$39)+(2*(($N$12/3)*COS($K$13)))),IF(($A58&lt;'Alternative 3'!$B$29),(($H$3*'Alternative 3'!$B$39+(($N$12/3)*COS($K$13)))),($H58*'Alternative 3'!$B$39))))</f>
        <v>#VALUE!</v>
      </c>
      <c r="Z58" s="78" t="e">
        <f>X58*'Alternative 3'!$K59/'Alternative 3'!$L59</f>
        <v>#VALUE!</v>
      </c>
      <c r="AA58" s="78" t="e">
        <f>Y58/'Alternative 3'!$M59</f>
        <v>#VALUE!</v>
      </c>
      <c r="AB58" s="78" t="e">
        <f t="shared" si="3"/>
        <v>#VALUE!</v>
      </c>
      <c r="AD58" s="78" t="e">
        <f>'Alternative 3'!$B$39*$B58*$C58*COS($K$23)-($N$22/3)*$E58*SIN($K$23)-($N$22/3)*$F58*SIN($K$23)-($N$22/3)*$G58*SIN($K$23)</f>
        <v>#VALUE!</v>
      </c>
      <c r="AE58" s="79" t="e">
        <f>IF(($A58&lt;'Alternative 3'!$B$27),(($H58*'Alternative 3'!$B$39)+(3*($N$22/3)*COS($K$23))),IF(($A58&lt;'Alternative 3'!$B$28),(($H58*'Alternative 3'!$B$39)+(2*(($N$22/3)*COS($K$23)))),IF(($A58&lt;'Alternative 3'!$B$29),(($H$3*'Alternative 3'!$B$39+(($N$22/3)*COS($K$23)))),($H58*'Alternative 3'!$B$39))))</f>
        <v>#VALUE!</v>
      </c>
      <c r="AF58" s="78" t="e">
        <f>AD58*'Alternative 3'!$K59/'Alternative 3'!$L59</f>
        <v>#VALUE!</v>
      </c>
      <c r="AG58" s="78" t="e">
        <f>AE58/'Alternative 3'!$M59</f>
        <v>#VALUE!</v>
      </c>
      <c r="AH58" s="78" t="e">
        <f t="shared" si="4"/>
        <v>#VALUE!</v>
      </c>
      <c r="AJ58" s="78" t="e">
        <f>'Alternative 3'!$B$39*$B58*$C58*COS($K$33)-($N$32/3)*$E58*SIN($K$33)-($N$32/3)*$F58*SIN($K$33)-($N$32/3)*$G58*SIN($K$33)</f>
        <v>#VALUE!</v>
      </c>
      <c r="AK58" s="79" t="e">
        <f>IF(($A58&lt;'Alternative 3'!$B$27),(($H58*'Alternative 3'!$B$39)+(3*($N$32/3)*COS($K$33))),IF(($A58&lt;'Alternative 3'!$B$28),(($H58*'Alternative 3'!$B$39)+(2*(($N$32/3)*COS($K$33)))),IF(($A58&lt;'Alternative 3'!$B$29),(($H$3*'Alternative 3'!$B$39+(($N$32/3)*COS($K$33)))),($H58*'Alternative 3'!$B$39))))</f>
        <v>#VALUE!</v>
      </c>
      <c r="AL58" s="78" t="e">
        <f>AJ58*'Alternative 3'!$K59/'Alternative 3'!$L59</f>
        <v>#VALUE!</v>
      </c>
      <c r="AM58" s="78" t="e">
        <f>AK58/'Alternative 3'!$M59</f>
        <v>#VALUE!</v>
      </c>
      <c r="AN58" s="78" t="e">
        <f t="shared" si="5"/>
        <v>#VALUE!</v>
      </c>
      <c r="AP58" s="78" t="e">
        <f>'Alternative 3'!$B$39*$B58*$C58*COS($K$43)-($N$42/3)*$E58*SIN($K$43)-($N$42/3)*$F58*SIN($K$43)-($N$42/3)*$G58*SIN($K$43)</f>
        <v>#VALUE!</v>
      </c>
      <c r="AQ58" s="79" t="e">
        <f>IF(($A58&lt;'Alternative 3'!$B$27),(($H58*'Alternative 3'!$B$39)+(3*($N$42/3)*COS($K$43))),IF(($A58&lt;'Alternative 3'!$B$28),(($H58*'Alternative 3'!$B$39)+(2*(($N$42/3)*COS($K$43)))),IF(($A58&lt;'Alternative 3'!$B$29),(($H$3*'Alternative 3'!$B$39+(($N$42/3)*COS($K$43)))),($H58*'Alternative 3'!$B$39))))</f>
        <v>#VALUE!</v>
      </c>
      <c r="AR58" s="78" t="e">
        <f>AP58*'Alternative 3'!$K59/'Alternative 3'!$L59</f>
        <v>#VALUE!</v>
      </c>
      <c r="AS58" s="78" t="e">
        <f>AQ58/'Alternative 3'!$M59</f>
        <v>#VALUE!</v>
      </c>
      <c r="AT58" s="78" t="e">
        <f t="shared" si="6"/>
        <v>#VALUE!</v>
      </c>
      <c r="AV58" s="78" t="e">
        <f>'Alternative 3'!$B$39*$B58*$C58*COS($K$53)-($N$52/3)*$E58*SIN($K$53)-($N$52/3)*$F58*SIN($K$53)-($N$52/3)*$G58*SIN($K$53)</f>
        <v>#VALUE!</v>
      </c>
      <c r="AW58" s="79" t="e">
        <f>IF(($A58&lt;'Alternative 3'!$B$27),(($H58*'Alternative 3'!$B$39)+(3*($N$52/3)*COS($K$53))),IF(($A58&lt;'Alternative 3'!$B$28),(($H58*'Alternative 3'!$B$39)+(2*(($N$52/3)*COS($K$53)))),IF(($A58&lt;'Alternative 3'!$B$29),(($H$3*'Alternative 3'!$B$39+(($N$52/3)*COS($K$53)))),($H58*'Alternative 3'!$B$39))))</f>
        <v>#VALUE!</v>
      </c>
      <c r="AX58" s="78" t="e">
        <f>AV58*'Alternative 3'!$K59/'Alternative 3'!$L59</f>
        <v>#VALUE!</v>
      </c>
      <c r="AY58" s="78" t="e">
        <f>AW58/'Alternative 3'!$M59</f>
        <v>#VALUE!</v>
      </c>
      <c r="AZ58" s="78" t="e">
        <f t="shared" si="7"/>
        <v>#VALUE!</v>
      </c>
      <c r="BB58" s="78" t="e">
        <f>'Alternative 3'!$B$39*$B58*$C58*COS($K$63)-($N$62/3)*$E58*SIN($K$63)-($N$62/3)*$F58*SIN($K$63)-($N$62/3)*$G58*SIN($K$63)</f>
        <v>#VALUE!</v>
      </c>
      <c r="BC58" s="79" t="e">
        <f>IF(($A58&lt;'Alternative 3'!$B$27),(($H58*'Alternative 3'!$B$39)+(3*($N$62/3)*COS($K$63))),IF(($A58&lt;'Alternative 3'!$B$28),(($H58*'Alternative 3'!$B$39)+(2*(($N$62/3)*COS($K$63)))),IF(($A58&lt;'Alternative 3'!$B$29),(($H$3*'Alternative 3'!$B$39+(($N$62/3)*COS($K$63)))),($H58*'Alternative 3'!$B$39))))</f>
        <v>#VALUE!</v>
      </c>
      <c r="BD58" s="78" t="e">
        <f>BB58*'Alternative 3'!$K59/'Alternative 3'!$L59</f>
        <v>#VALUE!</v>
      </c>
      <c r="BE58" s="78" t="e">
        <f>BC58/'Alternative 3'!$M59</f>
        <v>#VALUE!</v>
      </c>
      <c r="BF58" s="78" t="e">
        <f t="shared" si="8"/>
        <v>#VALUE!</v>
      </c>
      <c r="BH58" s="78" t="e">
        <f>'Alternative 3'!$B$39*$B58*$C58*COS($K$73)-($N$72/3)*$E58*SIN($K$73)-($N$72/3)*$F58*SIN($K$73)-($N$72/3)*$G58*SIN($K$73)</f>
        <v>#VALUE!</v>
      </c>
      <c r="BI58" s="79" t="e">
        <f>IF(($A58&lt;'Alternative 3'!$B$27),(($H58*'Alternative 3'!$B$39)+(3*($N$72/3)*COS($K$73))),IF(($A58&lt;'Alternative 3'!$B$28),(($H58*'Alternative 3'!$B$39)+(2*(($N$72/3)*COS($K$73)))),IF(($A58&lt;'Alternative 3'!$B$29),(($H$3*'Alternative 3'!$B$39+(($N$72/3)*COS($K$73)))),($H58*'Alternative 3'!$B$39))))</f>
        <v>#VALUE!</v>
      </c>
      <c r="BJ58" s="78" t="e">
        <f>BH58*'Alternative 3'!$K59/'Alternative 3'!$L59</f>
        <v>#VALUE!</v>
      </c>
      <c r="BK58" s="78" t="e">
        <f>BI58/'Alternative 3'!$M59</f>
        <v>#VALUE!</v>
      </c>
      <c r="BL58" s="78" t="e">
        <f t="shared" si="9"/>
        <v>#VALUE!</v>
      </c>
      <c r="BN58" s="78" t="e">
        <f>'Alternative 3'!$B$39*$B58*$C58*COS($K$83)-($N$82/3)*$E58*SIN($K$83)-($N$82/3)*$F58*SIN($K$83)-($N$82/3)*$G58*SIN($K$83)</f>
        <v>#VALUE!</v>
      </c>
      <c r="BO58" s="79" t="e">
        <f>IF(($A58&lt;'Alternative 3'!$B$27),(($H58*'Alternative 3'!$B$39)+(3*($N$82/3)*COS($K$83))),IF(($A58&lt;'Alternative 3'!$B$28),(($H58*'Alternative 3'!$B$39)+(2*(($N$82/3)*COS($K$83)))),IF(($A58&lt;'Alternative 3'!$B$29),(($H$3*'Alternative 3'!$B$39+(($N$82/3)*COS($K$83)))),($H58*'Alternative 3'!$B$39))))</f>
        <v>#VALUE!</v>
      </c>
      <c r="BP58" s="78" t="e">
        <f>BN58*'Alternative 3'!$K59/'Alternative 3'!$L59</f>
        <v>#VALUE!</v>
      </c>
      <c r="BQ58" s="78" t="e">
        <f>BO58/'Alternative 3'!$M59</f>
        <v>#VALUE!</v>
      </c>
      <c r="BR58" s="78" t="e">
        <f t="shared" si="10"/>
        <v>#VALUE!</v>
      </c>
      <c r="BT58" s="78" t="e">
        <f>'Alternative 3'!$B$39*$B58*$C58*COS($K$93)-($K$92/3)*$E58*SIN($K$93)-($K$92/3)*$F58*SIN($K$93)-($K$92/3)*$G58*SIN($K$93)</f>
        <v>#VALUE!</v>
      </c>
      <c r="BU58" s="79" t="e">
        <f>IF(($A58&lt;'Alternative 3'!$B$27),(($H58*'Alternative 3'!$B$39)+(3*($N$92/3)*COS($K$93))),IF(($A58&lt;'Alternative 3'!$B$28),(($H58*'Alternative 3'!$B$39)+(2*(($N$92/3)*COS($K$93)))),IF(($A58&lt;'Alternative 3'!$B$29),(($H$3*'Alternative 3'!$B$39+(($N$92/3)*COS($K$93)))),($H58*'Alternative 3'!$B$39))))</f>
        <v>#VALUE!</v>
      </c>
      <c r="BV58" s="78" t="e">
        <f>BT58*'Alternative 3'!$K59/'Alternative 3'!$L59</f>
        <v>#VALUE!</v>
      </c>
      <c r="BW58" s="78" t="e">
        <f>BU58/'Alternative 3'!$M59</f>
        <v>#VALUE!</v>
      </c>
      <c r="BX58" s="78" t="e">
        <f t="shared" si="11"/>
        <v>#VALUE!</v>
      </c>
      <c r="BZ58" s="77">
        <v>150</v>
      </c>
      <c r="CA58" s="77">
        <v>-150</v>
      </c>
    </row>
    <row r="59" spans="1:79" ht="15" customHeight="1" x14ac:dyDescent="0.25">
      <c r="A59" s="13" t="str">
        <f>IF('Alternative 3'!F60&gt;0,'Alternative 3'!F60,"x")</f>
        <v>x</v>
      </c>
      <c r="B59" s="13" t="e">
        <f t="shared" si="17"/>
        <v>#VALUE!</v>
      </c>
      <c r="C59" s="13">
        <f t="shared" si="12"/>
        <v>0</v>
      </c>
      <c r="D59" s="13" t="str">
        <f t="shared" si="13"/>
        <v>x</v>
      </c>
      <c r="E59" s="74">
        <f>IF($A59&lt;='Alternative 3'!$B$27, IF($A59='Alternative 3'!$B$27,0,E60+1),0)</f>
        <v>0</v>
      </c>
      <c r="F59" s="74">
        <f>IF($A59&lt;=('Alternative 3'!$B$28), IF($A59=ROUNDDOWN('Alternative 3'!$B$28,0),0,F60+1),0)</f>
        <v>0</v>
      </c>
      <c r="G59" s="74">
        <f>IF($A59&lt;=('Alternative 3'!$B$29), IF($A59=ROUNDDOWN('Alternative 3'!$B$29,0),0,G60+1),0)</f>
        <v>0</v>
      </c>
      <c r="H59" s="13" t="e">
        <f t="shared" si="14"/>
        <v>#VALUE!</v>
      </c>
      <c r="J59" s="77">
        <f t="shared" si="15"/>
        <v>56</v>
      </c>
      <c r="K59" s="77">
        <f t="shared" si="16"/>
        <v>0.97738438111682457</v>
      </c>
      <c r="L59" s="78">
        <f>'Alternative 3'!$B$27*SIN(K59)+'Alternative 3'!$B$28*SIN(K59)+'Alternative 3'!$B$29*SIN(K59)</f>
        <v>56.374554933742843</v>
      </c>
      <c r="M59" s="77">
        <f>(('Alternative 3'!$B$27)*(((('Alternative 3'!$B$28-'Alternative 3'!$B$27)/2)+'Alternative 3'!$B$27)*'Alternative 3'!$B$39)*COS('Alternative 3-Tilt Up'!K59))+(('Alternative 3'!$B$28)*((('Alternative 3'!$B$28-'Alternative 3'!$B$27)/2)+(('Alternative 3'!$B$29-'Alternative 3'!$B$28)/2))*('Alternative 3'!$B$39)*COS('Alternative 3-Tilt Up'!K59))+(('Alternative 3'!$B$29)*((('Alternative 3'!$B$12-'Alternative 3'!$B$29+(('Alternative 3'!$B$29-'Alternative 3'!$B$28)/2)*('Alternative 3'!$B$39)*COS('Alternative 3-Tilt Up'!K59)))))</f>
        <v>2654078.6217598952</v>
      </c>
      <c r="N59" s="77">
        <f t="shared" si="0"/>
        <v>141238.11486649822</v>
      </c>
      <c r="O59" s="77">
        <f>(((('Alternative 3'!$B$28-'Alternative 3'!$B$27)/2)+'Alternative 3'!$B$27)*('Alternative 3'!$B$39)*COS('Alternative 3-Tilt Up'!K59))+(((('Alternative 3'!$B$28-'Alternative 3'!$B$27)/2)+(('Alternative 3'!$B$29-'Alternative 3'!$B$28)/2))*('Alternative 3'!$B$39)*COS('Alternative 3-Tilt Up'!K59))+(((('Alternative 3'!$B$12-'Alternative 3'!$B$29)+(('Alternative 3'!$B$29-'Alternative 3'!$B$28)/2))*('Alternative 3'!$B$39)*COS('Alternative 3-Tilt Up'!K59)))</f>
        <v>171180.07939583412</v>
      </c>
      <c r="P59" s="77">
        <f t="shared" si="1"/>
        <v>78979.351532931993</v>
      </c>
      <c r="R59" s="78" t="e">
        <f>'Alternative 3'!$B$39*$B59*$C59*COS($K$5)-($N$5/3)*$E59*SIN($K$5)-($N$5/3)*$F59*SIN($K$5)-($N$5/3)*$G59*SIN($K$5)</f>
        <v>#VALUE!</v>
      </c>
      <c r="S59" s="79" t="e">
        <f>IF(($A59&lt;'Alternative 3'!$B$27),(($H59*'Alternative 3'!$B$39)+(3*($N$5/3)*COS($K$5))),IF(($A59&lt;'Alternative 3'!$B$28),(($H59*'Alternative 3'!$B$39)+(2*(($N$5/3)*COS($K$5)))),IF(($A59&lt;'Alternative 3'!$B$29),(($H$3*'Alternative 3'!$B$39+(($N$5/3)*COS($K$5)))),($H59*'Alternative 3'!$B$39))))</f>
        <v>#VALUE!</v>
      </c>
      <c r="T59" s="78" t="e">
        <f>R59*'Alternative 3'!$K60/'Alternative 3'!$L60</f>
        <v>#VALUE!</v>
      </c>
      <c r="U59" s="78" t="e">
        <f>S59/'Alternative 3'!$M60</f>
        <v>#VALUE!</v>
      </c>
      <c r="V59" s="78" t="e">
        <f t="shared" si="2"/>
        <v>#VALUE!</v>
      </c>
      <c r="X59" s="78" t="e">
        <f>'Alternative 3'!$B$39*$B59*$C59*COS($K$13)-($N$12/3)*$E59*SIN($K$13)-($N$12/3)*$F59*SIN($K$13)-($N$12/3)*$G59*SIN($K$13)</f>
        <v>#VALUE!</v>
      </c>
      <c r="Y59" s="79" t="e">
        <f>IF(($A59&lt;'Alternative 3'!$B$27),(($H59*'Alternative 3'!$B$39)+(3*($N$12/3)*COS($K$13))),IF(($A59&lt;'Alternative 3'!$B$28),(($H59*'Alternative 3'!$B$39)+(2*(($N$12/3)*COS($K$13)))),IF(($A59&lt;'Alternative 3'!$B$29),(($H$3*'Alternative 3'!$B$39+(($N$12/3)*COS($K$13)))),($H59*'Alternative 3'!$B$39))))</f>
        <v>#VALUE!</v>
      </c>
      <c r="Z59" s="78" t="e">
        <f>X59*'Alternative 3'!$K60/'Alternative 3'!$L60</f>
        <v>#VALUE!</v>
      </c>
      <c r="AA59" s="78" t="e">
        <f>Y59/'Alternative 3'!$M60</f>
        <v>#VALUE!</v>
      </c>
      <c r="AB59" s="78" t="e">
        <f t="shared" si="3"/>
        <v>#VALUE!</v>
      </c>
      <c r="AD59" s="78" t="e">
        <f>'Alternative 3'!$B$39*$B59*$C59*COS($K$23)-($N$22/3)*$E59*SIN($K$23)-($N$22/3)*$F59*SIN($K$23)-($N$22/3)*$G59*SIN($K$23)</f>
        <v>#VALUE!</v>
      </c>
      <c r="AE59" s="79" t="e">
        <f>IF(($A59&lt;'Alternative 3'!$B$27),(($H59*'Alternative 3'!$B$39)+(3*($N$22/3)*COS($K$23))),IF(($A59&lt;'Alternative 3'!$B$28),(($H59*'Alternative 3'!$B$39)+(2*(($N$22/3)*COS($K$23)))),IF(($A59&lt;'Alternative 3'!$B$29),(($H$3*'Alternative 3'!$B$39+(($N$22/3)*COS($K$23)))),($H59*'Alternative 3'!$B$39))))</f>
        <v>#VALUE!</v>
      </c>
      <c r="AF59" s="78" t="e">
        <f>AD59*'Alternative 3'!$K60/'Alternative 3'!$L60</f>
        <v>#VALUE!</v>
      </c>
      <c r="AG59" s="78" t="e">
        <f>AE59/'Alternative 3'!$M60</f>
        <v>#VALUE!</v>
      </c>
      <c r="AH59" s="78" t="e">
        <f t="shared" si="4"/>
        <v>#VALUE!</v>
      </c>
      <c r="AJ59" s="78" t="e">
        <f>'Alternative 3'!$B$39*$B59*$C59*COS($K$33)-($N$32/3)*$E59*SIN($K$33)-($N$32/3)*$F59*SIN($K$33)-($N$32/3)*$G59*SIN($K$33)</f>
        <v>#VALUE!</v>
      </c>
      <c r="AK59" s="79" t="e">
        <f>IF(($A59&lt;'Alternative 3'!$B$27),(($H59*'Alternative 3'!$B$39)+(3*($N$32/3)*COS($K$33))),IF(($A59&lt;'Alternative 3'!$B$28),(($H59*'Alternative 3'!$B$39)+(2*(($N$32/3)*COS($K$33)))),IF(($A59&lt;'Alternative 3'!$B$29),(($H$3*'Alternative 3'!$B$39+(($N$32/3)*COS($K$33)))),($H59*'Alternative 3'!$B$39))))</f>
        <v>#VALUE!</v>
      </c>
      <c r="AL59" s="78" t="e">
        <f>AJ59*'Alternative 3'!$K60/'Alternative 3'!$L60</f>
        <v>#VALUE!</v>
      </c>
      <c r="AM59" s="78" t="e">
        <f>AK59/'Alternative 3'!$M60</f>
        <v>#VALUE!</v>
      </c>
      <c r="AN59" s="78" t="e">
        <f t="shared" si="5"/>
        <v>#VALUE!</v>
      </c>
      <c r="AP59" s="78" t="e">
        <f>'Alternative 3'!$B$39*$B59*$C59*COS($K$43)-($N$42/3)*$E59*SIN($K$43)-($N$42/3)*$F59*SIN($K$43)-($N$42/3)*$G59*SIN($K$43)</f>
        <v>#VALUE!</v>
      </c>
      <c r="AQ59" s="79" t="e">
        <f>IF(($A59&lt;'Alternative 3'!$B$27),(($H59*'Alternative 3'!$B$39)+(3*($N$42/3)*COS($K$43))),IF(($A59&lt;'Alternative 3'!$B$28),(($H59*'Alternative 3'!$B$39)+(2*(($N$42/3)*COS($K$43)))),IF(($A59&lt;'Alternative 3'!$B$29),(($H$3*'Alternative 3'!$B$39+(($N$42/3)*COS($K$43)))),($H59*'Alternative 3'!$B$39))))</f>
        <v>#VALUE!</v>
      </c>
      <c r="AR59" s="78" t="e">
        <f>AP59*'Alternative 3'!$K60/'Alternative 3'!$L60</f>
        <v>#VALUE!</v>
      </c>
      <c r="AS59" s="78" t="e">
        <f>AQ59/'Alternative 3'!$M60</f>
        <v>#VALUE!</v>
      </c>
      <c r="AT59" s="78" t="e">
        <f t="shared" si="6"/>
        <v>#VALUE!</v>
      </c>
      <c r="AV59" s="78" t="e">
        <f>'Alternative 3'!$B$39*$B59*$C59*COS($K$53)-($N$52/3)*$E59*SIN($K$53)-($N$52/3)*$F59*SIN($K$53)-($N$52/3)*$G59*SIN($K$53)</f>
        <v>#VALUE!</v>
      </c>
      <c r="AW59" s="79" t="e">
        <f>IF(($A59&lt;'Alternative 3'!$B$27),(($H59*'Alternative 3'!$B$39)+(3*($N$52/3)*COS($K$53))),IF(($A59&lt;'Alternative 3'!$B$28),(($H59*'Alternative 3'!$B$39)+(2*(($N$52/3)*COS($K$53)))),IF(($A59&lt;'Alternative 3'!$B$29),(($H$3*'Alternative 3'!$B$39+(($N$52/3)*COS($K$53)))),($H59*'Alternative 3'!$B$39))))</f>
        <v>#VALUE!</v>
      </c>
      <c r="AX59" s="78" t="e">
        <f>AV59*'Alternative 3'!$K60/'Alternative 3'!$L60</f>
        <v>#VALUE!</v>
      </c>
      <c r="AY59" s="78" t="e">
        <f>AW59/'Alternative 3'!$M60</f>
        <v>#VALUE!</v>
      </c>
      <c r="AZ59" s="78" t="e">
        <f t="shared" si="7"/>
        <v>#VALUE!</v>
      </c>
      <c r="BB59" s="78" t="e">
        <f>'Alternative 3'!$B$39*$B59*$C59*COS($K$63)-($N$62/3)*$E59*SIN($K$63)-($N$62/3)*$F59*SIN($K$63)-($N$62/3)*$G59*SIN($K$63)</f>
        <v>#VALUE!</v>
      </c>
      <c r="BC59" s="79" t="e">
        <f>IF(($A59&lt;'Alternative 3'!$B$27),(($H59*'Alternative 3'!$B$39)+(3*($N$62/3)*COS($K$63))),IF(($A59&lt;'Alternative 3'!$B$28),(($H59*'Alternative 3'!$B$39)+(2*(($N$62/3)*COS($K$63)))),IF(($A59&lt;'Alternative 3'!$B$29),(($H$3*'Alternative 3'!$B$39+(($N$62/3)*COS($K$63)))),($H59*'Alternative 3'!$B$39))))</f>
        <v>#VALUE!</v>
      </c>
      <c r="BD59" s="78" t="e">
        <f>BB59*'Alternative 3'!$K60/'Alternative 3'!$L60</f>
        <v>#VALUE!</v>
      </c>
      <c r="BE59" s="78" t="e">
        <f>BC59/'Alternative 3'!$M60</f>
        <v>#VALUE!</v>
      </c>
      <c r="BF59" s="78" t="e">
        <f t="shared" si="8"/>
        <v>#VALUE!</v>
      </c>
      <c r="BH59" s="78" t="e">
        <f>'Alternative 3'!$B$39*$B59*$C59*COS($K$73)-($N$72/3)*$E59*SIN($K$73)-($N$72/3)*$F59*SIN($K$73)-($N$72/3)*$G59*SIN($K$73)</f>
        <v>#VALUE!</v>
      </c>
      <c r="BI59" s="79" t="e">
        <f>IF(($A59&lt;'Alternative 3'!$B$27),(($H59*'Alternative 3'!$B$39)+(3*($N$72/3)*COS($K$73))),IF(($A59&lt;'Alternative 3'!$B$28),(($H59*'Alternative 3'!$B$39)+(2*(($N$72/3)*COS($K$73)))),IF(($A59&lt;'Alternative 3'!$B$29),(($H$3*'Alternative 3'!$B$39+(($N$72/3)*COS($K$73)))),($H59*'Alternative 3'!$B$39))))</f>
        <v>#VALUE!</v>
      </c>
      <c r="BJ59" s="78" t="e">
        <f>BH59*'Alternative 3'!$K60/'Alternative 3'!$L60</f>
        <v>#VALUE!</v>
      </c>
      <c r="BK59" s="78" t="e">
        <f>BI59/'Alternative 3'!$M60</f>
        <v>#VALUE!</v>
      </c>
      <c r="BL59" s="78" t="e">
        <f t="shared" si="9"/>
        <v>#VALUE!</v>
      </c>
      <c r="BN59" s="78" t="e">
        <f>'Alternative 3'!$B$39*$B59*$C59*COS($K$83)-($N$82/3)*$E59*SIN($K$83)-($N$82/3)*$F59*SIN($K$83)-($N$82/3)*$G59*SIN($K$83)</f>
        <v>#VALUE!</v>
      </c>
      <c r="BO59" s="79" t="e">
        <f>IF(($A59&lt;'Alternative 3'!$B$27),(($H59*'Alternative 3'!$B$39)+(3*($N$82/3)*COS($K$83))),IF(($A59&lt;'Alternative 3'!$B$28),(($H59*'Alternative 3'!$B$39)+(2*(($N$82/3)*COS($K$83)))),IF(($A59&lt;'Alternative 3'!$B$29),(($H$3*'Alternative 3'!$B$39+(($N$82/3)*COS($K$83)))),($H59*'Alternative 3'!$B$39))))</f>
        <v>#VALUE!</v>
      </c>
      <c r="BP59" s="78" t="e">
        <f>BN59*'Alternative 3'!$K60/'Alternative 3'!$L60</f>
        <v>#VALUE!</v>
      </c>
      <c r="BQ59" s="78" t="e">
        <f>BO59/'Alternative 3'!$M60</f>
        <v>#VALUE!</v>
      </c>
      <c r="BR59" s="78" t="e">
        <f t="shared" si="10"/>
        <v>#VALUE!</v>
      </c>
      <c r="BT59" s="78" t="e">
        <f>'Alternative 3'!$B$39*$B59*$C59*COS($K$93)-($K$92/3)*$E59*SIN($K$93)-($K$92/3)*$F59*SIN($K$93)-($K$92/3)*$G59*SIN($K$93)</f>
        <v>#VALUE!</v>
      </c>
      <c r="BU59" s="79" t="e">
        <f>IF(($A59&lt;'Alternative 3'!$B$27),(($H59*'Alternative 3'!$B$39)+(3*($N$92/3)*COS($K$93))),IF(($A59&lt;'Alternative 3'!$B$28),(($H59*'Alternative 3'!$B$39)+(2*(($N$92/3)*COS($K$93)))),IF(($A59&lt;'Alternative 3'!$B$29),(($H$3*'Alternative 3'!$B$39+(($N$92/3)*COS($K$93)))),($H59*'Alternative 3'!$B$39))))</f>
        <v>#VALUE!</v>
      </c>
      <c r="BV59" s="78" t="e">
        <f>BT59*'Alternative 3'!$K60/'Alternative 3'!$L60</f>
        <v>#VALUE!</v>
      </c>
      <c r="BW59" s="78" t="e">
        <f>BU59/'Alternative 3'!$M60</f>
        <v>#VALUE!</v>
      </c>
      <c r="BX59" s="78" t="e">
        <f t="shared" si="11"/>
        <v>#VALUE!</v>
      </c>
      <c r="BZ59" s="77">
        <v>150</v>
      </c>
      <c r="CA59" s="77">
        <v>-150</v>
      </c>
    </row>
    <row r="60" spans="1:79" ht="15" customHeight="1" x14ac:dyDescent="0.25">
      <c r="A60" s="13" t="str">
        <f>IF('Alternative 3'!F61&gt;0,'Alternative 3'!F61,"x")</f>
        <v>x</v>
      </c>
      <c r="B60" s="13" t="e">
        <f t="shared" si="17"/>
        <v>#VALUE!</v>
      </c>
      <c r="C60" s="13">
        <f t="shared" si="12"/>
        <v>0</v>
      </c>
      <c r="D60" s="13" t="str">
        <f t="shared" si="13"/>
        <v>x</v>
      </c>
      <c r="E60" s="74">
        <f>IF($A60&lt;='Alternative 3'!$B$27, IF($A60='Alternative 3'!$B$27,0,E61+1),0)</f>
        <v>0</v>
      </c>
      <c r="F60" s="74">
        <f>IF($A60&lt;=('Alternative 3'!$B$28), IF($A60=ROUNDDOWN('Alternative 3'!$B$28,0),0,F61+1),0)</f>
        <v>0</v>
      </c>
      <c r="G60" s="74">
        <f>IF($A60&lt;=('Alternative 3'!$B$29), IF($A60=ROUNDDOWN('Alternative 3'!$B$29,0),0,G61+1),0)</f>
        <v>0</v>
      </c>
      <c r="H60" s="13" t="e">
        <f t="shared" si="14"/>
        <v>#VALUE!</v>
      </c>
      <c r="J60" s="77">
        <f t="shared" si="15"/>
        <v>57</v>
      </c>
      <c r="K60" s="77">
        <f t="shared" si="16"/>
        <v>0.99483767363676778</v>
      </c>
      <c r="L60" s="78">
        <f>'Alternative 3'!$B$27*SIN(K60)+'Alternative 3'!$B$28*SIN(K60)+'Alternative 3'!$B$29*SIN(K60)</f>
        <v>57.02959862028883</v>
      </c>
      <c r="M60" s="77">
        <f>(('Alternative 3'!$B$27)*(((('Alternative 3'!$B$28-'Alternative 3'!$B$27)/2)+'Alternative 3'!$B$27)*'Alternative 3'!$B$39)*COS('Alternative 3-Tilt Up'!K60))+(('Alternative 3'!$B$28)*((('Alternative 3'!$B$28-'Alternative 3'!$B$27)/2)+(('Alternative 3'!$B$29-'Alternative 3'!$B$28)/2))*('Alternative 3'!$B$39)*COS('Alternative 3-Tilt Up'!K60))+(('Alternative 3'!$B$29)*((('Alternative 3'!$B$12-'Alternative 3'!$B$29+(('Alternative 3'!$B$29-'Alternative 3'!$B$28)/2)*('Alternative 3'!$B$39)*COS('Alternative 3-Tilt Up'!K60)))))</f>
        <v>2585007.1730644517</v>
      </c>
      <c r="N60" s="77">
        <f t="shared" si="0"/>
        <v>135982.39697998561</v>
      </c>
      <c r="O60" s="77">
        <f>(((('Alternative 3'!$B$28-'Alternative 3'!$B$27)/2)+'Alternative 3'!$B$27)*('Alternative 3'!$B$39)*COS('Alternative 3-Tilt Up'!K60))+(((('Alternative 3'!$B$28-'Alternative 3'!$B$27)/2)+(('Alternative 3'!$B$29-'Alternative 3'!$B$28)/2))*('Alternative 3'!$B$39)*COS('Alternative 3-Tilt Up'!K60))+(((('Alternative 3'!$B$12-'Alternative 3'!$B$29)+(('Alternative 3'!$B$29-'Alternative 3'!$B$28)/2))*('Alternative 3'!$B$39)*COS('Alternative 3-Tilt Up'!K60)))</f>
        <v>166724.85054313653</v>
      </c>
      <c r="P60" s="77">
        <f t="shared" si="1"/>
        <v>74061.321470209718</v>
      </c>
      <c r="R60" s="78" t="e">
        <f>'Alternative 3'!$B$39*$B60*$C60*COS($K$5)-($N$5/3)*$E60*SIN($K$5)-($N$5/3)*$F60*SIN($K$5)-($N$5/3)*$G60*SIN($K$5)</f>
        <v>#VALUE!</v>
      </c>
      <c r="S60" s="79" t="e">
        <f>IF(($A60&lt;'Alternative 3'!$B$27),(($H60*'Alternative 3'!$B$39)+(3*($N$5/3)*COS($K$5))),IF(($A60&lt;'Alternative 3'!$B$28),(($H60*'Alternative 3'!$B$39)+(2*(($N$5/3)*COS($K$5)))),IF(($A60&lt;'Alternative 3'!$B$29),(($H$3*'Alternative 3'!$B$39+(($N$5/3)*COS($K$5)))),($H60*'Alternative 3'!$B$39))))</f>
        <v>#VALUE!</v>
      </c>
      <c r="T60" s="78" t="e">
        <f>R60*'Alternative 3'!$K61/'Alternative 3'!$L61</f>
        <v>#VALUE!</v>
      </c>
      <c r="U60" s="78" t="e">
        <f>S60/'Alternative 3'!$M61</f>
        <v>#VALUE!</v>
      </c>
      <c r="V60" s="78" t="e">
        <f t="shared" si="2"/>
        <v>#VALUE!</v>
      </c>
      <c r="X60" s="78" t="e">
        <f>'Alternative 3'!$B$39*$B60*$C60*COS($K$13)-($N$12/3)*$E60*SIN($K$13)-($N$12/3)*$F60*SIN($K$13)-($N$12/3)*$G60*SIN($K$13)</f>
        <v>#VALUE!</v>
      </c>
      <c r="Y60" s="79" t="e">
        <f>IF(($A60&lt;'Alternative 3'!$B$27),(($H60*'Alternative 3'!$B$39)+(3*($N$12/3)*COS($K$13))),IF(($A60&lt;'Alternative 3'!$B$28),(($H60*'Alternative 3'!$B$39)+(2*(($N$12/3)*COS($K$13)))),IF(($A60&lt;'Alternative 3'!$B$29),(($H$3*'Alternative 3'!$B$39+(($N$12/3)*COS($K$13)))),($H60*'Alternative 3'!$B$39))))</f>
        <v>#VALUE!</v>
      </c>
      <c r="Z60" s="78" t="e">
        <f>X60*'Alternative 3'!$K61/'Alternative 3'!$L61</f>
        <v>#VALUE!</v>
      </c>
      <c r="AA60" s="78" t="e">
        <f>Y60/'Alternative 3'!$M61</f>
        <v>#VALUE!</v>
      </c>
      <c r="AB60" s="78" t="e">
        <f t="shared" si="3"/>
        <v>#VALUE!</v>
      </c>
      <c r="AD60" s="78" t="e">
        <f>'Alternative 3'!$B$39*$B60*$C60*COS($K$23)-($N$22/3)*$E60*SIN($K$23)-($N$22/3)*$F60*SIN($K$23)-($N$22/3)*$G60*SIN($K$23)</f>
        <v>#VALUE!</v>
      </c>
      <c r="AE60" s="79" t="e">
        <f>IF(($A60&lt;'Alternative 3'!$B$27),(($H60*'Alternative 3'!$B$39)+(3*($N$22/3)*COS($K$23))),IF(($A60&lt;'Alternative 3'!$B$28),(($H60*'Alternative 3'!$B$39)+(2*(($N$22/3)*COS($K$23)))),IF(($A60&lt;'Alternative 3'!$B$29),(($H$3*'Alternative 3'!$B$39+(($N$22/3)*COS($K$23)))),($H60*'Alternative 3'!$B$39))))</f>
        <v>#VALUE!</v>
      </c>
      <c r="AF60" s="78" t="e">
        <f>AD60*'Alternative 3'!$K61/'Alternative 3'!$L61</f>
        <v>#VALUE!</v>
      </c>
      <c r="AG60" s="78" t="e">
        <f>AE60/'Alternative 3'!$M61</f>
        <v>#VALUE!</v>
      </c>
      <c r="AH60" s="78" t="e">
        <f t="shared" si="4"/>
        <v>#VALUE!</v>
      </c>
      <c r="AJ60" s="78" t="e">
        <f>'Alternative 3'!$B$39*$B60*$C60*COS($K$33)-($N$32/3)*$E60*SIN($K$33)-($N$32/3)*$F60*SIN($K$33)-($N$32/3)*$G60*SIN($K$33)</f>
        <v>#VALUE!</v>
      </c>
      <c r="AK60" s="79" t="e">
        <f>IF(($A60&lt;'Alternative 3'!$B$27),(($H60*'Alternative 3'!$B$39)+(3*($N$32/3)*COS($K$33))),IF(($A60&lt;'Alternative 3'!$B$28),(($H60*'Alternative 3'!$B$39)+(2*(($N$32/3)*COS($K$33)))),IF(($A60&lt;'Alternative 3'!$B$29),(($H$3*'Alternative 3'!$B$39+(($N$32/3)*COS($K$33)))),($H60*'Alternative 3'!$B$39))))</f>
        <v>#VALUE!</v>
      </c>
      <c r="AL60" s="78" t="e">
        <f>AJ60*'Alternative 3'!$K61/'Alternative 3'!$L61</f>
        <v>#VALUE!</v>
      </c>
      <c r="AM60" s="78" t="e">
        <f>AK60/'Alternative 3'!$M61</f>
        <v>#VALUE!</v>
      </c>
      <c r="AN60" s="78" t="e">
        <f t="shared" si="5"/>
        <v>#VALUE!</v>
      </c>
      <c r="AP60" s="78" t="e">
        <f>'Alternative 3'!$B$39*$B60*$C60*COS($K$43)-($N$42/3)*$E60*SIN($K$43)-($N$42/3)*$F60*SIN($K$43)-($N$42/3)*$G60*SIN($K$43)</f>
        <v>#VALUE!</v>
      </c>
      <c r="AQ60" s="79" t="e">
        <f>IF(($A60&lt;'Alternative 3'!$B$27),(($H60*'Alternative 3'!$B$39)+(3*($N$42/3)*COS($K$43))),IF(($A60&lt;'Alternative 3'!$B$28),(($H60*'Alternative 3'!$B$39)+(2*(($N$42/3)*COS($K$43)))),IF(($A60&lt;'Alternative 3'!$B$29),(($H$3*'Alternative 3'!$B$39+(($N$42/3)*COS($K$43)))),($H60*'Alternative 3'!$B$39))))</f>
        <v>#VALUE!</v>
      </c>
      <c r="AR60" s="78" t="e">
        <f>AP60*'Alternative 3'!$K61/'Alternative 3'!$L61</f>
        <v>#VALUE!</v>
      </c>
      <c r="AS60" s="78" t="e">
        <f>AQ60/'Alternative 3'!$M61</f>
        <v>#VALUE!</v>
      </c>
      <c r="AT60" s="78" t="e">
        <f t="shared" si="6"/>
        <v>#VALUE!</v>
      </c>
      <c r="AV60" s="78" t="e">
        <f>'Alternative 3'!$B$39*$B60*$C60*COS($K$53)-($N$52/3)*$E60*SIN($K$53)-($N$52/3)*$F60*SIN($K$53)-($N$52/3)*$G60*SIN($K$53)</f>
        <v>#VALUE!</v>
      </c>
      <c r="AW60" s="79" t="e">
        <f>IF(($A60&lt;'Alternative 3'!$B$27),(($H60*'Alternative 3'!$B$39)+(3*($N$52/3)*COS($K$53))),IF(($A60&lt;'Alternative 3'!$B$28),(($H60*'Alternative 3'!$B$39)+(2*(($N$52/3)*COS($K$53)))),IF(($A60&lt;'Alternative 3'!$B$29),(($H$3*'Alternative 3'!$B$39+(($N$52/3)*COS($K$53)))),($H60*'Alternative 3'!$B$39))))</f>
        <v>#VALUE!</v>
      </c>
      <c r="AX60" s="78" t="e">
        <f>AV60*'Alternative 3'!$K61/'Alternative 3'!$L61</f>
        <v>#VALUE!</v>
      </c>
      <c r="AY60" s="78" t="e">
        <f>AW60/'Alternative 3'!$M61</f>
        <v>#VALUE!</v>
      </c>
      <c r="AZ60" s="78" t="e">
        <f t="shared" si="7"/>
        <v>#VALUE!</v>
      </c>
      <c r="BB60" s="78" t="e">
        <f>'Alternative 3'!$B$39*$B60*$C60*COS($K$63)-($N$62/3)*$E60*SIN($K$63)-($N$62/3)*$F60*SIN($K$63)-($N$62/3)*$G60*SIN($K$63)</f>
        <v>#VALUE!</v>
      </c>
      <c r="BC60" s="79" t="e">
        <f>IF(($A60&lt;'Alternative 3'!$B$27),(($H60*'Alternative 3'!$B$39)+(3*($N$62/3)*COS($K$63))),IF(($A60&lt;'Alternative 3'!$B$28),(($H60*'Alternative 3'!$B$39)+(2*(($N$62/3)*COS($K$63)))),IF(($A60&lt;'Alternative 3'!$B$29),(($H$3*'Alternative 3'!$B$39+(($N$62/3)*COS($K$63)))),($H60*'Alternative 3'!$B$39))))</f>
        <v>#VALUE!</v>
      </c>
      <c r="BD60" s="78" t="e">
        <f>BB60*'Alternative 3'!$K61/'Alternative 3'!$L61</f>
        <v>#VALUE!</v>
      </c>
      <c r="BE60" s="78" t="e">
        <f>BC60/'Alternative 3'!$M61</f>
        <v>#VALUE!</v>
      </c>
      <c r="BF60" s="78" t="e">
        <f t="shared" si="8"/>
        <v>#VALUE!</v>
      </c>
      <c r="BH60" s="78" t="e">
        <f>'Alternative 3'!$B$39*$B60*$C60*COS($K$73)-($N$72/3)*$E60*SIN($K$73)-($N$72/3)*$F60*SIN($K$73)-($N$72/3)*$G60*SIN($K$73)</f>
        <v>#VALUE!</v>
      </c>
      <c r="BI60" s="79" t="e">
        <f>IF(($A60&lt;'Alternative 3'!$B$27),(($H60*'Alternative 3'!$B$39)+(3*($N$72/3)*COS($K$73))),IF(($A60&lt;'Alternative 3'!$B$28),(($H60*'Alternative 3'!$B$39)+(2*(($N$72/3)*COS($K$73)))),IF(($A60&lt;'Alternative 3'!$B$29),(($H$3*'Alternative 3'!$B$39+(($N$72/3)*COS($K$73)))),($H60*'Alternative 3'!$B$39))))</f>
        <v>#VALUE!</v>
      </c>
      <c r="BJ60" s="78" t="e">
        <f>BH60*'Alternative 3'!$K61/'Alternative 3'!$L61</f>
        <v>#VALUE!</v>
      </c>
      <c r="BK60" s="78" t="e">
        <f>BI60/'Alternative 3'!$M61</f>
        <v>#VALUE!</v>
      </c>
      <c r="BL60" s="78" t="e">
        <f t="shared" si="9"/>
        <v>#VALUE!</v>
      </c>
      <c r="BN60" s="78" t="e">
        <f>'Alternative 3'!$B$39*$B60*$C60*COS($K$83)-($N$82/3)*$E60*SIN($K$83)-($N$82/3)*$F60*SIN($K$83)-($N$82/3)*$G60*SIN($K$83)</f>
        <v>#VALUE!</v>
      </c>
      <c r="BO60" s="79" t="e">
        <f>IF(($A60&lt;'Alternative 3'!$B$27),(($H60*'Alternative 3'!$B$39)+(3*($N$82/3)*COS($K$83))),IF(($A60&lt;'Alternative 3'!$B$28),(($H60*'Alternative 3'!$B$39)+(2*(($N$82/3)*COS($K$83)))),IF(($A60&lt;'Alternative 3'!$B$29),(($H$3*'Alternative 3'!$B$39+(($N$82/3)*COS($K$83)))),($H60*'Alternative 3'!$B$39))))</f>
        <v>#VALUE!</v>
      </c>
      <c r="BP60" s="78" t="e">
        <f>BN60*'Alternative 3'!$K61/'Alternative 3'!$L61</f>
        <v>#VALUE!</v>
      </c>
      <c r="BQ60" s="78" t="e">
        <f>BO60/'Alternative 3'!$M61</f>
        <v>#VALUE!</v>
      </c>
      <c r="BR60" s="78" t="e">
        <f t="shared" si="10"/>
        <v>#VALUE!</v>
      </c>
      <c r="BT60" s="78" t="e">
        <f>'Alternative 3'!$B$39*$B60*$C60*COS($K$93)-($K$92/3)*$E60*SIN($K$93)-($K$92/3)*$F60*SIN($K$93)-($K$92/3)*$G60*SIN($K$93)</f>
        <v>#VALUE!</v>
      </c>
      <c r="BU60" s="79" t="e">
        <f>IF(($A60&lt;'Alternative 3'!$B$27),(($H60*'Alternative 3'!$B$39)+(3*($N$92/3)*COS($K$93))),IF(($A60&lt;'Alternative 3'!$B$28),(($H60*'Alternative 3'!$B$39)+(2*(($N$92/3)*COS($K$93)))),IF(($A60&lt;'Alternative 3'!$B$29),(($H$3*'Alternative 3'!$B$39+(($N$92/3)*COS($K$93)))),($H60*'Alternative 3'!$B$39))))</f>
        <v>#VALUE!</v>
      </c>
      <c r="BV60" s="78" t="e">
        <f>BT60*'Alternative 3'!$K61/'Alternative 3'!$L61</f>
        <v>#VALUE!</v>
      </c>
      <c r="BW60" s="78" t="e">
        <f>BU60/'Alternative 3'!$M61</f>
        <v>#VALUE!</v>
      </c>
      <c r="BX60" s="78" t="e">
        <f t="shared" si="11"/>
        <v>#VALUE!</v>
      </c>
      <c r="BZ60" s="77">
        <v>150</v>
      </c>
      <c r="CA60" s="77">
        <v>-150</v>
      </c>
    </row>
    <row r="61" spans="1:79" ht="15" customHeight="1" x14ac:dyDescent="0.25">
      <c r="A61" s="13" t="str">
        <f>IF('Alternative 3'!F62&gt;0,'Alternative 3'!F62,"x")</f>
        <v>x</v>
      </c>
      <c r="B61" s="13" t="e">
        <f t="shared" si="17"/>
        <v>#VALUE!</v>
      </c>
      <c r="C61" s="13">
        <f t="shared" si="12"/>
        <v>0</v>
      </c>
      <c r="D61" s="13" t="str">
        <f t="shared" si="13"/>
        <v>x</v>
      </c>
      <c r="E61" s="74">
        <f>IF($A61&lt;='Alternative 3'!$B$27, IF($A61='Alternative 3'!$B$27,0,E62+1),0)</f>
        <v>0</v>
      </c>
      <c r="F61" s="74">
        <f>IF($A61&lt;=('Alternative 3'!$B$28), IF($A61=ROUNDDOWN('Alternative 3'!$B$28,0),0,F62+1),0)</f>
        <v>0</v>
      </c>
      <c r="G61" s="74">
        <f>IF($A61&lt;=('Alternative 3'!$B$29), IF($A61=ROUNDDOWN('Alternative 3'!$B$29,0),0,G62+1),0)</f>
        <v>0</v>
      </c>
      <c r="H61" s="13" t="e">
        <f t="shared" si="14"/>
        <v>#VALUE!</v>
      </c>
      <c r="J61" s="77">
        <f t="shared" si="15"/>
        <v>58</v>
      </c>
      <c r="K61" s="77">
        <f t="shared" si="16"/>
        <v>1.0122909661567112</v>
      </c>
      <c r="L61" s="78">
        <f>'Alternative 3'!$B$27*SIN(K61)+'Alternative 3'!$B$28*SIN(K61)+'Alternative 3'!$B$29*SIN(K61)</f>
        <v>57.667270538636963</v>
      </c>
      <c r="M61" s="77">
        <f>(('Alternative 3'!$B$27)*(((('Alternative 3'!$B$28-'Alternative 3'!$B$27)/2)+'Alternative 3'!$B$27)*'Alternative 3'!$B$39)*COS('Alternative 3-Tilt Up'!K61))+(('Alternative 3'!$B$28)*((('Alternative 3'!$B$28-'Alternative 3'!$B$27)/2)+(('Alternative 3'!$B$29-'Alternative 3'!$B$28)/2))*('Alternative 3'!$B$39)*COS('Alternative 3-Tilt Up'!K61))+(('Alternative 3'!$B$29)*((('Alternative 3'!$B$12-'Alternative 3'!$B$29+(('Alternative 3'!$B$29-'Alternative 3'!$B$28)/2)*('Alternative 3'!$B$39)*COS('Alternative 3-Tilt Up'!K61)))))</f>
        <v>2515148.3657336924</v>
      </c>
      <c r="N61" s="77">
        <f t="shared" si="0"/>
        <v>130844.49856432244</v>
      </c>
      <c r="O61" s="77">
        <f>(((('Alternative 3'!$B$28-'Alternative 3'!$B$27)/2)+'Alternative 3'!$B$27)*('Alternative 3'!$B$39)*COS('Alternative 3-Tilt Up'!K61))+(((('Alternative 3'!$B$28-'Alternative 3'!$B$27)/2)+(('Alternative 3'!$B$29-'Alternative 3'!$B$28)/2))*('Alternative 3'!$B$39)*COS('Alternative 3-Tilt Up'!K61))+(((('Alternative 3'!$B$12-'Alternative 3'!$B$29)+(('Alternative 3'!$B$29-'Alternative 3'!$B$28)/2))*('Alternative 3'!$B$39)*COS('Alternative 3-Tilt Up'!K61)))</f>
        <v>162218.83568586351</v>
      </c>
      <c r="P61" s="77">
        <f t="shared" si="1"/>
        <v>69337.020408168377</v>
      </c>
      <c r="R61" s="78" t="e">
        <f>'Alternative 3'!$B$39*$B61*$C61*COS($K$5)-($N$5/3)*$E61*SIN($K$5)-($N$5/3)*$F61*SIN($K$5)-($N$5/3)*$G61*SIN($K$5)</f>
        <v>#VALUE!</v>
      </c>
      <c r="S61" s="79" t="e">
        <f>IF(($A61&lt;'Alternative 3'!$B$27),(($H61*'Alternative 3'!$B$39)+(3*($N$5/3)*COS($K$5))),IF(($A61&lt;'Alternative 3'!$B$28),(($H61*'Alternative 3'!$B$39)+(2*(($N$5/3)*COS($K$5)))),IF(($A61&lt;'Alternative 3'!$B$29),(($H$3*'Alternative 3'!$B$39+(($N$5/3)*COS($K$5)))),($H61*'Alternative 3'!$B$39))))</f>
        <v>#VALUE!</v>
      </c>
      <c r="T61" s="78" t="e">
        <f>R61*'Alternative 3'!$K62/'Alternative 3'!$L62</f>
        <v>#VALUE!</v>
      </c>
      <c r="U61" s="78" t="e">
        <f>S61/'Alternative 3'!$M62</f>
        <v>#VALUE!</v>
      </c>
      <c r="V61" s="78" t="e">
        <f t="shared" si="2"/>
        <v>#VALUE!</v>
      </c>
      <c r="X61" s="78" t="e">
        <f>'Alternative 3'!$B$39*$B61*$C61*COS($K$13)-($N$12/3)*$E61*SIN($K$13)-($N$12/3)*$F61*SIN($K$13)-($N$12/3)*$G61*SIN($K$13)</f>
        <v>#VALUE!</v>
      </c>
      <c r="Y61" s="79" t="e">
        <f>IF(($A61&lt;'Alternative 3'!$B$27),(($H61*'Alternative 3'!$B$39)+(3*($N$12/3)*COS($K$13))),IF(($A61&lt;'Alternative 3'!$B$28),(($H61*'Alternative 3'!$B$39)+(2*(($N$12/3)*COS($K$13)))),IF(($A61&lt;'Alternative 3'!$B$29),(($H$3*'Alternative 3'!$B$39+(($N$12/3)*COS($K$13)))),($H61*'Alternative 3'!$B$39))))</f>
        <v>#VALUE!</v>
      </c>
      <c r="Z61" s="78" t="e">
        <f>X61*'Alternative 3'!$K62/'Alternative 3'!$L62</f>
        <v>#VALUE!</v>
      </c>
      <c r="AA61" s="78" t="e">
        <f>Y61/'Alternative 3'!$M62</f>
        <v>#VALUE!</v>
      </c>
      <c r="AB61" s="78" t="e">
        <f t="shared" si="3"/>
        <v>#VALUE!</v>
      </c>
      <c r="AD61" s="78" t="e">
        <f>'Alternative 3'!$B$39*$B61*$C61*COS($K$23)-($N$22/3)*$E61*SIN($K$23)-($N$22/3)*$F61*SIN($K$23)-($N$22/3)*$G61*SIN($K$23)</f>
        <v>#VALUE!</v>
      </c>
      <c r="AE61" s="79" t="e">
        <f>IF(($A61&lt;'Alternative 3'!$B$27),(($H61*'Alternative 3'!$B$39)+(3*($N$22/3)*COS($K$23))),IF(($A61&lt;'Alternative 3'!$B$28),(($H61*'Alternative 3'!$B$39)+(2*(($N$22/3)*COS($K$23)))),IF(($A61&lt;'Alternative 3'!$B$29),(($H$3*'Alternative 3'!$B$39+(($N$22/3)*COS($K$23)))),($H61*'Alternative 3'!$B$39))))</f>
        <v>#VALUE!</v>
      </c>
      <c r="AF61" s="78" t="e">
        <f>AD61*'Alternative 3'!$K62/'Alternative 3'!$L62</f>
        <v>#VALUE!</v>
      </c>
      <c r="AG61" s="78" t="e">
        <f>AE61/'Alternative 3'!$M62</f>
        <v>#VALUE!</v>
      </c>
      <c r="AH61" s="78" t="e">
        <f t="shared" si="4"/>
        <v>#VALUE!</v>
      </c>
      <c r="AJ61" s="78" t="e">
        <f>'Alternative 3'!$B$39*$B61*$C61*COS($K$33)-($N$32/3)*$E61*SIN($K$33)-($N$32/3)*$F61*SIN($K$33)-($N$32/3)*$G61*SIN($K$33)</f>
        <v>#VALUE!</v>
      </c>
      <c r="AK61" s="79" t="e">
        <f>IF(($A61&lt;'Alternative 3'!$B$27),(($H61*'Alternative 3'!$B$39)+(3*($N$32/3)*COS($K$33))),IF(($A61&lt;'Alternative 3'!$B$28),(($H61*'Alternative 3'!$B$39)+(2*(($N$32/3)*COS($K$33)))),IF(($A61&lt;'Alternative 3'!$B$29),(($H$3*'Alternative 3'!$B$39+(($N$32/3)*COS($K$33)))),($H61*'Alternative 3'!$B$39))))</f>
        <v>#VALUE!</v>
      </c>
      <c r="AL61" s="78" t="e">
        <f>AJ61*'Alternative 3'!$K62/'Alternative 3'!$L62</f>
        <v>#VALUE!</v>
      </c>
      <c r="AM61" s="78" t="e">
        <f>AK61/'Alternative 3'!$M62</f>
        <v>#VALUE!</v>
      </c>
      <c r="AN61" s="78" t="e">
        <f t="shared" si="5"/>
        <v>#VALUE!</v>
      </c>
      <c r="AP61" s="78" t="e">
        <f>'Alternative 3'!$B$39*$B61*$C61*COS($K$43)-($N$42/3)*$E61*SIN($K$43)-($N$42/3)*$F61*SIN($K$43)-($N$42/3)*$G61*SIN($K$43)</f>
        <v>#VALUE!</v>
      </c>
      <c r="AQ61" s="79" t="e">
        <f>IF(($A61&lt;'Alternative 3'!$B$27),(($H61*'Alternative 3'!$B$39)+(3*($N$42/3)*COS($K$43))),IF(($A61&lt;'Alternative 3'!$B$28),(($H61*'Alternative 3'!$B$39)+(2*(($N$42/3)*COS($K$43)))),IF(($A61&lt;'Alternative 3'!$B$29),(($H$3*'Alternative 3'!$B$39+(($N$42/3)*COS($K$43)))),($H61*'Alternative 3'!$B$39))))</f>
        <v>#VALUE!</v>
      </c>
      <c r="AR61" s="78" t="e">
        <f>AP61*'Alternative 3'!$K62/'Alternative 3'!$L62</f>
        <v>#VALUE!</v>
      </c>
      <c r="AS61" s="78" t="e">
        <f>AQ61/'Alternative 3'!$M62</f>
        <v>#VALUE!</v>
      </c>
      <c r="AT61" s="78" t="e">
        <f t="shared" si="6"/>
        <v>#VALUE!</v>
      </c>
      <c r="AV61" s="78" t="e">
        <f>'Alternative 3'!$B$39*$B61*$C61*COS($K$53)-($N$52/3)*$E61*SIN($K$53)-($N$52/3)*$F61*SIN($K$53)-($N$52/3)*$G61*SIN($K$53)</f>
        <v>#VALUE!</v>
      </c>
      <c r="AW61" s="79" t="e">
        <f>IF(($A61&lt;'Alternative 3'!$B$27),(($H61*'Alternative 3'!$B$39)+(3*($N$52/3)*COS($K$53))),IF(($A61&lt;'Alternative 3'!$B$28),(($H61*'Alternative 3'!$B$39)+(2*(($N$52/3)*COS($K$53)))),IF(($A61&lt;'Alternative 3'!$B$29),(($H$3*'Alternative 3'!$B$39+(($N$52/3)*COS($K$53)))),($H61*'Alternative 3'!$B$39))))</f>
        <v>#VALUE!</v>
      </c>
      <c r="AX61" s="78" t="e">
        <f>AV61*'Alternative 3'!$K62/'Alternative 3'!$L62</f>
        <v>#VALUE!</v>
      </c>
      <c r="AY61" s="78" t="e">
        <f>AW61/'Alternative 3'!$M62</f>
        <v>#VALUE!</v>
      </c>
      <c r="AZ61" s="78" t="e">
        <f t="shared" si="7"/>
        <v>#VALUE!</v>
      </c>
      <c r="BB61" s="78" t="e">
        <f>'Alternative 3'!$B$39*$B61*$C61*COS($K$63)-($N$62/3)*$E61*SIN($K$63)-($N$62/3)*$F61*SIN($K$63)-($N$62/3)*$G61*SIN($K$63)</f>
        <v>#VALUE!</v>
      </c>
      <c r="BC61" s="79" t="e">
        <f>IF(($A61&lt;'Alternative 3'!$B$27),(($H61*'Alternative 3'!$B$39)+(3*($N$62/3)*COS($K$63))),IF(($A61&lt;'Alternative 3'!$B$28),(($H61*'Alternative 3'!$B$39)+(2*(($N$62/3)*COS($K$63)))),IF(($A61&lt;'Alternative 3'!$B$29),(($H$3*'Alternative 3'!$B$39+(($N$62/3)*COS($K$63)))),($H61*'Alternative 3'!$B$39))))</f>
        <v>#VALUE!</v>
      </c>
      <c r="BD61" s="78" t="e">
        <f>BB61*'Alternative 3'!$K62/'Alternative 3'!$L62</f>
        <v>#VALUE!</v>
      </c>
      <c r="BE61" s="78" t="e">
        <f>BC61/'Alternative 3'!$M62</f>
        <v>#VALUE!</v>
      </c>
      <c r="BF61" s="78" t="e">
        <f t="shared" si="8"/>
        <v>#VALUE!</v>
      </c>
      <c r="BH61" s="78" t="e">
        <f>'Alternative 3'!$B$39*$B61*$C61*COS($K$73)-($N$72/3)*$E61*SIN($K$73)-($N$72/3)*$F61*SIN($K$73)-($N$72/3)*$G61*SIN($K$73)</f>
        <v>#VALUE!</v>
      </c>
      <c r="BI61" s="79" t="e">
        <f>IF(($A61&lt;'Alternative 3'!$B$27),(($H61*'Alternative 3'!$B$39)+(3*($N$72/3)*COS($K$73))),IF(($A61&lt;'Alternative 3'!$B$28),(($H61*'Alternative 3'!$B$39)+(2*(($N$72/3)*COS($K$73)))),IF(($A61&lt;'Alternative 3'!$B$29),(($H$3*'Alternative 3'!$B$39+(($N$72/3)*COS($K$73)))),($H61*'Alternative 3'!$B$39))))</f>
        <v>#VALUE!</v>
      </c>
      <c r="BJ61" s="78" t="e">
        <f>BH61*'Alternative 3'!$K62/'Alternative 3'!$L62</f>
        <v>#VALUE!</v>
      </c>
      <c r="BK61" s="78" t="e">
        <f>BI61/'Alternative 3'!$M62</f>
        <v>#VALUE!</v>
      </c>
      <c r="BL61" s="78" t="e">
        <f t="shared" si="9"/>
        <v>#VALUE!</v>
      </c>
      <c r="BN61" s="78" t="e">
        <f>'Alternative 3'!$B$39*$B61*$C61*COS($K$83)-($N$82/3)*$E61*SIN($K$83)-($N$82/3)*$F61*SIN($K$83)-($N$82/3)*$G61*SIN($K$83)</f>
        <v>#VALUE!</v>
      </c>
      <c r="BO61" s="79" t="e">
        <f>IF(($A61&lt;'Alternative 3'!$B$27),(($H61*'Alternative 3'!$B$39)+(3*($N$82/3)*COS($K$83))),IF(($A61&lt;'Alternative 3'!$B$28),(($H61*'Alternative 3'!$B$39)+(2*(($N$82/3)*COS($K$83)))),IF(($A61&lt;'Alternative 3'!$B$29),(($H$3*'Alternative 3'!$B$39+(($N$82/3)*COS($K$83)))),($H61*'Alternative 3'!$B$39))))</f>
        <v>#VALUE!</v>
      </c>
      <c r="BP61" s="78" t="e">
        <f>BN61*'Alternative 3'!$K62/'Alternative 3'!$L62</f>
        <v>#VALUE!</v>
      </c>
      <c r="BQ61" s="78" t="e">
        <f>BO61/'Alternative 3'!$M62</f>
        <v>#VALUE!</v>
      </c>
      <c r="BR61" s="78" t="e">
        <f t="shared" si="10"/>
        <v>#VALUE!</v>
      </c>
      <c r="BT61" s="78" t="e">
        <f>'Alternative 3'!$B$39*$B61*$C61*COS($K$93)-($K$92/3)*$E61*SIN($K$93)-($K$92/3)*$F61*SIN($K$93)-($K$92/3)*$G61*SIN($K$93)</f>
        <v>#VALUE!</v>
      </c>
      <c r="BU61" s="79" t="e">
        <f>IF(($A61&lt;'Alternative 3'!$B$27),(($H61*'Alternative 3'!$B$39)+(3*($N$92/3)*COS($K$93))),IF(($A61&lt;'Alternative 3'!$B$28),(($H61*'Alternative 3'!$B$39)+(2*(($N$92/3)*COS($K$93)))),IF(($A61&lt;'Alternative 3'!$B$29),(($H$3*'Alternative 3'!$B$39+(($N$92/3)*COS($K$93)))),($H61*'Alternative 3'!$B$39))))</f>
        <v>#VALUE!</v>
      </c>
      <c r="BV61" s="78" t="e">
        <f>BT61*'Alternative 3'!$K62/'Alternative 3'!$L62</f>
        <v>#VALUE!</v>
      </c>
      <c r="BW61" s="78" t="e">
        <f>BU61/'Alternative 3'!$M62</f>
        <v>#VALUE!</v>
      </c>
      <c r="BX61" s="78" t="e">
        <f t="shared" si="11"/>
        <v>#VALUE!</v>
      </c>
      <c r="BZ61" s="77">
        <v>150</v>
      </c>
      <c r="CA61" s="77">
        <v>-150</v>
      </c>
    </row>
    <row r="62" spans="1:79" ht="15" customHeight="1" x14ac:dyDescent="0.25">
      <c r="A62" s="13" t="str">
        <f>IF('Alternative 3'!F63&gt;0,'Alternative 3'!F63,"x")</f>
        <v>x</v>
      </c>
      <c r="B62" s="13" t="e">
        <f t="shared" si="17"/>
        <v>#VALUE!</v>
      </c>
      <c r="C62" s="13">
        <f t="shared" si="12"/>
        <v>0</v>
      </c>
      <c r="D62" s="13" t="str">
        <f t="shared" si="13"/>
        <v>x</v>
      </c>
      <c r="E62" s="74">
        <f>IF($A62&lt;='Alternative 3'!$B$27, IF($A62='Alternative 3'!$B$27,0,E63+1),0)</f>
        <v>0</v>
      </c>
      <c r="F62" s="74">
        <f>IF($A62&lt;=('Alternative 3'!$B$28), IF($A62=ROUNDDOWN('Alternative 3'!$B$28,0),0,F63+1),0)</f>
        <v>0</v>
      </c>
      <c r="G62" s="74">
        <f>IF($A62&lt;=('Alternative 3'!$B$29), IF($A62=ROUNDDOWN('Alternative 3'!$B$29,0),0,G63+1),0)</f>
        <v>0</v>
      </c>
      <c r="H62" s="13" t="e">
        <f t="shared" si="14"/>
        <v>#VALUE!</v>
      </c>
      <c r="J62" s="77">
        <f t="shared" si="15"/>
        <v>59</v>
      </c>
      <c r="K62" s="77">
        <f t="shared" si="16"/>
        <v>1.0297442586766543</v>
      </c>
      <c r="L62" s="78">
        <f>'Alternative 3'!$B$27*SIN(K62)+'Alternative 3'!$B$28*SIN(K62)+'Alternative 3'!$B$29*SIN(K62)</f>
        <v>58.287376447743625</v>
      </c>
      <c r="M62" s="77">
        <f>(('Alternative 3'!$B$27)*(((('Alternative 3'!$B$28-'Alternative 3'!$B$27)/2)+'Alternative 3'!$B$27)*'Alternative 3'!$B$39)*COS('Alternative 3-Tilt Up'!K62))+(('Alternative 3'!$B$28)*((('Alternative 3'!$B$28-'Alternative 3'!$B$27)/2)+(('Alternative 3'!$B$29-'Alternative 3'!$B$28)/2))*('Alternative 3'!$B$39)*COS('Alternative 3-Tilt Up'!K62))+(('Alternative 3'!$B$29)*((('Alternative 3'!$B$12-'Alternative 3'!$B$29+(('Alternative 3'!$B$29-'Alternative 3'!$B$28)/2)*('Alternative 3'!$B$39)*COS('Alternative 3-Tilt Up'!K62)))))</f>
        <v>2444523.4794370718</v>
      </c>
      <c r="N62" s="82">
        <f t="shared" si="0"/>
        <v>125817.47344360199</v>
      </c>
      <c r="O62" s="77">
        <f>(((('Alternative 3'!$B$28-'Alternative 3'!$B$27)/2)+'Alternative 3'!$B$27)*('Alternative 3'!$B$39)*COS('Alternative 3-Tilt Up'!K62))+(((('Alternative 3'!$B$28-'Alternative 3'!$B$27)/2)+(('Alternative 3'!$B$29-'Alternative 3'!$B$28)/2))*('Alternative 3'!$B$39)*COS('Alternative 3-Tilt Up'!K62))+(((('Alternative 3'!$B$12-'Alternative 3'!$B$29)+(('Alternative 3'!$B$29-'Alternative 3'!$B$28)/2))*('Alternative 3'!$B$39)*COS('Alternative 3-Tilt Up'!K62)))</f>
        <v>157663.40739979155</v>
      </c>
      <c r="P62" s="77">
        <f t="shared" si="1"/>
        <v>64800.789312439658</v>
      </c>
      <c r="R62" s="78" t="e">
        <f>'Alternative 3'!$B$39*$B62*$C62*COS($K$5)-($N$5/3)*$E62*SIN($K$5)-($N$5/3)*$F62*SIN($K$5)-($N$5/3)*$G62*SIN($K$5)</f>
        <v>#VALUE!</v>
      </c>
      <c r="S62" s="79" t="e">
        <f>IF(($A62&lt;'Alternative 3'!$B$27),(($H62*'Alternative 3'!$B$39)+(3*($N$5/3)*COS($K$5))),IF(($A62&lt;'Alternative 3'!$B$28),(($H62*'Alternative 3'!$B$39)+(2*(($N$5/3)*COS($K$5)))),IF(($A62&lt;'Alternative 3'!$B$29),(($H$3*'Alternative 3'!$B$39+(($N$5/3)*COS($K$5)))),($H62*'Alternative 3'!$B$39))))</f>
        <v>#VALUE!</v>
      </c>
      <c r="T62" s="78" t="e">
        <f>R62*'Alternative 3'!$K63/'Alternative 3'!$L63</f>
        <v>#VALUE!</v>
      </c>
      <c r="U62" s="78" t="e">
        <f>S62/'Alternative 3'!$M63</f>
        <v>#VALUE!</v>
      </c>
      <c r="V62" s="78" t="e">
        <f t="shared" si="2"/>
        <v>#VALUE!</v>
      </c>
      <c r="X62" s="78" t="e">
        <f>'Alternative 3'!$B$39*$B62*$C62*COS($K$13)-($N$12/3)*$E62*SIN($K$13)-($N$12/3)*$F62*SIN($K$13)-($N$12/3)*$G62*SIN($K$13)</f>
        <v>#VALUE!</v>
      </c>
      <c r="Y62" s="79" t="e">
        <f>IF(($A62&lt;'Alternative 3'!$B$27),(($H62*'Alternative 3'!$B$39)+(3*($N$12/3)*COS($K$13))),IF(($A62&lt;'Alternative 3'!$B$28),(($H62*'Alternative 3'!$B$39)+(2*(($N$12/3)*COS($K$13)))),IF(($A62&lt;'Alternative 3'!$B$29),(($H$3*'Alternative 3'!$B$39+(($N$12/3)*COS($K$13)))),($H62*'Alternative 3'!$B$39))))</f>
        <v>#VALUE!</v>
      </c>
      <c r="Z62" s="78" t="e">
        <f>X62*'Alternative 3'!$K63/'Alternative 3'!$L63</f>
        <v>#VALUE!</v>
      </c>
      <c r="AA62" s="78" t="e">
        <f>Y62/'Alternative 3'!$M63</f>
        <v>#VALUE!</v>
      </c>
      <c r="AB62" s="78" t="e">
        <f t="shared" si="3"/>
        <v>#VALUE!</v>
      </c>
      <c r="AD62" s="78" t="e">
        <f>'Alternative 3'!$B$39*$B62*$C62*COS($K$23)-($N$22/3)*$E62*SIN($K$23)-($N$22/3)*$F62*SIN($K$23)-($N$22/3)*$G62*SIN($K$23)</f>
        <v>#VALUE!</v>
      </c>
      <c r="AE62" s="79" t="e">
        <f>IF(($A62&lt;'Alternative 3'!$B$27),(($H62*'Alternative 3'!$B$39)+(3*($N$22/3)*COS($K$23))),IF(($A62&lt;'Alternative 3'!$B$28),(($H62*'Alternative 3'!$B$39)+(2*(($N$22/3)*COS($K$23)))),IF(($A62&lt;'Alternative 3'!$B$29),(($H$3*'Alternative 3'!$B$39+(($N$22/3)*COS($K$23)))),($H62*'Alternative 3'!$B$39))))</f>
        <v>#VALUE!</v>
      </c>
      <c r="AF62" s="78" t="e">
        <f>AD62*'Alternative 3'!$K63/'Alternative 3'!$L63</f>
        <v>#VALUE!</v>
      </c>
      <c r="AG62" s="78" t="e">
        <f>AE62/'Alternative 3'!$M63</f>
        <v>#VALUE!</v>
      </c>
      <c r="AH62" s="78" t="e">
        <f t="shared" si="4"/>
        <v>#VALUE!</v>
      </c>
      <c r="AJ62" s="78" t="e">
        <f>'Alternative 3'!$B$39*$B62*$C62*COS($K$33)-($N$32/3)*$E62*SIN($K$33)-($N$32/3)*$F62*SIN($K$33)-($N$32/3)*$G62*SIN($K$33)</f>
        <v>#VALUE!</v>
      </c>
      <c r="AK62" s="79" t="e">
        <f>IF(($A62&lt;'Alternative 3'!$B$27),(($H62*'Alternative 3'!$B$39)+(3*($N$32/3)*COS($K$33))),IF(($A62&lt;'Alternative 3'!$B$28),(($H62*'Alternative 3'!$B$39)+(2*(($N$32/3)*COS($K$33)))),IF(($A62&lt;'Alternative 3'!$B$29),(($H$3*'Alternative 3'!$B$39+(($N$32/3)*COS($K$33)))),($H62*'Alternative 3'!$B$39))))</f>
        <v>#VALUE!</v>
      </c>
      <c r="AL62" s="78" t="e">
        <f>AJ62*'Alternative 3'!$K63/'Alternative 3'!$L63</f>
        <v>#VALUE!</v>
      </c>
      <c r="AM62" s="78" t="e">
        <f>AK62/'Alternative 3'!$M63</f>
        <v>#VALUE!</v>
      </c>
      <c r="AN62" s="78" t="e">
        <f t="shared" si="5"/>
        <v>#VALUE!</v>
      </c>
      <c r="AP62" s="78" t="e">
        <f>'Alternative 3'!$B$39*$B62*$C62*COS($K$43)-($N$42/3)*$E62*SIN($K$43)-($N$42/3)*$F62*SIN($K$43)-($N$42/3)*$G62*SIN($K$43)</f>
        <v>#VALUE!</v>
      </c>
      <c r="AQ62" s="79" t="e">
        <f>IF(($A62&lt;'Alternative 3'!$B$27),(($H62*'Alternative 3'!$B$39)+(3*($N$42/3)*COS($K$43))),IF(($A62&lt;'Alternative 3'!$B$28),(($H62*'Alternative 3'!$B$39)+(2*(($N$42/3)*COS($K$43)))),IF(($A62&lt;'Alternative 3'!$B$29),(($H$3*'Alternative 3'!$B$39+(($N$42/3)*COS($K$43)))),($H62*'Alternative 3'!$B$39))))</f>
        <v>#VALUE!</v>
      </c>
      <c r="AR62" s="78" t="e">
        <f>AP62*'Alternative 3'!$K63/'Alternative 3'!$L63</f>
        <v>#VALUE!</v>
      </c>
      <c r="AS62" s="78" t="e">
        <f>AQ62/'Alternative 3'!$M63</f>
        <v>#VALUE!</v>
      </c>
      <c r="AT62" s="78" t="e">
        <f t="shared" si="6"/>
        <v>#VALUE!</v>
      </c>
      <c r="AV62" s="78" t="e">
        <f>'Alternative 3'!$B$39*$B62*$C62*COS($K$53)-($N$52/3)*$E62*SIN($K$53)-($N$52/3)*$F62*SIN($K$53)-($N$52/3)*$G62*SIN($K$53)</f>
        <v>#VALUE!</v>
      </c>
      <c r="AW62" s="79" t="e">
        <f>IF(($A62&lt;'Alternative 3'!$B$27),(($H62*'Alternative 3'!$B$39)+(3*($N$52/3)*COS($K$53))),IF(($A62&lt;'Alternative 3'!$B$28),(($H62*'Alternative 3'!$B$39)+(2*(($N$52/3)*COS($K$53)))),IF(($A62&lt;'Alternative 3'!$B$29),(($H$3*'Alternative 3'!$B$39+(($N$52/3)*COS($K$53)))),($H62*'Alternative 3'!$B$39))))</f>
        <v>#VALUE!</v>
      </c>
      <c r="AX62" s="78" t="e">
        <f>AV62*'Alternative 3'!$K63/'Alternative 3'!$L63</f>
        <v>#VALUE!</v>
      </c>
      <c r="AY62" s="78" t="e">
        <f>AW62/'Alternative 3'!$M63</f>
        <v>#VALUE!</v>
      </c>
      <c r="AZ62" s="78" t="e">
        <f t="shared" si="7"/>
        <v>#VALUE!</v>
      </c>
      <c r="BB62" s="78" t="e">
        <f>'Alternative 3'!$B$39*$B62*$C62*COS($K$63)-($N$62/3)*$E62*SIN($K$63)-($N$62/3)*$F62*SIN($K$63)-($N$62/3)*$G62*SIN($K$63)</f>
        <v>#VALUE!</v>
      </c>
      <c r="BC62" s="79" t="e">
        <f>IF(($A62&lt;'Alternative 3'!$B$27),(($H62*'Alternative 3'!$B$39)+(3*($N$62/3)*COS($K$63))),IF(($A62&lt;'Alternative 3'!$B$28),(($H62*'Alternative 3'!$B$39)+(2*(($N$62/3)*COS($K$63)))),IF(($A62&lt;'Alternative 3'!$B$29),(($H$3*'Alternative 3'!$B$39+(($N$62/3)*COS($K$63)))),($H62*'Alternative 3'!$B$39))))</f>
        <v>#VALUE!</v>
      </c>
      <c r="BD62" s="78" t="e">
        <f>BB62*'Alternative 3'!$K63/'Alternative 3'!$L63</f>
        <v>#VALUE!</v>
      </c>
      <c r="BE62" s="78" t="e">
        <f>BC62/'Alternative 3'!$M63</f>
        <v>#VALUE!</v>
      </c>
      <c r="BF62" s="78" t="e">
        <f t="shared" si="8"/>
        <v>#VALUE!</v>
      </c>
      <c r="BH62" s="78" t="e">
        <f>'Alternative 3'!$B$39*$B62*$C62*COS($K$73)-($N$72/3)*$E62*SIN($K$73)-($N$72/3)*$F62*SIN($K$73)-($N$72/3)*$G62*SIN($K$73)</f>
        <v>#VALUE!</v>
      </c>
      <c r="BI62" s="79" t="e">
        <f>IF(($A62&lt;'Alternative 3'!$B$27),(($H62*'Alternative 3'!$B$39)+(3*($N$72/3)*COS($K$73))),IF(($A62&lt;'Alternative 3'!$B$28),(($H62*'Alternative 3'!$B$39)+(2*(($N$72/3)*COS($K$73)))),IF(($A62&lt;'Alternative 3'!$B$29),(($H$3*'Alternative 3'!$B$39+(($N$72/3)*COS($K$73)))),($H62*'Alternative 3'!$B$39))))</f>
        <v>#VALUE!</v>
      </c>
      <c r="BJ62" s="78" t="e">
        <f>BH62*'Alternative 3'!$K63/'Alternative 3'!$L63</f>
        <v>#VALUE!</v>
      </c>
      <c r="BK62" s="78" t="e">
        <f>BI62/'Alternative 3'!$M63</f>
        <v>#VALUE!</v>
      </c>
      <c r="BL62" s="78" t="e">
        <f t="shared" si="9"/>
        <v>#VALUE!</v>
      </c>
      <c r="BN62" s="78" t="e">
        <f>'Alternative 3'!$B$39*$B62*$C62*COS($K$83)-($N$82/3)*$E62*SIN($K$83)-($N$82/3)*$F62*SIN($K$83)-($N$82/3)*$G62*SIN($K$83)</f>
        <v>#VALUE!</v>
      </c>
      <c r="BO62" s="79" t="e">
        <f>IF(($A62&lt;'Alternative 3'!$B$27),(($H62*'Alternative 3'!$B$39)+(3*($N$82/3)*COS($K$83))),IF(($A62&lt;'Alternative 3'!$B$28),(($H62*'Alternative 3'!$B$39)+(2*(($N$82/3)*COS($K$83)))),IF(($A62&lt;'Alternative 3'!$B$29),(($H$3*'Alternative 3'!$B$39+(($N$82/3)*COS($K$83)))),($H62*'Alternative 3'!$B$39))))</f>
        <v>#VALUE!</v>
      </c>
      <c r="BP62" s="78" t="e">
        <f>BN62*'Alternative 3'!$K63/'Alternative 3'!$L63</f>
        <v>#VALUE!</v>
      </c>
      <c r="BQ62" s="78" t="e">
        <f>BO62/'Alternative 3'!$M63</f>
        <v>#VALUE!</v>
      </c>
      <c r="BR62" s="78" t="e">
        <f t="shared" si="10"/>
        <v>#VALUE!</v>
      </c>
      <c r="BT62" s="78" t="e">
        <f>'Alternative 3'!$B$39*$B62*$C62*COS($K$93)-($K$92/3)*$E62*SIN($K$93)-($K$92/3)*$F62*SIN($K$93)-($K$92/3)*$G62*SIN($K$93)</f>
        <v>#VALUE!</v>
      </c>
      <c r="BU62" s="79" t="e">
        <f>IF(($A62&lt;'Alternative 3'!$B$27),(($H62*'Alternative 3'!$B$39)+(3*($N$92/3)*COS($K$93))),IF(($A62&lt;'Alternative 3'!$B$28),(($H62*'Alternative 3'!$B$39)+(2*(($N$92/3)*COS($K$93)))),IF(($A62&lt;'Alternative 3'!$B$29),(($H$3*'Alternative 3'!$B$39+(($N$92/3)*COS($K$93)))),($H62*'Alternative 3'!$B$39))))</f>
        <v>#VALUE!</v>
      </c>
      <c r="BV62" s="78" t="e">
        <f>BT62*'Alternative 3'!$K63/'Alternative 3'!$L63</f>
        <v>#VALUE!</v>
      </c>
      <c r="BW62" s="78" t="e">
        <f>BU62/'Alternative 3'!$M63</f>
        <v>#VALUE!</v>
      </c>
      <c r="BX62" s="78" t="e">
        <f t="shared" si="11"/>
        <v>#VALUE!</v>
      </c>
      <c r="BZ62" s="77">
        <v>150</v>
      </c>
      <c r="CA62" s="77">
        <v>-150</v>
      </c>
    </row>
    <row r="63" spans="1:79" ht="15" customHeight="1" x14ac:dyDescent="0.25">
      <c r="A63" s="13" t="str">
        <f>IF('Alternative 3'!F64&gt;0,'Alternative 3'!F64,"x")</f>
        <v>x</v>
      </c>
      <c r="B63" s="13" t="e">
        <f t="shared" si="17"/>
        <v>#VALUE!</v>
      </c>
      <c r="C63" s="13">
        <f t="shared" si="12"/>
        <v>0</v>
      </c>
      <c r="D63" s="13" t="str">
        <f t="shared" si="13"/>
        <v>x</v>
      </c>
      <c r="E63" s="74">
        <f>IF($A63&lt;='Alternative 3'!$B$27, IF($A63='Alternative 3'!$B$27,0,E64+1),0)</f>
        <v>0</v>
      </c>
      <c r="F63" s="74">
        <f>IF($A63&lt;=('Alternative 3'!$B$28), IF($A63=ROUNDDOWN('Alternative 3'!$B$28,0),0,F64+1),0)</f>
        <v>0</v>
      </c>
      <c r="G63" s="74">
        <f>IF($A63&lt;=('Alternative 3'!$B$29), IF($A63=ROUNDDOWN('Alternative 3'!$B$29,0),0,G64+1),0)</f>
        <v>0</v>
      </c>
      <c r="H63" s="13" t="e">
        <f t="shared" si="14"/>
        <v>#VALUE!</v>
      </c>
      <c r="J63" s="77">
        <f t="shared" si="15"/>
        <v>60</v>
      </c>
      <c r="K63" s="82">
        <f t="shared" si="16"/>
        <v>1.0471975511965976</v>
      </c>
      <c r="L63" s="78">
        <f>'Alternative 3'!$B$27*SIN(K63)+'Alternative 3'!$B$28*SIN(K63)+'Alternative 3'!$B$29*SIN(K63)</f>
        <v>58.88972745734182</v>
      </c>
      <c r="M63" s="77">
        <f>(('Alternative 3'!$B$27)*(((('Alternative 3'!$B$28-'Alternative 3'!$B$27)/2)+'Alternative 3'!$B$27)*'Alternative 3'!$B$39)*COS('Alternative 3-Tilt Up'!K63))+(('Alternative 3'!$B$28)*((('Alternative 3'!$B$28-'Alternative 3'!$B$27)/2)+(('Alternative 3'!$B$29-'Alternative 3'!$B$28)/2))*('Alternative 3'!$B$39)*COS('Alternative 3-Tilt Up'!K63))+(('Alternative 3'!$B$29)*((('Alternative 3'!$B$12-'Alternative 3'!$B$29+(('Alternative 3'!$B$29-'Alternative 3'!$B$28)/2)*('Alternative 3'!$B$39)*COS('Alternative 3-Tilt Up'!K63)))))</f>
        <v>2373154.0271991105</v>
      </c>
      <c r="N63" s="77">
        <f t="shared" si="0"/>
        <v>120894.80439104569</v>
      </c>
      <c r="O63" s="77">
        <f>(((('Alternative 3'!$B$28-'Alternative 3'!$B$27)/2)+'Alternative 3'!$B$27)*('Alternative 3'!$B$39)*COS('Alternative 3-Tilt Up'!K63))+(((('Alternative 3'!$B$28-'Alternative 3'!$B$27)/2)+(('Alternative 3'!$B$29-'Alternative 3'!$B$28)/2))*('Alternative 3'!$B$39)*COS('Alternative 3-Tilt Up'!K63))+(((('Alternative 3'!$B$12-'Alternative 3'!$B$29)+(('Alternative 3'!$B$29-'Alternative 3'!$B$28)/2))*('Alternative 3'!$B$39)*COS('Alternative 3-Tilt Up'!K63)))</f>
        <v>153059.95331250579</v>
      </c>
      <c r="P63" s="82">
        <f t="shared" si="1"/>
        <v>60447.40219552286</v>
      </c>
      <c r="R63" s="78" t="e">
        <f>'Alternative 3'!$B$39*$B63*$C63*COS($K$5)-($N$5/3)*$E63*SIN($K$5)-($N$5/3)*$F63*SIN($K$5)-($N$5/3)*$G63*SIN($K$5)</f>
        <v>#VALUE!</v>
      </c>
      <c r="S63" s="79" t="e">
        <f>IF(($A63&lt;'Alternative 3'!$B$27),(($H63*'Alternative 3'!$B$39)+(3*($N$5/3)*COS($K$5))),IF(($A63&lt;'Alternative 3'!$B$28),(($H63*'Alternative 3'!$B$39)+(2*(($N$5/3)*COS($K$5)))),IF(($A63&lt;'Alternative 3'!$B$29),(($H$3*'Alternative 3'!$B$39+(($N$5/3)*COS($K$5)))),($H63*'Alternative 3'!$B$39))))</f>
        <v>#VALUE!</v>
      </c>
      <c r="T63" s="78" t="e">
        <f>R63*'Alternative 3'!$K64/'Alternative 3'!$L64</f>
        <v>#VALUE!</v>
      </c>
      <c r="U63" s="78" t="e">
        <f>S63/'Alternative 3'!$M64</f>
        <v>#VALUE!</v>
      </c>
      <c r="V63" s="78" t="e">
        <f t="shared" si="2"/>
        <v>#VALUE!</v>
      </c>
      <c r="X63" s="78" t="e">
        <f>'Alternative 3'!$B$39*$B63*$C63*COS($K$13)-($N$12/3)*$E63*SIN($K$13)-($N$12/3)*$F63*SIN($K$13)-($N$12/3)*$G63*SIN($K$13)</f>
        <v>#VALUE!</v>
      </c>
      <c r="Y63" s="79" t="e">
        <f>IF(($A63&lt;'Alternative 3'!$B$27),(($H63*'Alternative 3'!$B$39)+(3*($N$12/3)*COS($K$13))),IF(($A63&lt;'Alternative 3'!$B$28),(($H63*'Alternative 3'!$B$39)+(2*(($N$12/3)*COS($K$13)))),IF(($A63&lt;'Alternative 3'!$B$29),(($H$3*'Alternative 3'!$B$39+(($N$12/3)*COS($K$13)))),($H63*'Alternative 3'!$B$39))))</f>
        <v>#VALUE!</v>
      </c>
      <c r="Z63" s="78" t="e">
        <f>X63*'Alternative 3'!$K64/'Alternative 3'!$L64</f>
        <v>#VALUE!</v>
      </c>
      <c r="AA63" s="78" t="e">
        <f>Y63/'Alternative 3'!$M64</f>
        <v>#VALUE!</v>
      </c>
      <c r="AB63" s="78" t="e">
        <f t="shared" si="3"/>
        <v>#VALUE!</v>
      </c>
      <c r="AD63" s="78" t="e">
        <f>'Alternative 3'!$B$39*$B63*$C63*COS($K$23)-($N$22/3)*$E63*SIN($K$23)-($N$22/3)*$F63*SIN($K$23)-($N$22/3)*$G63*SIN($K$23)</f>
        <v>#VALUE!</v>
      </c>
      <c r="AE63" s="79" t="e">
        <f>IF(($A63&lt;'Alternative 3'!$B$27),(($H63*'Alternative 3'!$B$39)+(3*($N$22/3)*COS($K$23))),IF(($A63&lt;'Alternative 3'!$B$28),(($H63*'Alternative 3'!$B$39)+(2*(($N$22/3)*COS($K$23)))),IF(($A63&lt;'Alternative 3'!$B$29),(($H$3*'Alternative 3'!$B$39+(($N$22/3)*COS($K$23)))),($H63*'Alternative 3'!$B$39))))</f>
        <v>#VALUE!</v>
      </c>
      <c r="AF63" s="78" t="e">
        <f>AD63*'Alternative 3'!$K64/'Alternative 3'!$L64</f>
        <v>#VALUE!</v>
      </c>
      <c r="AG63" s="78" t="e">
        <f>AE63/'Alternative 3'!$M64</f>
        <v>#VALUE!</v>
      </c>
      <c r="AH63" s="78" t="e">
        <f t="shared" si="4"/>
        <v>#VALUE!</v>
      </c>
      <c r="AJ63" s="78" t="e">
        <f>'Alternative 3'!$B$39*$B63*$C63*COS($K$33)-($N$32/3)*$E63*SIN($K$33)-($N$32/3)*$F63*SIN($K$33)-($N$32/3)*$G63*SIN($K$33)</f>
        <v>#VALUE!</v>
      </c>
      <c r="AK63" s="79" t="e">
        <f>IF(($A63&lt;'Alternative 3'!$B$27),(($H63*'Alternative 3'!$B$39)+(3*($N$32/3)*COS($K$33))),IF(($A63&lt;'Alternative 3'!$B$28),(($H63*'Alternative 3'!$B$39)+(2*(($N$32/3)*COS($K$33)))),IF(($A63&lt;'Alternative 3'!$B$29),(($H$3*'Alternative 3'!$B$39+(($N$32/3)*COS($K$33)))),($H63*'Alternative 3'!$B$39))))</f>
        <v>#VALUE!</v>
      </c>
      <c r="AL63" s="78" t="e">
        <f>AJ63*'Alternative 3'!$K64/'Alternative 3'!$L64</f>
        <v>#VALUE!</v>
      </c>
      <c r="AM63" s="78" t="e">
        <f>AK63/'Alternative 3'!$M64</f>
        <v>#VALUE!</v>
      </c>
      <c r="AN63" s="78" t="e">
        <f t="shared" si="5"/>
        <v>#VALUE!</v>
      </c>
      <c r="AP63" s="78" t="e">
        <f>'Alternative 3'!$B$39*$B63*$C63*COS($K$43)-($N$42/3)*$E63*SIN($K$43)-($N$42/3)*$F63*SIN($K$43)-($N$42/3)*$G63*SIN($K$43)</f>
        <v>#VALUE!</v>
      </c>
      <c r="AQ63" s="79" t="e">
        <f>IF(($A63&lt;'Alternative 3'!$B$27),(($H63*'Alternative 3'!$B$39)+(3*($N$42/3)*COS($K$43))),IF(($A63&lt;'Alternative 3'!$B$28),(($H63*'Alternative 3'!$B$39)+(2*(($N$42/3)*COS($K$43)))),IF(($A63&lt;'Alternative 3'!$B$29),(($H$3*'Alternative 3'!$B$39+(($N$42/3)*COS($K$43)))),($H63*'Alternative 3'!$B$39))))</f>
        <v>#VALUE!</v>
      </c>
      <c r="AR63" s="78" t="e">
        <f>AP63*'Alternative 3'!$K64/'Alternative 3'!$L64</f>
        <v>#VALUE!</v>
      </c>
      <c r="AS63" s="78" t="e">
        <f>AQ63/'Alternative 3'!$M64</f>
        <v>#VALUE!</v>
      </c>
      <c r="AT63" s="78" t="e">
        <f t="shared" si="6"/>
        <v>#VALUE!</v>
      </c>
      <c r="AV63" s="78" t="e">
        <f>'Alternative 3'!$B$39*$B63*$C63*COS($K$53)-($N$52/3)*$E63*SIN($K$53)-($N$52/3)*$F63*SIN($K$53)-($N$52/3)*$G63*SIN($K$53)</f>
        <v>#VALUE!</v>
      </c>
      <c r="AW63" s="79" t="e">
        <f>IF(($A63&lt;'Alternative 3'!$B$27),(($H63*'Alternative 3'!$B$39)+(3*($N$52/3)*COS($K$53))),IF(($A63&lt;'Alternative 3'!$B$28),(($H63*'Alternative 3'!$B$39)+(2*(($N$52/3)*COS($K$53)))),IF(($A63&lt;'Alternative 3'!$B$29),(($H$3*'Alternative 3'!$B$39+(($N$52/3)*COS($K$53)))),($H63*'Alternative 3'!$B$39))))</f>
        <v>#VALUE!</v>
      </c>
      <c r="AX63" s="78" t="e">
        <f>AV63*'Alternative 3'!$K64/'Alternative 3'!$L64</f>
        <v>#VALUE!</v>
      </c>
      <c r="AY63" s="78" t="e">
        <f>AW63/'Alternative 3'!$M64</f>
        <v>#VALUE!</v>
      </c>
      <c r="AZ63" s="78" t="e">
        <f t="shared" si="7"/>
        <v>#VALUE!</v>
      </c>
      <c r="BB63" s="78" t="e">
        <f>'Alternative 3'!$B$39*$B63*$C63*COS($K$63)-($N$62/3)*$E63*SIN($K$63)-($N$62/3)*$F63*SIN($K$63)-($N$62/3)*$G63*SIN($K$63)</f>
        <v>#VALUE!</v>
      </c>
      <c r="BC63" s="79" t="e">
        <f>IF(($A63&lt;'Alternative 3'!$B$27),(($H63*'Alternative 3'!$B$39)+(3*($N$62/3)*COS($K$63))),IF(($A63&lt;'Alternative 3'!$B$28),(($H63*'Alternative 3'!$B$39)+(2*(($N$62/3)*COS($K$63)))),IF(($A63&lt;'Alternative 3'!$B$29),(($H$3*'Alternative 3'!$B$39+(($N$62/3)*COS($K$63)))),($H63*'Alternative 3'!$B$39))))</f>
        <v>#VALUE!</v>
      </c>
      <c r="BD63" s="78" t="e">
        <f>BB63*'Alternative 3'!$K64/'Alternative 3'!$L64</f>
        <v>#VALUE!</v>
      </c>
      <c r="BE63" s="78" t="e">
        <f>BC63/'Alternative 3'!$M64</f>
        <v>#VALUE!</v>
      </c>
      <c r="BF63" s="78" t="e">
        <f t="shared" si="8"/>
        <v>#VALUE!</v>
      </c>
      <c r="BH63" s="78" t="e">
        <f>'Alternative 3'!$B$39*$B63*$C63*COS($K$73)-($N$72/3)*$E63*SIN($K$73)-($N$72/3)*$F63*SIN($K$73)-($N$72/3)*$G63*SIN($K$73)</f>
        <v>#VALUE!</v>
      </c>
      <c r="BI63" s="79" t="e">
        <f>IF(($A63&lt;'Alternative 3'!$B$27),(($H63*'Alternative 3'!$B$39)+(3*($N$72/3)*COS($K$73))),IF(($A63&lt;'Alternative 3'!$B$28),(($H63*'Alternative 3'!$B$39)+(2*(($N$72/3)*COS($K$73)))),IF(($A63&lt;'Alternative 3'!$B$29),(($H$3*'Alternative 3'!$B$39+(($N$72/3)*COS($K$73)))),($H63*'Alternative 3'!$B$39))))</f>
        <v>#VALUE!</v>
      </c>
      <c r="BJ63" s="78" t="e">
        <f>BH63*'Alternative 3'!$K64/'Alternative 3'!$L64</f>
        <v>#VALUE!</v>
      </c>
      <c r="BK63" s="78" t="e">
        <f>BI63/'Alternative 3'!$M64</f>
        <v>#VALUE!</v>
      </c>
      <c r="BL63" s="78" t="e">
        <f t="shared" si="9"/>
        <v>#VALUE!</v>
      </c>
      <c r="BN63" s="78" t="e">
        <f>'Alternative 3'!$B$39*$B63*$C63*COS($K$83)-($N$82/3)*$E63*SIN($K$83)-($N$82/3)*$F63*SIN($K$83)-($N$82/3)*$G63*SIN($K$83)</f>
        <v>#VALUE!</v>
      </c>
      <c r="BO63" s="79" t="e">
        <f>IF(($A63&lt;'Alternative 3'!$B$27),(($H63*'Alternative 3'!$B$39)+(3*($N$82/3)*COS($K$83))),IF(($A63&lt;'Alternative 3'!$B$28),(($H63*'Alternative 3'!$B$39)+(2*(($N$82/3)*COS($K$83)))),IF(($A63&lt;'Alternative 3'!$B$29),(($H$3*'Alternative 3'!$B$39+(($N$82/3)*COS($K$83)))),($H63*'Alternative 3'!$B$39))))</f>
        <v>#VALUE!</v>
      </c>
      <c r="BP63" s="78" t="e">
        <f>BN63*'Alternative 3'!$K64/'Alternative 3'!$L64</f>
        <v>#VALUE!</v>
      </c>
      <c r="BQ63" s="78" t="e">
        <f>BO63/'Alternative 3'!$M64</f>
        <v>#VALUE!</v>
      </c>
      <c r="BR63" s="78" t="e">
        <f t="shared" si="10"/>
        <v>#VALUE!</v>
      </c>
      <c r="BT63" s="78" t="e">
        <f>'Alternative 3'!$B$39*$B63*$C63*COS($K$93)-($K$92/3)*$E63*SIN($K$93)-($K$92/3)*$F63*SIN($K$93)-($K$92/3)*$G63*SIN($K$93)</f>
        <v>#VALUE!</v>
      </c>
      <c r="BU63" s="79" t="e">
        <f>IF(($A63&lt;'Alternative 3'!$B$27),(($H63*'Alternative 3'!$B$39)+(3*($N$92/3)*COS($K$93))),IF(($A63&lt;'Alternative 3'!$B$28),(($H63*'Alternative 3'!$B$39)+(2*(($N$92/3)*COS($K$93)))),IF(($A63&lt;'Alternative 3'!$B$29),(($H$3*'Alternative 3'!$B$39+(($N$92/3)*COS($K$93)))),($H63*'Alternative 3'!$B$39))))</f>
        <v>#VALUE!</v>
      </c>
      <c r="BV63" s="78" t="e">
        <f>BT63*'Alternative 3'!$K64/'Alternative 3'!$L64</f>
        <v>#VALUE!</v>
      </c>
      <c r="BW63" s="78" t="e">
        <f>BU63/'Alternative 3'!$M64</f>
        <v>#VALUE!</v>
      </c>
      <c r="BX63" s="78" t="e">
        <f t="shared" si="11"/>
        <v>#VALUE!</v>
      </c>
      <c r="BZ63" s="77">
        <v>150</v>
      </c>
      <c r="CA63" s="77">
        <v>-150</v>
      </c>
    </row>
    <row r="64" spans="1:79" ht="15" customHeight="1" x14ac:dyDescent="0.25">
      <c r="A64" s="13" t="str">
        <f>IF('Alternative 3'!F65&gt;0,'Alternative 3'!F65,"x")</f>
        <v>x</v>
      </c>
      <c r="B64" s="13" t="e">
        <f t="shared" si="17"/>
        <v>#VALUE!</v>
      </c>
      <c r="C64" s="13">
        <f t="shared" si="12"/>
        <v>0</v>
      </c>
      <c r="D64" s="13" t="str">
        <f t="shared" si="13"/>
        <v>x</v>
      </c>
      <c r="E64" s="74">
        <f>IF($A64&lt;='Alternative 3'!$B$27, IF($A64='Alternative 3'!$B$27,0,E65+1),0)</f>
        <v>0</v>
      </c>
      <c r="F64" s="74">
        <f>IF($A64&lt;=('Alternative 3'!$B$28), IF($A64=ROUNDDOWN('Alternative 3'!$B$28,0),0,F65+1),0)</f>
        <v>0</v>
      </c>
      <c r="G64" s="74">
        <f>IF($A64&lt;=('Alternative 3'!$B$29), IF($A64=ROUNDDOWN('Alternative 3'!$B$29,0),0,G65+1),0)</f>
        <v>0</v>
      </c>
      <c r="H64" s="13" t="e">
        <f t="shared" si="14"/>
        <v>#VALUE!</v>
      </c>
      <c r="J64" s="77">
        <f t="shared" si="15"/>
        <v>61</v>
      </c>
      <c r="K64" s="77">
        <f t="shared" si="16"/>
        <v>1.064650843716541</v>
      </c>
      <c r="L64" s="78">
        <f>'Alternative 3'!$B$27*SIN(K64)+'Alternative 3'!$B$28*SIN(K64)+'Alternative 3'!$B$29*SIN(K64)</f>
        <v>59.474140085478915</v>
      </c>
      <c r="M64" s="77">
        <f>(('Alternative 3'!$B$27)*(((('Alternative 3'!$B$28-'Alternative 3'!$B$27)/2)+'Alternative 3'!$B$27)*'Alternative 3'!$B$39)*COS('Alternative 3-Tilt Up'!K64))+(('Alternative 3'!$B$28)*((('Alternative 3'!$B$28-'Alternative 3'!$B$27)/2)+(('Alternative 3'!$B$29-'Alternative 3'!$B$28)/2))*('Alternative 3'!$B$39)*COS('Alternative 3-Tilt Up'!K64))+(('Alternative 3'!$B$29)*((('Alternative 3'!$B$12-'Alternative 3'!$B$29+(('Alternative 3'!$B$29-'Alternative 3'!$B$28)/2)*('Alternative 3'!$B$39)*COS('Alternative 3-Tilt Up'!K64)))))</f>
        <v>2301061.7488463335</v>
      </c>
      <c r="N64" s="77">
        <f t="shared" si="0"/>
        <v>116070.36666049196</v>
      </c>
      <c r="O64" s="77">
        <f>(((('Alternative 3'!$B$28-'Alternative 3'!$B$27)/2)+'Alternative 3'!$B$27)*('Alternative 3'!$B$39)*COS('Alternative 3-Tilt Up'!K64))+(((('Alternative 3'!$B$28-'Alternative 3'!$B$27)/2)+(('Alternative 3'!$B$29-'Alternative 3'!$B$28)/2))*('Alternative 3'!$B$39)*COS('Alternative 3-Tilt Up'!K64))+(((('Alternative 3'!$B$12-'Alternative 3'!$B$29)+(('Alternative 3'!$B$29-'Alternative 3'!$B$28)/2))*('Alternative 3'!$B$39)*COS('Alternative 3-Tilt Up'!K64)))</f>
        <v>148409.87568071604</v>
      </c>
      <c r="P64" s="77">
        <f t="shared" si="1"/>
        <v>56272.030382526216</v>
      </c>
      <c r="R64" s="78" t="e">
        <f>'Alternative 3'!$B$39*$B64*$C64*COS($K$5)-($N$5/3)*$E64*SIN($K$5)-($N$5/3)*$F64*SIN($K$5)-($N$5/3)*$G64*SIN($K$5)</f>
        <v>#VALUE!</v>
      </c>
      <c r="S64" s="79" t="e">
        <f>IF(($A64&lt;'Alternative 3'!$B$27),(($H64*'Alternative 3'!$B$39)+(3*($N$5/3)*COS($K$5))),IF(($A64&lt;'Alternative 3'!$B$28),(($H64*'Alternative 3'!$B$39)+(2*(($N$5/3)*COS($K$5)))),IF(($A64&lt;'Alternative 3'!$B$29),(($H$3*'Alternative 3'!$B$39+(($N$5/3)*COS($K$5)))),($H64*'Alternative 3'!$B$39))))</f>
        <v>#VALUE!</v>
      </c>
      <c r="T64" s="78" t="e">
        <f>R64*'Alternative 3'!$K65/'Alternative 3'!$L65</f>
        <v>#VALUE!</v>
      </c>
      <c r="U64" s="78" t="e">
        <f>S64/'Alternative 3'!$M65</f>
        <v>#VALUE!</v>
      </c>
      <c r="V64" s="78" t="e">
        <f t="shared" si="2"/>
        <v>#VALUE!</v>
      </c>
      <c r="X64" s="78" t="e">
        <f>'Alternative 3'!$B$39*$B64*$C64*COS($K$13)-($N$12/3)*$E64*SIN($K$13)-($N$12/3)*$F64*SIN($K$13)-($N$12/3)*$G64*SIN($K$13)</f>
        <v>#VALUE!</v>
      </c>
      <c r="Y64" s="79" t="e">
        <f>IF(($A64&lt;'Alternative 3'!$B$27),(($H64*'Alternative 3'!$B$39)+(3*($N$12/3)*COS($K$13))),IF(($A64&lt;'Alternative 3'!$B$28),(($H64*'Alternative 3'!$B$39)+(2*(($N$12/3)*COS($K$13)))),IF(($A64&lt;'Alternative 3'!$B$29),(($H$3*'Alternative 3'!$B$39+(($N$12/3)*COS($K$13)))),($H64*'Alternative 3'!$B$39))))</f>
        <v>#VALUE!</v>
      </c>
      <c r="Z64" s="78" t="e">
        <f>X64*'Alternative 3'!$K65/'Alternative 3'!$L65</f>
        <v>#VALUE!</v>
      </c>
      <c r="AA64" s="78" t="e">
        <f>Y64/'Alternative 3'!$M65</f>
        <v>#VALUE!</v>
      </c>
      <c r="AB64" s="78" t="e">
        <f t="shared" si="3"/>
        <v>#VALUE!</v>
      </c>
      <c r="AD64" s="78" t="e">
        <f>'Alternative 3'!$B$39*$B64*$C64*COS($K$23)-($N$22/3)*$E64*SIN($K$23)-($N$22/3)*$F64*SIN($K$23)-($N$22/3)*$G64*SIN($K$23)</f>
        <v>#VALUE!</v>
      </c>
      <c r="AE64" s="79" t="e">
        <f>IF(($A64&lt;'Alternative 3'!$B$27),(($H64*'Alternative 3'!$B$39)+(3*($N$22/3)*COS($K$23))),IF(($A64&lt;'Alternative 3'!$B$28),(($H64*'Alternative 3'!$B$39)+(2*(($N$22/3)*COS($K$23)))),IF(($A64&lt;'Alternative 3'!$B$29),(($H$3*'Alternative 3'!$B$39+(($N$22/3)*COS($K$23)))),($H64*'Alternative 3'!$B$39))))</f>
        <v>#VALUE!</v>
      </c>
      <c r="AF64" s="78" t="e">
        <f>AD64*'Alternative 3'!$K65/'Alternative 3'!$L65</f>
        <v>#VALUE!</v>
      </c>
      <c r="AG64" s="78" t="e">
        <f>AE64/'Alternative 3'!$M65</f>
        <v>#VALUE!</v>
      </c>
      <c r="AH64" s="78" t="e">
        <f t="shared" si="4"/>
        <v>#VALUE!</v>
      </c>
      <c r="AJ64" s="78" t="e">
        <f>'Alternative 3'!$B$39*$B64*$C64*COS($K$33)-($N$32/3)*$E64*SIN($K$33)-($N$32/3)*$F64*SIN($K$33)-($N$32/3)*$G64*SIN($K$33)</f>
        <v>#VALUE!</v>
      </c>
      <c r="AK64" s="79" t="e">
        <f>IF(($A64&lt;'Alternative 3'!$B$27),(($H64*'Alternative 3'!$B$39)+(3*($N$32/3)*COS($K$33))),IF(($A64&lt;'Alternative 3'!$B$28),(($H64*'Alternative 3'!$B$39)+(2*(($N$32/3)*COS($K$33)))),IF(($A64&lt;'Alternative 3'!$B$29),(($H$3*'Alternative 3'!$B$39+(($N$32/3)*COS($K$33)))),($H64*'Alternative 3'!$B$39))))</f>
        <v>#VALUE!</v>
      </c>
      <c r="AL64" s="78" t="e">
        <f>AJ64*'Alternative 3'!$K65/'Alternative 3'!$L65</f>
        <v>#VALUE!</v>
      </c>
      <c r="AM64" s="78" t="e">
        <f>AK64/'Alternative 3'!$M65</f>
        <v>#VALUE!</v>
      </c>
      <c r="AN64" s="78" t="e">
        <f t="shared" si="5"/>
        <v>#VALUE!</v>
      </c>
      <c r="AP64" s="78" t="e">
        <f>'Alternative 3'!$B$39*$B64*$C64*COS($K$43)-($N$42/3)*$E64*SIN($K$43)-($N$42/3)*$F64*SIN($K$43)-($N$42/3)*$G64*SIN($K$43)</f>
        <v>#VALUE!</v>
      </c>
      <c r="AQ64" s="79" t="e">
        <f>IF(($A64&lt;'Alternative 3'!$B$27),(($H64*'Alternative 3'!$B$39)+(3*($N$42/3)*COS($K$43))),IF(($A64&lt;'Alternative 3'!$B$28),(($H64*'Alternative 3'!$B$39)+(2*(($N$42/3)*COS($K$43)))),IF(($A64&lt;'Alternative 3'!$B$29),(($H$3*'Alternative 3'!$B$39+(($N$42/3)*COS($K$43)))),($H64*'Alternative 3'!$B$39))))</f>
        <v>#VALUE!</v>
      </c>
      <c r="AR64" s="78" t="e">
        <f>AP64*'Alternative 3'!$K65/'Alternative 3'!$L65</f>
        <v>#VALUE!</v>
      </c>
      <c r="AS64" s="78" t="e">
        <f>AQ64/'Alternative 3'!$M65</f>
        <v>#VALUE!</v>
      </c>
      <c r="AT64" s="78" t="e">
        <f t="shared" si="6"/>
        <v>#VALUE!</v>
      </c>
      <c r="AV64" s="78" t="e">
        <f>'Alternative 3'!$B$39*$B64*$C64*COS($K$53)-($N$52/3)*$E64*SIN($K$53)-($N$52/3)*$F64*SIN($K$53)-($N$52/3)*$G64*SIN($K$53)</f>
        <v>#VALUE!</v>
      </c>
      <c r="AW64" s="79" t="e">
        <f>IF(($A64&lt;'Alternative 3'!$B$27),(($H64*'Alternative 3'!$B$39)+(3*($N$52/3)*COS($K$53))),IF(($A64&lt;'Alternative 3'!$B$28),(($H64*'Alternative 3'!$B$39)+(2*(($N$52/3)*COS($K$53)))),IF(($A64&lt;'Alternative 3'!$B$29),(($H$3*'Alternative 3'!$B$39+(($N$52/3)*COS($K$53)))),($H64*'Alternative 3'!$B$39))))</f>
        <v>#VALUE!</v>
      </c>
      <c r="AX64" s="78" t="e">
        <f>AV64*'Alternative 3'!$K65/'Alternative 3'!$L65</f>
        <v>#VALUE!</v>
      </c>
      <c r="AY64" s="78" t="e">
        <f>AW64/'Alternative 3'!$M65</f>
        <v>#VALUE!</v>
      </c>
      <c r="AZ64" s="78" t="e">
        <f t="shared" si="7"/>
        <v>#VALUE!</v>
      </c>
      <c r="BB64" s="78" t="e">
        <f>'Alternative 3'!$B$39*$B64*$C64*COS($K$63)-($N$62/3)*$E64*SIN($K$63)-($N$62/3)*$F64*SIN($K$63)-($N$62/3)*$G64*SIN($K$63)</f>
        <v>#VALUE!</v>
      </c>
      <c r="BC64" s="79" t="e">
        <f>IF(($A64&lt;'Alternative 3'!$B$27),(($H64*'Alternative 3'!$B$39)+(3*($N$62/3)*COS($K$63))),IF(($A64&lt;'Alternative 3'!$B$28),(($H64*'Alternative 3'!$B$39)+(2*(($N$62/3)*COS($K$63)))),IF(($A64&lt;'Alternative 3'!$B$29),(($H$3*'Alternative 3'!$B$39+(($N$62/3)*COS($K$63)))),($H64*'Alternative 3'!$B$39))))</f>
        <v>#VALUE!</v>
      </c>
      <c r="BD64" s="78" t="e">
        <f>BB64*'Alternative 3'!$K65/'Alternative 3'!$L65</f>
        <v>#VALUE!</v>
      </c>
      <c r="BE64" s="78" t="e">
        <f>BC64/'Alternative 3'!$M65</f>
        <v>#VALUE!</v>
      </c>
      <c r="BF64" s="78" t="e">
        <f t="shared" si="8"/>
        <v>#VALUE!</v>
      </c>
      <c r="BH64" s="78" t="e">
        <f>'Alternative 3'!$B$39*$B64*$C64*COS($K$73)-($N$72/3)*$E64*SIN($K$73)-($N$72/3)*$F64*SIN($K$73)-($N$72/3)*$G64*SIN($K$73)</f>
        <v>#VALUE!</v>
      </c>
      <c r="BI64" s="79" t="e">
        <f>IF(($A64&lt;'Alternative 3'!$B$27),(($H64*'Alternative 3'!$B$39)+(3*($N$72/3)*COS($K$73))),IF(($A64&lt;'Alternative 3'!$B$28),(($H64*'Alternative 3'!$B$39)+(2*(($N$72/3)*COS($K$73)))),IF(($A64&lt;'Alternative 3'!$B$29),(($H$3*'Alternative 3'!$B$39+(($N$72/3)*COS($K$73)))),($H64*'Alternative 3'!$B$39))))</f>
        <v>#VALUE!</v>
      </c>
      <c r="BJ64" s="78" t="e">
        <f>BH64*'Alternative 3'!$K65/'Alternative 3'!$L65</f>
        <v>#VALUE!</v>
      </c>
      <c r="BK64" s="78" t="e">
        <f>BI64/'Alternative 3'!$M65</f>
        <v>#VALUE!</v>
      </c>
      <c r="BL64" s="78" t="e">
        <f t="shared" si="9"/>
        <v>#VALUE!</v>
      </c>
      <c r="BN64" s="78" t="e">
        <f>'Alternative 3'!$B$39*$B64*$C64*COS($K$83)-($N$82/3)*$E64*SIN($K$83)-($N$82/3)*$F64*SIN($K$83)-($N$82/3)*$G64*SIN($K$83)</f>
        <v>#VALUE!</v>
      </c>
      <c r="BO64" s="79" t="e">
        <f>IF(($A64&lt;'Alternative 3'!$B$27),(($H64*'Alternative 3'!$B$39)+(3*($N$82/3)*COS($K$83))),IF(($A64&lt;'Alternative 3'!$B$28),(($H64*'Alternative 3'!$B$39)+(2*(($N$82/3)*COS($K$83)))),IF(($A64&lt;'Alternative 3'!$B$29),(($H$3*'Alternative 3'!$B$39+(($N$82/3)*COS($K$83)))),($H64*'Alternative 3'!$B$39))))</f>
        <v>#VALUE!</v>
      </c>
      <c r="BP64" s="78" t="e">
        <f>BN64*'Alternative 3'!$K65/'Alternative 3'!$L65</f>
        <v>#VALUE!</v>
      </c>
      <c r="BQ64" s="78" t="e">
        <f>BO64/'Alternative 3'!$M65</f>
        <v>#VALUE!</v>
      </c>
      <c r="BR64" s="78" t="e">
        <f t="shared" si="10"/>
        <v>#VALUE!</v>
      </c>
      <c r="BT64" s="78" t="e">
        <f>'Alternative 3'!$B$39*$B64*$C64*COS($K$93)-($K$92/3)*$E64*SIN($K$93)-($K$92/3)*$F64*SIN($K$93)-($K$92/3)*$G64*SIN($K$93)</f>
        <v>#VALUE!</v>
      </c>
      <c r="BU64" s="79" t="e">
        <f>IF(($A64&lt;'Alternative 3'!$B$27),(($H64*'Alternative 3'!$B$39)+(3*($N$92/3)*COS($K$93))),IF(($A64&lt;'Alternative 3'!$B$28),(($H64*'Alternative 3'!$B$39)+(2*(($N$92/3)*COS($K$93)))),IF(($A64&lt;'Alternative 3'!$B$29),(($H$3*'Alternative 3'!$B$39+(($N$92/3)*COS($K$93)))),($H64*'Alternative 3'!$B$39))))</f>
        <v>#VALUE!</v>
      </c>
      <c r="BV64" s="78" t="e">
        <f>BT64*'Alternative 3'!$K65/'Alternative 3'!$L65</f>
        <v>#VALUE!</v>
      </c>
      <c r="BW64" s="78" t="e">
        <f>BU64/'Alternative 3'!$M65</f>
        <v>#VALUE!</v>
      </c>
      <c r="BX64" s="78" t="e">
        <f t="shared" si="11"/>
        <v>#VALUE!</v>
      </c>
      <c r="BZ64" s="77">
        <v>150</v>
      </c>
      <c r="CA64" s="77">
        <v>-150</v>
      </c>
    </row>
    <row r="65" spans="1:79" ht="15" customHeight="1" x14ac:dyDescent="0.25">
      <c r="A65" s="13" t="str">
        <f>IF('Alternative 3'!F66&gt;0,'Alternative 3'!F66,"x")</f>
        <v>x</v>
      </c>
      <c r="B65" s="13" t="e">
        <f t="shared" si="17"/>
        <v>#VALUE!</v>
      </c>
      <c r="C65" s="13">
        <f t="shared" si="12"/>
        <v>0</v>
      </c>
      <c r="D65" s="13" t="str">
        <f t="shared" si="13"/>
        <v>x</v>
      </c>
      <c r="E65" s="74">
        <f>IF($A65&lt;='Alternative 3'!$B$27, IF($A65='Alternative 3'!$B$27,0,E66+1),0)</f>
        <v>0</v>
      </c>
      <c r="F65" s="74">
        <f>IF($A65&lt;=('Alternative 3'!$B$28), IF($A65=ROUNDDOWN('Alternative 3'!$B$28,0),0,F66+1),0)</f>
        <v>0</v>
      </c>
      <c r="G65" s="74">
        <f>IF($A65&lt;=('Alternative 3'!$B$29), IF($A65=ROUNDDOWN('Alternative 3'!$B$29,0),0,G66+1),0)</f>
        <v>0</v>
      </c>
      <c r="H65" s="13" t="e">
        <f t="shared" si="14"/>
        <v>#VALUE!</v>
      </c>
      <c r="J65" s="77">
        <f t="shared" si="15"/>
        <v>62</v>
      </c>
      <c r="K65" s="77">
        <f t="shared" si="16"/>
        <v>1.0821041362364843</v>
      </c>
      <c r="L65" s="78">
        <f>'Alternative 3'!$B$27*SIN(K65)+'Alternative 3'!$B$28*SIN(K65)+'Alternative 3'!$B$29*SIN(K65)</f>
        <v>60.040436314407032</v>
      </c>
      <c r="M65" s="77">
        <f>(('Alternative 3'!$B$27)*(((('Alternative 3'!$B$28-'Alternative 3'!$B$27)/2)+'Alternative 3'!$B$27)*'Alternative 3'!$B$39)*COS('Alternative 3-Tilt Up'!K65))+(('Alternative 3'!$B$28)*((('Alternative 3'!$B$28-'Alternative 3'!$B$27)/2)+(('Alternative 3'!$B$29-'Alternative 3'!$B$28)/2))*('Alternative 3'!$B$39)*COS('Alternative 3-Tilt Up'!K65))+(('Alternative 3'!$B$29)*((('Alternative 3'!$B$12-'Alternative 3'!$B$29+(('Alternative 3'!$B$29-'Alternative 3'!$B$28)/2)*('Alternative 3'!$B$39)*COS('Alternative 3-Tilt Up'!K65)))))</f>
        <v>2228268.6043851003</v>
      </c>
      <c r="N65" s="77">
        <f t="shared" si="0"/>
        <v>111338.39498017181</v>
      </c>
      <c r="O65" s="77">
        <f>(((('Alternative 3'!$B$28-'Alternative 3'!$B$27)/2)+'Alternative 3'!$B$27)*('Alternative 3'!$B$39)*COS('Alternative 3-Tilt Up'!K65))+(((('Alternative 3'!$B$28-'Alternative 3'!$B$27)/2)+(('Alternative 3'!$B$29-'Alternative 3'!$B$28)/2))*('Alternative 3'!$B$39)*COS('Alternative 3-Tilt Up'!K65))+(((('Alternative 3'!$B$12-'Alternative 3'!$B$29)+(('Alternative 3'!$B$29-'Alternative 3'!$B$28)/2))*('Alternative 3'!$B$39)*COS('Alternative 3-Tilt Up'!K65)))</f>
        <v>143714.59096311516</v>
      </c>
      <c r="P65" s="77">
        <f t="shared" si="1"/>
        <v>52270.210289414048</v>
      </c>
      <c r="R65" s="78" t="e">
        <f>'Alternative 3'!$B$39*$B65*$C65*COS($K$5)-($N$5/3)*$E65*SIN($K$5)-($N$5/3)*$F65*SIN($K$5)-($N$5/3)*$G65*SIN($K$5)</f>
        <v>#VALUE!</v>
      </c>
      <c r="S65" s="79" t="e">
        <f>IF(($A65&lt;'Alternative 3'!$B$27),(($H65*'Alternative 3'!$B$39)+(3*($N$5/3)*COS($K$5))),IF(($A65&lt;'Alternative 3'!$B$28),(($H65*'Alternative 3'!$B$39)+(2*(($N$5/3)*COS($K$5)))),IF(($A65&lt;'Alternative 3'!$B$29),(($H$3*'Alternative 3'!$B$39+(($N$5/3)*COS($K$5)))),($H65*'Alternative 3'!$B$39))))</f>
        <v>#VALUE!</v>
      </c>
      <c r="T65" s="78" t="e">
        <f>R65*'Alternative 3'!$K66/'Alternative 3'!$L66</f>
        <v>#VALUE!</v>
      </c>
      <c r="U65" s="78" t="e">
        <f>S65/'Alternative 3'!$M66</f>
        <v>#VALUE!</v>
      </c>
      <c r="V65" s="78" t="e">
        <f t="shared" si="2"/>
        <v>#VALUE!</v>
      </c>
      <c r="X65" s="78" t="e">
        <f>'Alternative 3'!$B$39*$B65*$C65*COS($K$13)-($N$12/3)*$E65*SIN($K$13)-($N$12/3)*$F65*SIN($K$13)-($N$12/3)*$G65*SIN($K$13)</f>
        <v>#VALUE!</v>
      </c>
      <c r="Y65" s="79" t="e">
        <f>IF(($A65&lt;'Alternative 3'!$B$27),(($H65*'Alternative 3'!$B$39)+(3*($N$12/3)*COS($K$13))),IF(($A65&lt;'Alternative 3'!$B$28),(($H65*'Alternative 3'!$B$39)+(2*(($N$12/3)*COS($K$13)))),IF(($A65&lt;'Alternative 3'!$B$29),(($H$3*'Alternative 3'!$B$39+(($N$12/3)*COS($K$13)))),($H65*'Alternative 3'!$B$39))))</f>
        <v>#VALUE!</v>
      </c>
      <c r="Z65" s="78" t="e">
        <f>X65*'Alternative 3'!$K66/'Alternative 3'!$L66</f>
        <v>#VALUE!</v>
      </c>
      <c r="AA65" s="78" t="e">
        <f>Y65/'Alternative 3'!$M66</f>
        <v>#VALUE!</v>
      </c>
      <c r="AB65" s="78" t="e">
        <f t="shared" si="3"/>
        <v>#VALUE!</v>
      </c>
      <c r="AD65" s="78" t="e">
        <f>'Alternative 3'!$B$39*$B65*$C65*COS($K$23)-($N$22/3)*$E65*SIN($K$23)-($N$22/3)*$F65*SIN($K$23)-($N$22/3)*$G65*SIN($K$23)</f>
        <v>#VALUE!</v>
      </c>
      <c r="AE65" s="79" t="e">
        <f>IF(($A65&lt;'Alternative 3'!$B$27),(($H65*'Alternative 3'!$B$39)+(3*($N$22/3)*COS($K$23))),IF(($A65&lt;'Alternative 3'!$B$28),(($H65*'Alternative 3'!$B$39)+(2*(($N$22/3)*COS($K$23)))),IF(($A65&lt;'Alternative 3'!$B$29),(($H$3*'Alternative 3'!$B$39+(($N$22/3)*COS($K$23)))),($H65*'Alternative 3'!$B$39))))</f>
        <v>#VALUE!</v>
      </c>
      <c r="AF65" s="78" t="e">
        <f>AD65*'Alternative 3'!$K66/'Alternative 3'!$L66</f>
        <v>#VALUE!</v>
      </c>
      <c r="AG65" s="78" t="e">
        <f>AE65/'Alternative 3'!$M66</f>
        <v>#VALUE!</v>
      </c>
      <c r="AH65" s="78" t="e">
        <f t="shared" si="4"/>
        <v>#VALUE!</v>
      </c>
      <c r="AJ65" s="78" t="e">
        <f>'Alternative 3'!$B$39*$B65*$C65*COS($K$33)-($N$32/3)*$E65*SIN($K$33)-($N$32/3)*$F65*SIN($K$33)-($N$32/3)*$G65*SIN($K$33)</f>
        <v>#VALUE!</v>
      </c>
      <c r="AK65" s="79" t="e">
        <f>IF(($A65&lt;'Alternative 3'!$B$27),(($H65*'Alternative 3'!$B$39)+(3*($N$32/3)*COS($K$33))),IF(($A65&lt;'Alternative 3'!$B$28),(($H65*'Alternative 3'!$B$39)+(2*(($N$32/3)*COS($K$33)))),IF(($A65&lt;'Alternative 3'!$B$29),(($H$3*'Alternative 3'!$B$39+(($N$32/3)*COS($K$33)))),($H65*'Alternative 3'!$B$39))))</f>
        <v>#VALUE!</v>
      </c>
      <c r="AL65" s="78" t="e">
        <f>AJ65*'Alternative 3'!$K66/'Alternative 3'!$L66</f>
        <v>#VALUE!</v>
      </c>
      <c r="AM65" s="78" t="e">
        <f>AK65/'Alternative 3'!$M66</f>
        <v>#VALUE!</v>
      </c>
      <c r="AN65" s="78" t="e">
        <f t="shared" si="5"/>
        <v>#VALUE!</v>
      </c>
      <c r="AP65" s="78" t="e">
        <f>'Alternative 3'!$B$39*$B65*$C65*COS($K$43)-($N$42/3)*$E65*SIN($K$43)-($N$42/3)*$F65*SIN($K$43)-($N$42/3)*$G65*SIN($K$43)</f>
        <v>#VALUE!</v>
      </c>
      <c r="AQ65" s="79" t="e">
        <f>IF(($A65&lt;'Alternative 3'!$B$27),(($H65*'Alternative 3'!$B$39)+(3*($N$42/3)*COS($K$43))),IF(($A65&lt;'Alternative 3'!$B$28),(($H65*'Alternative 3'!$B$39)+(2*(($N$42/3)*COS($K$43)))),IF(($A65&lt;'Alternative 3'!$B$29),(($H$3*'Alternative 3'!$B$39+(($N$42/3)*COS($K$43)))),($H65*'Alternative 3'!$B$39))))</f>
        <v>#VALUE!</v>
      </c>
      <c r="AR65" s="78" t="e">
        <f>AP65*'Alternative 3'!$K66/'Alternative 3'!$L66</f>
        <v>#VALUE!</v>
      </c>
      <c r="AS65" s="78" t="e">
        <f>AQ65/'Alternative 3'!$M66</f>
        <v>#VALUE!</v>
      </c>
      <c r="AT65" s="78" t="e">
        <f t="shared" si="6"/>
        <v>#VALUE!</v>
      </c>
      <c r="AV65" s="78" t="e">
        <f>'Alternative 3'!$B$39*$B65*$C65*COS($K$53)-($N$52/3)*$E65*SIN($K$53)-($N$52/3)*$F65*SIN($K$53)-($N$52/3)*$G65*SIN($K$53)</f>
        <v>#VALUE!</v>
      </c>
      <c r="AW65" s="79" t="e">
        <f>IF(($A65&lt;'Alternative 3'!$B$27),(($H65*'Alternative 3'!$B$39)+(3*($N$52/3)*COS($K$53))),IF(($A65&lt;'Alternative 3'!$B$28),(($H65*'Alternative 3'!$B$39)+(2*(($N$52/3)*COS($K$53)))),IF(($A65&lt;'Alternative 3'!$B$29),(($H$3*'Alternative 3'!$B$39+(($N$52/3)*COS($K$53)))),($H65*'Alternative 3'!$B$39))))</f>
        <v>#VALUE!</v>
      </c>
      <c r="AX65" s="78" t="e">
        <f>AV65*'Alternative 3'!$K66/'Alternative 3'!$L66</f>
        <v>#VALUE!</v>
      </c>
      <c r="AY65" s="78" t="e">
        <f>AW65/'Alternative 3'!$M66</f>
        <v>#VALUE!</v>
      </c>
      <c r="AZ65" s="78" t="e">
        <f t="shared" si="7"/>
        <v>#VALUE!</v>
      </c>
      <c r="BB65" s="78" t="e">
        <f>'Alternative 3'!$B$39*$B65*$C65*COS($K$63)-($N$62/3)*$E65*SIN($K$63)-($N$62/3)*$F65*SIN($K$63)-($N$62/3)*$G65*SIN($K$63)</f>
        <v>#VALUE!</v>
      </c>
      <c r="BC65" s="79" t="e">
        <f>IF(($A65&lt;'Alternative 3'!$B$27),(($H65*'Alternative 3'!$B$39)+(3*($N$62/3)*COS($K$63))),IF(($A65&lt;'Alternative 3'!$B$28),(($H65*'Alternative 3'!$B$39)+(2*(($N$62/3)*COS($K$63)))),IF(($A65&lt;'Alternative 3'!$B$29),(($H$3*'Alternative 3'!$B$39+(($N$62/3)*COS($K$63)))),($H65*'Alternative 3'!$B$39))))</f>
        <v>#VALUE!</v>
      </c>
      <c r="BD65" s="78" t="e">
        <f>BB65*'Alternative 3'!$K66/'Alternative 3'!$L66</f>
        <v>#VALUE!</v>
      </c>
      <c r="BE65" s="78" t="e">
        <f>BC65/'Alternative 3'!$M66</f>
        <v>#VALUE!</v>
      </c>
      <c r="BF65" s="78" t="e">
        <f t="shared" si="8"/>
        <v>#VALUE!</v>
      </c>
      <c r="BH65" s="78" t="e">
        <f>'Alternative 3'!$B$39*$B65*$C65*COS($K$73)-($N$72/3)*$E65*SIN($K$73)-($N$72/3)*$F65*SIN($K$73)-($N$72/3)*$G65*SIN($K$73)</f>
        <v>#VALUE!</v>
      </c>
      <c r="BI65" s="79" t="e">
        <f>IF(($A65&lt;'Alternative 3'!$B$27),(($H65*'Alternative 3'!$B$39)+(3*($N$72/3)*COS($K$73))),IF(($A65&lt;'Alternative 3'!$B$28),(($H65*'Alternative 3'!$B$39)+(2*(($N$72/3)*COS($K$73)))),IF(($A65&lt;'Alternative 3'!$B$29),(($H$3*'Alternative 3'!$B$39+(($N$72/3)*COS($K$73)))),($H65*'Alternative 3'!$B$39))))</f>
        <v>#VALUE!</v>
      </c>
      <c r="BJ65" s="78" t="e">
        <f>BH65*'Alternative 3'!$K66/'Alternative 3'!$L66</f>
        <v>#VALUE!</v>
      </c>
      <c r="BK65" s="78" t="e">
        <f>BI65/'Alternative 3'!$M66</f>
        <v>#VALUE!</v>
      </c>
      <c r="BL65" s="78" t="e">
        <f t="shared" si="9"/>
        <v>#VALUE!</v>
      </c>
      <c r="BN65" s="78" t="e">
        <f>'Alternative 3'!$B$39*$B65*$C65*COS($K$83)-($N$82/3)*$E65*SIN($K$83)-($N$82/3)*$F65*SIN($K$83)-($N$82/3)*$G65*SIN($K$83)</f>
        <v>#VALUE!</v>
      </c>
      <c r="BO65" s="79" t="e">
        <f>IF(($A65&lt;'Alternative 3'!$B$27),(($H65*'Alternative 3'!$B$39)+(3*($N$82/3)*COS($K$83))),IF(($A65&lt;'Alternative 3'!$B$28),(($H65*'Alternative 3'!$B$39)+(2*(($N$82/3)*COS($K$83)))),IF(($A65&lt;'Alternative 3'!$B$29),(($H$3*'Alternative 3'!$B$39+(($N$82/3)*COS($K$83)))),($H65*'Alternative 3'!$B$39))))</f>
        <v>#VALUE!</v>
      </c>
      <c r="BP65" s="78" t="e">
        <f>BN65*'Alternative 3'!$K66/'Alternative 3'!$L66</f>
        <v>#VALUE!</v>
      </c>
      <c r="BQ65" s="78" t="e">
        <f>BO65/'Alternative 3'!$M66</f>
        <v>#VALUE!</v>
      </c>
      <c r="BR65" s="78" t="e">
        <f t="shared" si="10"/>
        <v>#VALUE!</v>
      </c>
      <c r="BT65" s="78" t="e">
        <f>'Alternative 3'!$B$39*$B65*$C65*COS($K$93)-($K$92/3)*$E65*SIN($K$93)-($K$92/3)*$F65*SIN($K$93)-($K$92/3)*$G65*SIN($K$93)</f>
        <v>#VALUE!</v>
      </c>
      <c r="BU65" s="79" t="e">
        <f>IF(($A65&lt;'Alternative 3'!$B$27),(($H65*'Alternative 3'!$B$39)+(3*($N$92/3)*COS($K$93))),IF(($A65&lt;'Alternative 3'!$B$28),(($H65*'Alternative 3'!$B$39)+(2*(($N$92/3)*COS($K$93)))),IF(($A65&lt;'Alternative 3'!$B$29),(($H$3*'Alternative 3'!$B$39+(($N$92/3)*COS($K$93)))),($H65*'Alternative 3'!$B$39))))</f>
        <v>#VALUE!</v>
      </c>
      <c r="BV65" s="78" t="e">
        <f>BT65*'Alternative 3'!$K66/'Alternative 3'!$L66</f>
        <v>#VALUE!</v>
      </c>
      <c r="BW65" s="78" t="e">
        <f>BU65/'Alternative 3'!$M66</f>
        <v>#VALUE!</v>
      </c>
      <c r="BX65" s="78" t="e">
        <f t="shared" si="11"/>
        <v>#VALUE!</v>
      </c>
      <c r="BZ65" s="77">
        <v>150</v>
      </c>
      <c r="CA65" s="77">
        <v>-150</v>
      </c>
    </row>
    <row r="66" spans="1:79" ht="15" customHeight="1" x14ac:dyDescent="0.25">
      <c r="A66" s="13" t="str">
        <f>IF('Alternative 3'!F67&gt;0,'Alternative 3'!F67,"x")</f>
        <v>x</v>
      </c>
      <c r="B66" s="13" t="e">
        <f t="shared" si="17"/>
        <v>#VALUE!</v>
      </c>
      <c r="C66" s="13">
        <f t="shared" si="12"/>
        <v>0</v>
      </c>
      <c r="D66" s="13" t="str">
        <f t="shared" si="13"/>
        <v>x</v>
      </c>
      <c r="E66" s="74">
        <f>IF($A66&lt;='Alternative 3'!$B$27, IF($A66='Alternative 3'!$B$27,0,E67+1),0)</f>
        <v>0</v>
      </c>
      <c r="F66" s="74">
        <f>IF($A66&lt;=('Alternative 3'!$B$28), IF($A66=ROUNDDOWN('Alternative 3'!$B$28,0),0,F67+1),0)</f>
        <v>0</v>
      </c>
      <c r="G66" s="74">
        <f>IF($A66&lt;=('Alternative 3'!$B$29), IF($A66=ROUNDDOWN('Alternative 3'!$B$29,0),0,G67+1),0)</f>
        <v>0</v>
      </c>
      <c r="H66" s="13" t="e">
        <f t="shared" si="14"/>
        <v>#VALUE!</v>
      </c>
      <c r="J66" s="77">
        <f t="shared" si="15"/>
        <v>63</v>
      </c>
      <c r="K66" s="77">
        <f t="shared" si="16"/>
        <v>1.0995574287564276</v>
      </c>
      <c r="L66" s="78">
        <f>'Alternative 3'!$B$27*SIN(K66)+'Alternative 3'!$B$28*SIN(K66)+'Alternative 3'!$B$29*SIN(K66)</f>
        <v>60.588443644809004</v>
      </c>
      <c r="M66" s="77">
        <f>(('Alternative 3'!$B$27)*(((('Alternative 3'!$B$28-'Alternative 3'!$B$27)/2)+'Alternative 3'!$B$27)*'Alternative 3'!$B$39)*COS('Alternative 3-Tilt Up'!K66))+(('Alternative 3'!$B$28)*((('Alternative 3'!$B$28-'Alternative 3'!$B$27)/2)+(('Alternative 3'!$B$29-'Alternative 3'!$B$28)/2))*('Alternative 3'!$B$39)*COS('Alternative 3-Tilt Up'!K66))+(('Alternative 3'!$B$29)*((('Alternative 3'!$B$12-'Alternative 3'!$B$29+(('Alternative 3'!$B$29-'Alternative 3'!$B$28)/2)*('Alternative 3'!$B$39)*COS('Alternative 3-Tilt Up'!K66)))))</f>
        <v>2154796.7673123768</v>
      </c>
      <c r="N66" s="77">
        <f t="shared" si="0"/>
        <v>106693.45362019338</v>
      </c>
      <c r="O66" s="77">
        <f>(((('Alternative 3'!$B$28-'Alternative 3'!$B$27)/2)+'Alternative 3'!$B$27)*('Alternative 3'!$B$39)*COS('Alternative 3-Tilt Up'!K66))+(((('Alternative 3'!$B$28-'Alternative 3'!$B$27)/2)+(('Alternative 3'!$B$29-'Alternative 3'!$B$28)/2))*('Alternative 3'!$B$39)*COS('Alternative 3-Tilt Up'!K66))+(((('Alternative 3'!$B$12-'Alternative 3'!$B$29)+(('Alternative 3'!$B$29-'Alternative 3'!$B$28)/2))*('Alternative 3'!$B$39)*COS('Alternative 3-Tilt Up'!K66)))</f>
        <v>138975.5293889124</v>
      </c>
      <c r="P66" s="77">
        <f t="shared" si="1"/>
        <v>48437.814327969754</v>
      </c>
      <c r="R66" s="78" t="e">
        <f>'Alternative 3'!$B$39*$B66*$C66*COS($K$5)-($N$5/3)*$E66*SIN($K$5)-($N$5/3)*$F66*SIN($K$5)-($N$5/3)*$G66*SIN($K$5)</f>
        <v>#VALUE!</v>
      </c>
      <c r="S66" s="79" t="e">
        <f>IF(($A66&lt;'Alternative 3'!$B$27),(($H66*'Alternative 3'!$B$39)+(3*($N$5/3)*COS($K$5))),IF(($A66&lt;'Alternative 3'!$B$28),(($H66*'Alternative 3'!$B$39)+(2*(($N$5/3)*COS($K$5)))),IF(($A66&lt;'Alternative 3'!$B$29),(($H$3*'Alternative 3'!$B$39+(($N$5/3)*COS($K$5)))),($H66*'Alternative 3'!$B$39))))</f>
        <v>#VALUE!</v>
      </c>
      <c r="T66" s="78" t="e">
        <f>R66*'Alternative 3'!$K67/'Alternative 3'!$L67</f>
        <v>#VALUE!</v>
      </c>
      <c r="U66" s="78" t="e">
        <f>S66/'Alternative 3'!$M67</f>
        <v>#VALUE!</v>
      </c>
      <c r="V66" s="78" t="e">
        <f t="shared" si="2"/>
        <v>#VALUE!</v>
      </c>
      <c r="X66" s="78" t="e">
        <f>'Alternative 3'!$B$39*$B66*$C66*COS($K$13)-($N$12/3)*$E66*SIN($K$13)-($N$12/3)*$F66*SIN($K$13)-($N$12/3)*$G66*SIN($K$13)</f>
        <v>#VALUE!</v>
      </c>
      <c r="Y66" s="79" t="e">
        <f>IF(($A66&lt;'Alternative 3'!$B$27),(($H66*'Alternative 3'!$B$39)+(3*($N$12/3)*COS($K$13))),IF(($A66&lt;'Alternative 3'!$B$28),(($H66*'Alternative 3'!$B$39)+(2*(($N$12/3)*COS($K$13)))),IF(($A66&lt;'Alternative 3'!$B$29),(($H$3*'Alternative 3'!$B$39+(($N$12/3)*COS($K$13)))),($H66*'Alternative 3'!$B$39))))</f>
        <v>#VALUE!</v>
      </c>
      <c r="Z66" s="78" t="e">
        <f>X66*'Alternative 3'!$K67/'Alternative 3'!$L67</f>
        <v>#VALUE!</v>
      </c>
      <c r="AA66" s="78" t="e">
        <f>Y66/'Alternative 3'!$M67</f>
        <v>#VALUE!</v>
      </c>
      <c r="AB66" s="78" t="e">
        <f t="shared" si="3"/>
        <v>#VALUE!</v>
      </c>
      <c r="AD66" s="78" t="e">
        <f>'Alternative 3'!$B$39*$B66*$C66*COS($K$23)-($N$22/3)*$E66*SIN($K$23)-($N$22/3)*$F66*SIN($K$23)-($N$22/3)*$G66*SIN($K$23)</f>
        <v>#VALUE!</v>
      </c>
      <c r="AE66" s="79" t="e">
        <f>IF(($A66&lt;'Alternative 3'!$B$27),(($H66*'Alternative 3'!$B$39)+(3*($N$22/3)*COS($K$23))),IF(($A66&lt;'Alternative 3'!$B$28),(($H66*'Alternative 3'!$B$39)+(2*(($N$22/3)*COS($K$23)))),IF(($A66&lt;'Alternative 3'!$B$29),(($H$3*'Alternative 3'!$B$39+(($N$22/3)*COS($K$23)))),($H66*'Alternative 3'!$B$39))))</f>
        <v>#VALUE!</v>
      </c>
      <c r="AF66" s="78" t="e">
        <f>AD66*'Alternative 3'!$K67/'Alternative 3'!$L67</f>
        <v>#VALUE!</v>
      </c>
      <c r="AG66" s="78" t="e">
        <f>AE66/'Alternative 3'!$M67</f>
        <v>#VALUE!</v>
      </c>
      <c r="AH66" s="78" t="e">
        <f t="shared" si="4"/>
        <v>#VALUE!</v>
      </c>
      <c r="AJ66" s="78" t="e">
        <f>'Alternative 3'!$B$39*$B66*$C66*COS($K$33)-($N$32/3)*$E66*SIN($K$33)-($N$32/3)*$F66*SIN($K$33)-($N$32/3)*$G66*SIN($K$33)</f>
        <v>#VALUE!</v>
      </c>
      <c r="AK66" s="79" t="e">
        <f>IF(($A66&lt;'Alternative 3'!$B$27),(($H66*'Alternative 3'!$B$39)+(3*($N$32/3)*COS($K$33))),IF(($A66&lt;'Alternative 3'!$B$28),(($H66*'Alternative 3'!$B$39)+(2*(($N$32/3)*COS($K$33)))),IF(($A66&lt;'Alternative 3'!$B$29),(($H$3*'Alternative 3'!$B$39+(($N$32/3)*COS($K$33)))),($H66*'Alternative 3'!$B$39))))</f>
        <v>#VALUE!</v>
      </c>
      <c r="AL66" s="78" t="e">
        <f>AJ66*'Alternative 3'!$K67/'Alternative 3'!$L67</f>
        <v>#VALUE!</v>
      </c>
      <c r="AM66" s="78" t="e">
        <f>AK66/'Alternative 3'!$M67</f>
        <v>#VALUE!</v>
      </c>
      <c r="AN66" s="78" t="e">
        <f t="shared" si="5"/>
        <v>#VALUE!</v>
      </c>
      <c r="AP66" s="78" t="e">
        <f>'Alternative 3'!$B$39*$B66*$C66*COS($K$43)-($N$42/3)*$E66*SIN($K$43)-($N$42/3)*$F66*SIN($K$43)-($N$42/3)*$G66*SIN($K$43)</f>
        <v>#VALUE!</v>
      </c>
      <c r="AQ66" s="79" t="e">
        <f>IF(($A66&lt;'Alternative 3'!$B$27),(($H66*'Alternative 3'!$B$39)+(3*($N$42/3)*COS($K$43))),IF(($A66&lt;'Alternative 3'!$B$28),(($H66*'Alternative 3'!$B$39)+(2*(($N$42/3)*COS($K$43)))),IF(($A66&lt;'Alternative 3'!$B$29),(($H$3*'Alternative 3'!$B$39+(($N$42/3)*COS($K$43)))),($H66*'Alternative 3'!$B$39))))</f>
        <v>#VALUE!</v>
      </c>
      <c r="AR66" s="78" t="e">
        <f>AP66*'Alternative 3'!$K67/'Alternative 3'!$L67</f>
        <v>#VALUE!</v>
      </c>
      <c r="AS66" s="78" t="e">
        <f>AQ66/'Alternative 3'!$M67</f>
        <v>#VALUE!</v>
      </c>
      <c r="AT66" s="78" t="e">
        <f t="shared" si="6"/>
        <v>#VALUE!</v>
      </c>
      <c r="AV66" s="78" t="e">
        <f>'Alternative 3'!$B$39*$B66*$C66*COS($K$53)-($N$52/3)*$E66*SIN($K$53)-($N$52/3)*$F66*SIN($K$53)-($N$52/3)*$G66*SIN($K$53)</f>
        <v>#VALUE!</v>
      </c>
      <c r="AW66" s="79" t="e">
        <f>IF(($A66&lt;'Alternative 3'!$B$27),(($H66*'Alternative 3'!$B$39)+(3*($N$52/3)*COS($K$53))),IF(($A66&lt;'Alternative 3'!$B$28),(($H66*'Alternative 3'!$B$39)+(2*(($N$52/3)*COS($K$53)))),IF(($A66&lt;'Alternative 3'!$B$29),(($H$3*'Alternative 3'!$B$39+(($N$52/3)*COS($K$53)))),($H66*'Alternative 3'!$B$39))))</f>
        <v>#VALUE!</v>
      </c>
      <c r="AX66" s="78" t="e">
        <f>AV66*'Alternative 3'!$K67/'Alternative 3'!$L67</f>
        <v>#VALUE!</v>
      </c>
      <c r="AY66" s="78" t="e">
        <f>AW66/'Alternative 3'!$M67</f>
        <v>#VALUE!</v>
      </c>
      <c r="AZ66" s="78" t="e">
        <f t="shared" si="7"/>
        <v>#VALUE!</v>
      </c>
      <c r="BB66" s="78" t="e">
        <f>'Alternative 3'!$B$39*$B66*$C66*COS($K$63)-($N$62/3)*$E66*SIN($K$63)-($N$62/3)*$F66*SIN($K$63)-($N$62/3)*$G66*SIN($K$63)</f>
        <v>#VALUE!</v>
      </c>
      <c r="BC66" s="79" t="e">
        <f>IF(($A66&lt;'Alternative 3'!$B$27),(($H66*'Alternative 3'!$B$39)+(3*($N$62/3)*COS($K$63))),IF(($A66&lt;'Alternative 3'!$B$28),(($H66*'Alternative 3'!$B$39)+(2*(($N$62/3)*COS($K$63)))),IF(($A66&lt;'Alternative 3'!$B$29),(($H$3*'Alternative 3'!$B$39+(($N$62/3)*COS($K$63)))),($H66*'Alternative 3'!$B$39))))</f>
        <v>#VALUE!</v>
      </c>
      <c r="BD66" s="78" t="e">
        <f>BB66*'Alternative 3'!$K67/'Alternative 3'!$L67</f>
        <v>#VALUE!</v>
      </c>
      <c r="BE66" s="78" t="e">
        <f>BC66/'Alternative 3'!$M67</f>
        <v>#VALUE!</v>
      </c>
      <c r="BF66" s="78" t="e">
        <f t="shared" si="8"/>
        <v>#VALUE!</v>
      </c>
      <c r="BH66" s="78" t="e">
        <f>'Alternative 3'!$B$39*$B66*$C66*COS($K$73)-($N$72/3)*$E66*SIN($K$73)-($N$72/3)*$F66*SIN($K$73)-($N$72/3)*$G66*SIN($K$73)</f>
        <v>#VALUE!</v>
      </c>
      <c r="BI66" s="79" t="e">
        <f>IF(($A66&lt;'Alternative 3'!$B$27),(($H66*'Alternative 3'!$B$39)+(3*($N$72/3)*COS($K$73))),IF(($A66&lt;'Alternative 3'!$B$28),(($H66*'Alternative 3'!$B$39)+(2*(($N$72/3)*COS($K$73)))),IF(($A66&lt;'Alternative 3'!$B$29),(($H$3*'Alternative 3'!$B$39+(($N$72/3)*COS($K$73)))),($H66*'Alternative 3'!$B$39))))</f>
        <v>#VALUE!</v>
      </c>
      <c r="BJ66" s="78" t="e">
        <f>BH66*'Alternative 3'!$K67/'Alternative 3'!$L67</f>
        <v>#VALUE!</v>
      </c>
      <c r="BK66" s="78" t="e">
        <f>BI66/'Alternative 3'!$M67</f>
        <v>#VALUE!</v>
      </c>
      <c r="BL66" s="78" t="e">
        <f t="shared" si="9"/>
        <v>#VALUE!</v>
      </c>
      <c r="BN66" s="78" t="e">
        <f>'Alternative 3'!$B$39*$B66*$C66*COS($K$83)-($N$82/3)*$E66*SIN($K$83)-($N$82/3)*$F66*SIN($K$83)-($N$82/3)*$G66*SIN($K$83)</f>
        <v>#VALUE!</v>
      </c>
      <c r="BO66" s="79" t="e">
        <f>IF(($A66&lt;'Alternative 3'!$B$27),(($H66*'Alternative 3'!$B$39)+(3*($N$82/3)*COS($K$83))),IF(($A66&lt;'Alternative 3'!$B$28),(($H66*'Alternative 3'!$B$39)+(2*(($N$82/3)*COS($K$83)))),IF(($A66&lt;'Alternative 3'!$B$29),(($H$3*'Alternative 3'!$B$39+(($N$82/3)*COS($K$83)))),($H66*'Alternative 3'!$B$39))))</f>
        <v>#VALUE!</v>
      </c>
      <c r="BP66" s="78" t="e">
        <f>BN66*'Alternative 3'!$K67/'Alternative 3'!$L67</f>
        <v>#VALUE!</v>
      </c>
      <c r="BQ66" s="78" t="e">
        <f>BO66/'Alternative 3'!$M67</f>
        <v>#VALUE!</v>
      </c>
      <c r="BR66" s="78" t="e">
        <f t="shared" si="10"/>
        <v>#VALUE!</v>
      </c>
      <c r="BT66" s="78" t="e">
        <f>'Alternative 3'!$B$39*$B66*$C66*COS($K$93)-($K$92/3)*$E66*SIN($K$93)-($K$92/3)*$F66*SIN($K$93)-($K$92/3)*$G66*SIN($K$93)</f>
        <v>#VALUE!</v>
      </c>
      <c r="BU66" s="79" t="e">
        <f>IF(($A66&lt;'Alternative 3'!$B$27),(($H66*'Alternative 3'!$B$39)+(3*($N$92/3)*COS($K$93))),IF(($A66&lt;'Alternative 3'!$B$28),(($H66*'Alternative 3'!$B$39)+(2*(($N$92/3)*COS($K$93)))),IF(($A66&lt;'Alternative 3'!$B$29),(($H$3*'Alternative 3'!$B$39+(($N$92/3)*COS($K$93)))),($H66*'Alternative 3'!$B$39))))</f>
        <v>#VALUE!</v>
      </c>
      <c r="BV66" s="78" t="e">
        <f>BT66*'Alternative 3'!$K67/'Alternative 3'!$L67</f>
        <v>#VALUE!</v>
      </c>
      <c r="BW66" s="78" t="e">
        <f>BU66/'Alternative 3'!$M67</f>
        <v>#VALUE!</v>
      </c>
      <c r="BX66" s="78" t="e">
        <f t="shared" si="11"/>
        <v>#VALUE!</v>
      </c>
      <c r="BZ66" s="77">
        <v>150</v>
      </c>
      <c r="CA66" s="77">
        <v>-150</v>
      </c>
    </row>
    <row r="67" spans="1:79" ht="15" customHeight="1" x14ac:dyDescent="0.25">
      <c r="A67" s="13" t="str">
        <f>IF('Alternative 3'!F68&gt;0,'Alternative 3'!F68,"x")</f>
        <v>x</v>
      </c>
      <c r="B67" s="13" t="e">
        <f t="shared" si="17"/>
        <v>#VALUE!</v>
      </c>
      <c r="C67" s="13">
        <f t="shared" si="12"/>
        <v>0</v>
      </c>
      <c r="D67" s="13" t="str">
        <f t="shared" si="13"/>
        <v>x</v>
      </c>
      <c r="E67" s="74">
        <f>IF($A67&lt;='Alternative 3'!$B$27, IF($A67='Alternative 3'!$B$27,0,E68+1),0)</f>
        <v>0</v>
      </c>
      <c r="F67" s="74">
        <f>IF($A67&lt;=('Alternative 3'!$B$28), IF($A67=ROUNDDOWN('Alternative 3'!$B$28,0),0,F68+1),0)</f>
        <v>0</v>
      </c>
      <c r="G67" s="74">
        <f>IF($A67&lt;=('Alternative 3'!$B$29), IF($A67=ROUNDDOWN('Alternative 3'!$B$29,0),0,G68+1),0)</f>
        <v>0</v>
      </c>
      <c r="H67" s="13" t="e">
        <f t="shared" si="14"/>
        <v>#VALUE!</v>
      </c>
      <c r="J67" s="77">
        <f t="shared" si="15"/>
        <v>64</v>
      </c>
      <c r="K67" s="77">
        <f t="shared" si="16"/>
        <v>1.1170107212763709</v>
      </c>
      <c r="L67" s="78">
        <f>'Alternative 3'!$B$27*SIN(K67)+'Alternative 3'!$B$28*SIN(K67)+'Alternative 3'!$B$29*SIN(K67)</f>
        <v>61.117995148343354</v>
      </c>
      <c r="M67" s="77">
        <f>(('Alternative 3'!$B$27)*(((('Alternative 3'!$B$28-'Alternative 3'!$B$27)/2)+'Alternative 3'!$B$27)*'Alternative 3'!$B$39)*COS('Alternative 3-Tilt Up'!K67))+(('Alternative 3'!$B$28)*((('Alternative 3'!$B$28-'Alternative 3'!$B$27)/2)+(('Alternative 3'!$B$29-'Alternative 3'!$B$28)/2))*('Alternative 3'!$B$39)*COS('Alternative 3-Tilt Up'!K67))+(('Alternative 3'!$B$29)*((('Alternative 3'!$B$12-'Alternative 3'!$B$29+(('Alternative 3'!$B$29-'Alternative 3'!$B$28)/2)*('Alternative 3'!$B$39)*COS('Alternative 3-Tilt Up'!K67)))))</f>
        <v>2080668.6178614735</v>
      </c>
      <c r="N67" s="77">
        <f t="shared" ref="N67:N93" si="18">M67*3/L67</f>
        <v>102130.40919346343</v>
      </c>
      <c r="O67" s="77">
        <f>(((('Alternative 3'!$B$28-'Alternative 3'!$B$27)/2)+'Alternative 3'!$B$27)*('Alternative 3'!$B$39)*COS('Alternative 3-Tilt Up'!K67))+(((('Alternative 3'!$B$28-'Alternative 3'!$B$27)/2)+(('Alternative 3'!$B$29-'Alternative 3'!$B$28)/2))*('Alternative 3'!$B$39)*COS('Alternative 3-Tilt Up'!K67))+(((('Alternative 3'!$B$12-'Alternative 3'!$B$29)+(('Alternative 3'!$B$29-'Alternative 3'!$B$28)/2))*('Alternative 3'!$B$39)*COS('Alternative 3-Tilt Up'!K67)))</f>
        <v>134194.13452217163</v>
      </c>
      <c r="P67" s="77">
        <f t="shared" ref="P67:P93" si="19">N67*COS(K67)</f>
        <v>44771.024600176308</v>
      </c>
      <c r="R67" s="78" t="e">
        <f>'Alternative 3'!$B$39*$B67*$C67*COS($K$5)-($N$5/3)*$E67*SIN($K$5)-($N$5/3)*$F67*SIN($K$5)-($N$5/3)*$G67*SIN($K$5)</f>
        <v>#VALUE!</v>
      </c>
      <c r="S67" s="79" t="e">
        <f>IF(($A67&lt;'Alternative 3'!$B$27),(($H67*'Alternative 3'!$B$39)+(3*($N$5/3)*COS($K$5))),IF(($A67&lt;'Alternative 3'!$B$28),(($H67*'Alternative 3'!$B$39)+(2*(($N$5/3)*COS($K$5)))),IF(($A67&lt;'Alternative 3'!$B$29),(($H$3*'Alternative 3'!$B$39+(($N$5/3)*COS($K$5)))),($H67*'Alternative 3'!$B$39))))</f>
        <v>#VALUE!</v>
      </c>
      <c r="T67" s="78" t="e">
        <f>R67*'Alternative 3'!$K68/'Alternative 3'!$L68</f>
        <v>#VALUE!</v>
      </c>
      <c r="U67" s="78" t="e">
        <f>S67/'Alternative 3'!$M68</f>
        <v>#VALUE!</v>
      </c>
      <c r="V67" s="78" t="e">
        <f t="shared" ref="V67:V93" si="20">(T67+U67)/1000000</f>
        <v>#VALUE!</v>
      </c>
      <c r="X67" s="78" t="e">
        <f>'Alternative 3'!$B$39*$B67*$C67*COS($K$13)-($N$12/3)*$E67*SIN($K$13)-($N$12/3)*$F67*SIN($K$13)-($N$12/3)*$G67*SIN($K$13)</f>
        <v>#VALUE!</v>
      </c>
      <c r="Y67" s="79" t="e">
        <f>IF(($A67&lt;'Alternative 3'!$B$27),(($H67*'Alternative 3'!$B$39)+(3*($N$12/3)*COS($K$13))),IF(($A67&lt;'Alternative 3'!$B$28),(($H67*'Alternative 3'!$B$39)+(2*(($N$12/3)*COS($K$13)))),IF(($A67&lt;'Alternative 3'!$B$29),(($H$3*'Alternative 3'!$B$39+(($N$12/3)*COS($K$13)))),($H67*'Alternative 3'!$B$39))))</f>
        <v>#VALUE!</v>
      </c>
      <c r="Z67" s="78" t="e">
        <f>X67*'Alternative 3'!$K68/'Alternative 3'!$L68</f>
        <v>#VALUE!</v>
      </c>
      <c r="AA67" s="78" t="e">
        <f>Y67/'Alternative 3'!$M68</f>
        <v>#VALUE!</v>
      </c>
      <c r="AB67" s="78" t="e">
        <f t="shared" ref="AB67:AB93" si="21">(Z67+AA67)/1000000</f>
        <v>#VALUE!</v>
      </c>
      <c r="AD67" s="78" t="e">
        <f>'Alternative 3'!$B$39*$B67*$C67*COS($K$23)-($N$22/3)*$E67*SIN($K$23)-($N$22/3)*$F67*SIN($K$23)-($N$22/3)*$G67*SIN($K$23)</f>
        <v>#VALUE!</v>
      </c>
      <c r="AE67" s="79" t="e">
        <f>IF(($A67&lt;'Alternative 3'!$B$27),(($H67*'Alternative 3'!$B$39)+(3*($N$22/3)*COS($K$23))),IF(($A67&lt;'Alternative 3'!$B$28),(($H67*'Alternative 3'!$B$39)+(2*(($N$22/3)*COS($K$23)))),IF(($A67&lt;'Alternative 3'!$B$29),(($H$3*'Alternative 3'!$B$39+(($N$22/3)*COS($K$23)))),($H67*'Alternative 3'!$B$39))))</f>
        <v>#VALUE!</v>
      </c>
      <c r="AF67" s="78" t="e">
        <f>AD67*'Alternative 3'!$K68/'Alternative 3'!$L68</f>
        <v>#VALUE!</v>
      </c>
      <c r="AG67" s="78" t="e">
        <f>AE67/'Alternative 3'!$M68</f>
        <v>#VALUE!</v>
      </c>
      <c r="AH67" s="78" t="e">
        <f t="shared" ref="AH67:AH93" si="22">(AF67+AG67)/1000000</f>
        <v>#VALUE!</v>
      </c>
      <c r="AJ67" s="78" t="e">
        <f>'Alternative 3'!$B$39*$B67*$C67*COS($K$33)-($N$32/3)*$E67*SIN($K$33)-($N$32/3)*$F67*SIN($K$33)-($N$32/3)*$G67*SIN($K$33)</f>
        <v>#VALUE!</v>
      </c>
      <c r="AK67" s="79" t="e">
        <f>IF(($A67&lt;'Alternative 3'!$B$27),(($H67*'Alternative 3'!$B$39)+(3*($N$32/3)*COS($K$33))),IF(($A67&lt;'Alternative 3'!$B$28),(($H67*'Alternative 3'!$B$39)+(2*(($N$32/3)*COS($K$33)))),IF(($A67&lt;'Alternative 3'!$B$29),(($H$3*'Alternative 3'!$B$39+(($N$32/3)*COS($K$33)))),($H67*'Alternative 3'!$B$39))))</f>
        <v>#VALUE!</v>
      </c>
      <c r="AL67" s="78" t="e">
        <f>AJ67*'Alternative 3'!$K68/'Alternative 3'!$L68</f>
        <v>#VALUE!</v>
      </c>
      <c r="AM67" s="78" t="e">
        <f>AK67/'Alternative 3'!$M68</f>
        <v>#VALUE!</v>
      </c>
      <c r="AN67" s="78" t="e">
        <f t="shared" ref="AN67:AN93" si="23">(AL67+AM67)/1000000</f>
        <v>#VALUE!</v>
      </c>
      <c r="AP67" s="78" t="e">
        <f>'Alternative 3'!$B$39*$B67*$C67*COS($K$43)-($N$42/3)*$E67*SIN($K$43)-($N$42/3)*$F67*SIN($K$43)-($N$42/3)*$G67*SIN($K$43)</f>
        <v>#VALUE!</v>
      </c>
      <c r="AQ67" s="79" t="e">
        <f>IF(($A67&lt;'Alternative 3'!$B$27),(($H67*'Alternative 3'!$B$39)+(3*($N$42/3)*COS($K$43))),IF(($A67&lt;'Alternative 3'!$B$28),(($H67*'Alternative 3'!$B$39)+(2*(($N$42/3)*COS($K$43)))),IF(($A67&lt;'Alternative 3'!$B$29),(($H$3*'Alternative 3'!$B$39+(($N$42/3)*COS($K$43)))),($H67*'Alternative 3'!$B$39))))</f>
        <v>#VALUE!</v>
      </c>
      <c r="AR67" s="78" t="e">
        <f>AP67*'Alternative 3'!$K68/'Alternative 3'!$L68</f>
        <v>#VALUE!</v>
      </c>
      <c r="AS67" s="78" t="e">
        <f>AQ67/'Alternative 3'!$M68</f>
        <v>#VALUE!</v>
      </c>
      <c r="AT67" s="78" t="e">
        <f t="shared" ref="AT67:AT93" si="24">(AR67+AS67)/1000000</f>
        <v>#VALUE!</v>
      </c>
      <c r="AV67" s="78" t="e">
        <f>'Alternative 3'!$B$39*$B67*$C67*COS($K$53)-($N$52/3)*$E67*SIN($K$53)-($N$52/3)*$F67*SIN($K$53)-($N$52/3)*$G67*SIN($K$53)</f>
        <v>#VALUE!</v>
      </c>
      <c r="AW67" s="79" t="e">
        <f>IF(($A67&lt;'Alternative 3'!$B$27),(($H67*'Alternative 3'!$B$39)+(3*($N$52/3)*COS($K$53))),IF(($A67&lt;'Alternative 3'!$B$28),(($H67*'Alternative 3'!$B$39)+(2*(($N$52/3)*COS($K$53)))),IF(($A67&lt;'Alternative 3'!$B$29),(($H$3*'Alternative 3'!$B$39+(($N$52/3)*COS($K$53)))),($H67*'Alternative 3'!$B$39))))</f>
        <v>#VALUE!</v>
      </c>
      <c r="AX67" s="78" t="e">
        <f>AV67*'Alternative 3'!$K68/'Alternative 3'!$L68</f>
        <v>#VALUE!</v>
      </c>
      <c r="AY67" s="78" t="e">
        <f>AW67/'Alternative 3'!$M68</f>
        <v>#VALUE!</v>
      </c>
      <c r="AZ67" s="78" t="e">
        <f t="shared" ref="AZ67:AZ93" si="25">(AX67+AY67)/1000000</f>
        <v>#VALUE!</v>
      </c>
      <c r="BB67" s="78" t="e">
        <f>'Alternative 3'!$B$39*$B67*$C67*COS($K$63)-($N$62/3)*$E67*SIN($K$63)-($N$62/3)*$F67*SIN($K$63)-($N$62/3)*$G67*SIN($K$63)</f>
        <v>#VALUE!</v>
      </c>
      <c r="BC67" s="79" t="e">
        <f>IF(($A67&lt;'Alternative 3'!$B$27),(($H67*'Alternative 3'!$B$39)+(3*($N$62/3)*COS($K$63))),IF(($A67&lt;'Alternative 3'!$B$28),(($H67*'Alternative 3'!$B$39)+(2*(($N$62/3)*COS($K$63)))),IF(($A67&lt;'Alternative 3'!$B$29),(($H$3*'Alternative 3'!$B$39+(($N$62/3)*COS($K$63)))),($H67*'Alternative 3'!$B$39))))</f>
        <v>#VALUE!</v>
      </c>
      <c r="BD67" s="78" t="e">
        <f>BB67*'Alternative 3'!$K68/'Alternative 3'!$L68</f>
        <v>#VALUE!</v>
      </c>
      <c r="BE67" s="78" t="e">
        <f>BC67/'Alternative 3'!$M68</f>
        <v>#VALUE!</v>
      </c>
      <c r="BF67" s="78" t="e">
        <f t="shared" ref="BF67:BF93" si="26">(BD67+BE67)/1000000</f>
        <v>#VALUE!</v>
      </c>
      <c r="BH67" s="78" t="e">
        <f>'Alternative 3'!$B$39*$B67*$C67*COS($K$73)-($N$72/3)*$E67*SIN($K$73)-($N$72/3)*$F67*SIN($K$73)-($N$72/3)*$G67*SIN($K$73)</f>
        <v>#VALUE!</v>
      </c>
      <c r="BI67" s="79" t="e">
        <f>IF(($A67&lt;'Alternative 3'!$B$27),(($H67*'Alternative 3'!$B$39)+(3*($N$72/3)*COS($K$73))),IF(($A67&lt;'Alternative 3'!$B$28),(($H67*'Alternative 3'!$B$39)+(2*(($N$72/3)*COS($K$73)))),IF(($A67&lt;'Alternative 3'!$B$29),(($H$3*'Alternative 3'!$B$39+(($N$72/3)*COS($K$73)))),($H67*'Alternative 3'!$B$39))))</f>
        <v>#VALUE!</v>
      </c>
      <c r="BJ67" s="78" t="e">
        <f>BH67*'Alternative 3'!$K68/'Alternative 3'!$L68</f>
        <v>#VALUE!</v>
      </c>
      <c r="BK67" s="78" t="e">
        <f>BI67/'Alternative 3'!$M68</f>
        <v>#VALUE!</v>
      </c>
      <c r="BL67" s="78" t="e">
        <f t="shared" ref="BL67:BL93" si="27">(BJ67+BK67)/1000000</f>
        <v>#VALUE!</v>
      </c>
      <c r="BN67" s="78" t="e">
        <f>'Alternative 3'!$B$39*$B67*$C67*COS($K$83)-($N$82/3)*$E67*SIN($K$83)-($N$82/3)*$F67*SIN($K$83)-($N$82/3)*$G67*SIN($K$83)</f>
        <v>#VALUE!</v>
      </c>
      <c r="BO67" s="79" t="e">
        <f>IF(($A67&lt;'Alternative 3'!$B$27),(($H67*'Alternative 3'!$B$39)+(3*($N$82/3)*COS($K$83))),IF(($A67&lt;'Alternative 3'!$B$28),(($H67*'Alternative 3'!$B$39)+(2*(($N$82/3)*COS($K$83)))),IF(($A67&lt;'Alternative 3'!$B$29),(($H$3*'Alternative 3'!$B$39+(($N$82/3)*COS($K$83)))),($H67*'Alternative 3'!$B$39))))</f>
        <v>#VALUE!</v>
      </c>
      <c r="BP67" s="78" t="e">
        <f>BN67*'Alternative 3'!$K68/'Alternative 3'!$L68</f>
        <v>#VALUE!</v>
      </c>
      <c r="BQ67" s="78" t="e">
        <f>BO67/'Alternative 3'!$M68</f>
        <v>#VALUE!</v>
      </c>
      <c r="BR67" s="78" t="e">
        <f t="shared" ref="BR67:BR93" si="28">(BP67+BQ67)/1000000</f>
        <v>#VALUE!</v>
      </c>
      <c r="BT67" s="78" t="e">
        <f>'Alternative 3'!$B$39*$B67*$C67*COS($K$93)-($K$92/3)*$E67*SIN($K$93)-($K$92/3)*$F67*SIN($K$93)-($K$92/3)*$G67*SIN($K$93)</f>
        <v>#VALUE!</v>
      </c>
      <c r="BU67" s="79" t="e">
        <f>IF(($A67&lt;'Alternative 3'!$B$27),(($H67*'Alternative 3'!$B$39)+(3*($N$92/3)*COS($K$93))),IF(($A67&lt;'Alternative 3'!$B$28),(($H67*'Alternative 3'!$B$39)+(2*(($N$92/3)*COS($K$93)))),IF(($A67&lt;'Alternative 3'!$B$29),(($H$3*'Alternative 3'!$B$39+(($N$92/3)*COS($K$93)))),($H67*'Alternative 3'!$B$39))))</f>
        <v>#VALUE!</v>
      </c>
      <c r="BV67" s="78" t="e">
        <f>BT67*'Alternative 3'!$K68/'Alternative 3'!$L68</f>
        <v>#VALUE!</v>
      </c>
      <c r="BW67" s="78" t="e">
        <f>BU67/'Alternative 3'!$M68</f>
        <v>#VALUE!</v>
      </c>
      <c r="BX67" s="78" t="e">
        <f t="shared" ref="BX67:BX93" si="29">(BV67+BW67)/1000000</f>
        <v>#VALUE!</v>
      </c>
      <c r="BZ67" s="77">
        <v>150</v>
      </c>
      <c r="CA67" s="77">
        <v>-150</v>
      </c>
    </row>
    <row r="68" spans="1:79" ht="15" customHeight="1" x14ac:dyDescent="0.25">
      <c r="A68" s="13" t="str">
        <f>IF('Alternative 3'!F69&gt;0,'Alternative 3'!F69,"x")</f>
        <v>x</v>
      </c>
      <c r="B68" s="13" t="e">
        <f t="shared" si="17"/>
        <v>#VALUE!</v>
      </c>
      <c r="C68" s="13">
        <f t="shared" ref="C68:C92" si="30">IF((A68="x"),0,C69+0.5)</f>
        <v>0</v>
      </c>
      <c r="D68" s="13" t="str">
        <f t="shared" ref="D68:D92" si="31">A68</f>
        <v>x</v>
      </c>
      <c r="E68" s="74">
        <f>IF($A68&lt;='Alternative 3'!$B$27, IF($A68='Alternative 3'!$B$27,0,E69+1),0)</f>
        <v>0</v>
      </c>
      <c r="F68" s="74">
        <f>IF($A68&lt;=('Alternative 3'!$B$28), IF($A68=ROUNDDOWN('Alternative 3'!$B$28,0),0,F69+1),0)</f>
        <v>0</v>
      </c>
      <c r="G68" s="74">
        <f>IF($A68&lt;=('Alternative 3'!$B$29), IF($A68=ROUNDDOWN('Alternative 3'!$B$29,0),0,G69+1),0)</f>
        <v>0</v>
      </c>
      <c r="H68" s="13" t="e">
        <f t="shared" ref="H68:H92" si="32">B68</f>
        <v>#VALUE!</v>
      </c>
      <c r="J68" s="77">
        <f t="shared" ref="J68:J93" si="33">J67+1</f>
        <v>65</v>
      </c>
      <c r="K68" s="77">
        <f t="shared" ref="K68:K93" si="34">J68*PI()/180</f>
        <v>1.1344640137963142</v>
      </c>
      <c r="L68" s="78">
        <f>'Alternative 3'!$B$27*SIN(K68)+'Alternative 3'!$B$28*SIN(K68)+'Alternative 3'!$B$29*SIN(K68)</f>
        <v>61.628929518492193</v>
      </c>
      <c r="M68" s="77">
        <f>(('Alternative 3'!$B$27)*(((('Alternative 3'!$B$28-'Alternative 3'!$B$27)/2)+'Alternative 3'!$B$27)*'Alternative 3'!$B$39)*COS('Alternative 3-Tilt Up'!K68))+(('Alternative 3'!$B$28)*((('Alternative 3'!$B$28-'Alternative 3'!$B$27)/2)+(('Alternative 3'!$B$29-'Alternative 3'!$B$28)/2))*('Alternative 3'!$B$39)*COS('Alternative 3-Tilt Up'!K68))+(('Alternative 3'!$B$29)*((('Alternative 3'!$B$12-'Alternative 3'!$B$29+(('Alternative 3'!$B$29-'Alternative 3'!$B$28)/2)*('Alternative 3'!$B$39)*COS('Alternative 3-Tilt Up'!K68)))))</f>
        <v>2005906.7361848082</v>
      </c>
      <c r="N68" s="77">
        <f t="shared" si="18"/>
        <v>97644.405891372255</v>
      </c>
      <c r="O68" s="77">
        <f>(((('Alternative 3'!$B$28-'Alternative 3'!$B$27)/2)+'Alternative 3'!$B$27)*('Alternative 3'!$B$39)*COS('Alternative 3-Tilt Up'!K68))+(((('Alternative 3'!$B$28-'Alternative 3'!$B$27)/2)+(('Alternative 3'!$B$29-'Alternative 3'!$B$28)/2))*('Alternative 3'!$B$39)*COS('Alternative 3-Tilt Up'!K68))+(((('Alternative 3'!$B$12-'Alternative 3'!$B$29)+(('Alternative 3'!$B$29-'Alternative 3'!$B$28)/2))*('Alternative 3'!$B$39)*COS('Alternative 3-Tilt Up'!K68)))</f>
        <v>129371.8628220876</v>
      </c>
      <c r="P68" s="77">
        <f t="shared" si="19"/>
        <v>41266.309086515052</v>
      </c>
      <c r="R68" s="78" t="e">
        <f>'Alternative 3'!$B$39*$B68*$C68*COS($K$5)-($N$5/3)*$E68*SIN($K$5)-($N$5/3)*$F68*SIN($K$5)-($N$5/3)*$G68*SIN($K$5)</f>
        <v>#VALUE!</v>
      </c>
      <c r="S68" s="79" t="e">
        <f>IF(($A68&lt;'Alternative 3'!$B$27),(($H68*'Alternative 3'!$B$39)+(3*($N$5/3)*COS($K$5))),IF(($A68&lt;'Alternative 3'!$B$28),(($H68*'Alternative 3'!$B$39)+(2*(($N$5/3)*COS($K$5)))),IF(($A68&lt;'Alternative 3'!$B$29),(($H$3*'Alternative 3'!$B$39+(($N$5/3)*COS($K$5)))),($H68*'Alternative 3'!$B$39))))</f>
        <v>#VALUE!</v>
      </c>
      <c r="T68" s="78" t="e">
        <f>R68*'Alternative 3'!$K69/'Alternative 3'!$L69</f>
        <v>#VALUE!</v>
      </c>
      <c r="U68" s="78" t="e">
        <f>S68/'Alternative 3'!$M69</f>
        <v>#VALUE!</v>
      </c>
      <c r="V68" s="78" t="e">
        <f t="shared" si="20"/>
        <v>#VALUE!</v>
      </c>
      <c r="X68" s="78" t="e">
        <f>'Alternative 3'!$B$39*$B68*$C68*COS($K$13)-($N$12/3)*$E68*SIN($K$13)-($N$12/3)*$F68*SIN($K$13)-($N$12/3)*$G68*SIN($K$13)</f>
        <v>#VALUE!</v>
      </c>
      <c r="Y68" s="79" t="e">
        <f>IF(($A68&lt;'Alternative 3'!$B$27),(($H68*'Alternative 3'!$B$39)+(3*($N$12/3)*COS($K$13))),IF(($A68&lt;'Alternative 3'!$B$28),(($H68*'Alternative 3'!$B$39)+(2*(($N$12/3)*COS($K$13)))),IF(($A68&lt;'Alternative 3'!$B$29),(($H$3*'Alternative 3'!$B$39+(($N$12/3)*COS($K$13)))),($H68*'Alternative 3'!$B$39))))</f>
        <v>#VALUE!</v>
      </c>
      <c r="Z68" s="78" t="e">
        <f>X68*'Alternative 3'!$K69/'Alternative 3'!$L69</f>
        <v>#VALUE!</v>
      </c>
      <c r="AA68" s="78" t="e">
        <f>Y68/'Alternative 3'!$M69</f>
        <v>#VALUE!</v>
      </c>
      <c r="AB68" s="78" t="e">
        <f t="shared" si="21"/>
        <v>#VALUE!</v>
      </c>
      <c r="AD68" s="78" t="e">
        <f>'Alternative 3'!$B$39*$B68*$C68*COS($K$23)-($N$22/3)*$E68*SIN($K$23)-($N$22/3)*$F68*SIN($K$23)-($N$22/3)*$G68*SIN($K$23)</f>
        <v>#VALUE!</v>
      </c>
      <c r="AE68" s="79" t="e">
        <f>IF(($A68&lt;'Alternative 3'!$B$27),(($H68*'Alternative 3'!$B$39)+(3*($N$22/3)*COS($K$23))),IF(($A68&lt;'Alternative 3'!$B$28),(($H68*'Alternative 3'!$B$39)+(2*(($N$22/3)*COS($K$23)))),IF(($A68&lt;'Alternative 3'!$B$29),(($H$3*'Alternative 3'!$B$39+(($N$22/3)*COS($K$23)))),($H68*'Alternative 3'!$B$39))))</f>
        <v>#VALUE!</v>
      </c>
      <c r="AF68" s="78" t="e">
        <f>AD68*'Alternative 3'!$K69/'Alternative 3'!$L69</f>
        <v>#VALUE!</v>
      </c>
      <c r="AG68" s="78" t="e">
        <f>AE68/'Alternative 3'!$M69</f>
        <v>#VALUE!</v>
      </c>
      <c r="AH68" s="78" t="e">
        <f t="shared" si="22"/>
        <v>#VALUE!</v>
      </c>
      <c r="AJ68" s="78" t="e">
        <f>'Alternative 3'!$B$39*$B68*$C68*COS($K$33)-($N$32/3)*$E68*SIN($K$33)-($N$32/3)*$F68*SIN($K$33)-($N$32/3)*$G68*SIN($K$33)</f>
        <v>#VALUE!</v>
      </c>
      <c r="AK68" s="79" t="e">
        <f>IF(($A68&lt;'Alternative 3'!$B$27),(($H68*'Alternative 3'!$B$39)+(3*($N$32/3)*COS($K$33))),IF(($A68&lt;'Alternative 3'!$B$28),(($H68*'Alternative 3'!$B$39)+(2*(($N$32/3)*COS($K$33)))),IF(($A68&lt;'Alternative 3'!$B$29),(($H$3*'Alternative 3'!$B$39+(($N$32/3)*COS($K$33)))),($H68*'Alternative 3'!$B$39))))</f>
        <v>#VALUE!</v>
      </c>
      <c r="AL68" s="78" t="e">
        <f>AJ68*'Alternative 3'!$K69/'Alternative 3'!$L69</f>
        <v>#VALUE!</v>
      </c>
      <c r="AM68" s="78" t="e">
        <f>AK68/'Alternative 3'!$M69</f>
        <v>#VALUE!</v>
      </c>
      <c r="AN68" s="78" t="e">
        <f t="shared" si="23"/>
        <v>#VALUE!</v>
      </c>
      <c r="AP68" s="78" t="e">
        <f>'Alternative 3'!$B$39*$B68*$C68*COS($K$43)-($N$42/3)*$E68*SIN($K$43)-($N$42/3)*$F68*SIN($K$43)-($N$42/3)*$G68*SIN($K$43)</f>
        <v>#VALUE!</v>
      </c>
      <c r="AQ68" s="79" t="e">
        <f>IF(($A68&lt;'Alternative 3'!$B$27),(($H68*'Alternative 3'!$B$39)+(3*($N$42/3)*COS($K$43))),IF(($A68&lt;'Alternative 3'!$B$28),(($H68*'Alternative 3'!$B$39)+(2*(($N$42/3)*COS($K$43)))),IF(($A68&lt;'Alternative 3'!$B$29),(($H$3*'Alternative 3'!$B$39+(($N$42/3)*COS($K$43)))),($H68*'Alternative 3'!$B$39))))</f>
        <v>#VALUE!</v>
      </c>
      <c r="AR68" s="78" t="e">
        <f>AP68*'Alternative 3'!$K69/'Alternative 3'!$L69</f>
        <v>#VALUE!</v>
      </c>
      <c r="AS68" s="78" t="e">
        <f>AQ68/'Alternative 3'!$M69</f>
        <v>#VALUE!</v>
      </c>
      <c r="AT68" s="78" t="e">
        <f t="shared" si="24"/>
        <v>#VALUE!</v>
      </c>
      <c r="AV68" s="78" t="e">
        <f>'Alternative 3'!$B$39*$B68*$C68*COS($K$53)-($N$52/3)*$E68*SIN($K$53)-($N$52/3)*$F68*SIN($K$53)-($N$52/3)*$G68*SIN($K$53)</f>
        <v>#VALUE!</v>
      </c>
      <c r="AW68" s="79" t="e">
        <f>IF(($A68&lt;'Alternative 3'!$B$27),(($H68*'Alternative 3'!$B$39)+(3*($N$52/3)*COS($K$53))),IF(($A68&lt;'Alternative 3'!$B$28),(($H68*'Alternative 3'!$B$39)+(2*(($N$52/3)*COS($K$53)))),IF(($A68&lt;'Alternative 3'!$B$29),(($H$3*'Alternative 3'!$B$39+(($N$52/3)*COS($K$53)))),($H68*'Alternative 3'!$B$39))))</f>
        <v>#VALUE!</v>
      </c>
      <c r="AX68" s="78" t="e">
        <f>AV68*'Alternative 3'!$K69/'Alternative 3'!$L69</f>
        <v>#VALUE!</v>
      </c>
      <c r="AY68" s="78" t="e">
        <f>AW68/'Alternative 3'!$M69</f>
        <v>#VALUE!</v>
      </c>
      <c r="AZ68" s="78" t="e">
        <f t="shared" si="25"/>
        <v>#VALUE!</v>
      </c>
      <c r="BB68" s="78" t="e">
        <f>'Alternative 3'!$B$39*$B68*$C68*COS($K$63)-($N$62/3)*$E68*SIN($K$63)-($N$62/3)*$F68*SIN($K$63)-($N$62/3)*$G68*SIN($K$63)</f>
        <v>#VALUE!</v>
      </c>
      <c r="BC68" s="79" t="e">
        <f>IF(($A68&lt;'Alternative 3'!$B$27),(($H68*'Alternative 3'!$B$39)+(3*($N$62/3)*COS($K$63))),IF(($A68&lt;'Alternative 3'!$B$28),(($H68*'Alternative 3'!$B$39)+(2*(($N$62/3)*COS($K$63)))),IF(($A68&lt;'Alternative 3'!$B$29),(($H$3*'Alternative 3'!$B$39+(($N$62/3)*COS($K$63)))),($H68*'Alternative 3'!$B$39))))</f>
        <v>#VALUE!</v>
      </c>
      <c r="BD68" s="78" t="e">
        <f>BB68*'Alternative 3'!$K69/'Alternative 3'!$L69</f>
        <v>#VALUE!</v>
      </c>
      <c r="BE68" s="78" t="e">
        <f>BC68/'Alternative 3'!$M69</f>
        <v>#VALUE!</v>
      </c>
      <c r="BF68" s="78" t="e">
        <f t="shared" si="26"/>
        <v>#VALUE!</v>
      </c>
      <c r="BH68" s="78" t="e">
        <f>'Alternative 3'!$B$39*$B68*$C68*COS($K$73)-($N$72/3)*$E68*SIN($K$73)-($N$72/3)*$F68*SIN($K$73)-($N$72/3)*$G68*SIN($K$73)</f>
        <v>#VALUE!</v>
      </c>
      <c r="BI68" s="79" t="e">
        <f>IF(($A68&lt;'Alternative 3'!$B$27),(($H68*'Alternative 3'!$B$39)+(3*($N$72/3)*COS($K$73))),IF(($A68&lt;'Alternative 3'!$B$28),(($H68*'Alternative 3'!$B$39)+(2*(($N$72/3)*COS($K$73)))),IF(($A68&lt;'Alternative 3'!$B$29),(($H$3*'Alternative 3'!$B$39+(($N$72/3)*COS($K$73)))),($H68*'Alternative 3'!$B$39))))</f>
        <v>#VALUE!</v>
      </c>
      <c r="BJ68" s="78" t="e">
        <f>BH68*'Alternative 3'!$K69/'Alternative 3'!$L69</f>
        <v>#VALUE!</v>
      </c>
      <c r="BK68" s="78" t="e">
        <f>BI68/'Alternative 3'!$M69</f>
        <v>#VALUE!</v>
      </c>
      <c r="BL68" s="78" t="e">
        <f t="shared" si="27"/>
        <v>#VALUE!</v>
      </c>
      <c r="BN68" s="78" t="e">
        <f>'Alternative 3'!$B$39*$B68*$C68*COS($K$83)-($N$82/3)*$E68*SIN($K$83)-($N$82/3)*$F68*SIN($K$83)-($N$82/3)*$G68*SIN($K$83)</f>
        <v>#VALUE!</v>
      </c>
      <c r="BO68" s="79" t="e">
        <f>IF(($A68&lt;'Alternative 3'!$B$27),(($H68*'Alternative 3'!$B$39)+(3*($N$82/3)*COS($K$83))),IF(($A68&lt;'Alternative 3'!$B$28),(($H68*'Alternative 3'!$B$39)+(2*(($N$82/3)*COS($K$83)))),IF(($A68&lt;'Alternative 3'!$B$29),(($H$3*'Alternative 3'!$B$39+(($N$82/3)*COS($K$83)))),($H68*'Alternative 3'!$B$39))))</f>
        <v>#VALUE!</v>
      </c>
      <c r="BP68" s="78" t="e">
        <f>BN68*'Alternative 3'!$K69/'Alternative 3'!$L69</f>
        <v>#VALUE!</v>
      </c>
      <c r="BQ68" s="78" t="e">
        <f>BO68/'Alternative 3'!$M69</f>
        <v>#VALUE!</v>
      </c>
      <c r="BR68" s="78" t="e">
        <f t="shared" si="28"/>
        <v>#VALUE!</v>
      </c>
      <c r="BT68" s="78" t="e">
        <f>'Alternative 3'!$B$39*$B68*$C68*COS($K$93)-($K$92/3)*$E68*SIN($K$93)-($K$92/3)*$F68*SIN($K$93)-($K$92/3)*$G68*SIN($K$93)</f>
        <v>#VALUE!</v>
      </c>
      <c r="BU68" s="79" t="e">
        <f>IF(($A68&lt;'Alternative 3'!$B$27),(($H68*'Alternative 3'!$B$39)+(3*($N$92/3)*COS($K$93))),IF(($A68&lt;'Alternative 3'!$B$28),(($H68*'Alternative 3'!$B$39)+(2*(($N$92/3)*COS($K$93)))),IF(($A68&lt;'Alternative 3'!$B$29),(($H$3*'Alternative 3'!$B$39+(($N$92/3)*COS($K$93)))),($H68*'Alternative 3'!$B$39))))</f>
        <v>#VALUE!</v>
      </c>
      <c r="BV68" s="78" t="e">
        <f>BT68*'Alternative 3'!$K69/'Alternative 3'!$L69</f>
        <v>#VALUE!</v>
      </c>
      <c r="BW68" s="78" t="e">
        <f>BU68/'Alternative 3'!$M69</f>
        <v>#VALUE!</v>
      </c>
      <c r="BX68" s="78" t="e">
        <f t="shared" si="29"/>
        <v>#VALUE!</v>
      </c>
      <c r="BZ68" s="77">
        <v>150</v>
      </c>
      <c r="CA68" s="77">
        <v>-150</v>
      </c>
    </row>
    <row r="69" spans="1:79" ht="15" customHeight="1" x14ac:dyDescent="0.25">
      <c r="A69" s="13" t="str">
        <f>IF('Alternative 3'!F70&gt;0,'Alternative 3'!F70,"x")</f>
        <v>x</v>
      </c>
      <c r="B69" s="13" t="e">
        <f t="shared" ref="B69:B92" si="35">IF(B68-1&gt;0,B68-1,"x")</f>
        <v>#VALUE!</v>
      </c>
      <c r="C69" s="13">
        <f t="shared" si="30"/>
        <v>0</v>
      </c>
      <c r="D69" s="13" t="str">
        <f t="shared" si="31"/>
        <v>x</v>
      </c>
      <c r="E69" s="74">
        <f>IF($A69&lt;='Alternative 3'!$B$27, IF($A69='Alternative 3'!$B$27,0,E70+1),0)</f>
        <v>0</v>
      </c>
      <c r="F69" s="74">
        <f>IF($A69&lt;=('Alternative 3'!$B$28), IF($A69=ROUNDDOWN('Alternative 3'!$B$28,0),0,F70+1),0)</f>
        <v>0</v>
      </c>
      <c r="G69" s="74">
        <f>IF($A69&lt;=('Alternative 3'!$B$29), IF($A69=ROUNDDOWN('Alternative 3'!$B$29,0),0,G70+1),0)</f>
        <v>0</v>
      </c>
      <c r="H69" s="13" t="e">
        <f t="shared" si="32"/>
        <v>#VALUE!</v>
      </c>
      <c r="J69" s="77">
        <f t="shared" si="33"/>
        <v>66</v>
      </c>
      <c r="K69" s="77">
        <f t="shared" si="34"/>
        <v>1.1519173063162575</v>
      </c>
      <c r="L69" s="78">
        <f>'Alternative 3'!$B$27*SIN(K69)+'Alternative 3'!$B$28*SIN(K69)+'Alternative 3'!$B$29*SIN(K69)</f>
        <v>62.121091119696857</v>
      </c>
      <c r="M69" s="77">
        <f>(('Alternative 3'!$B$27)*(((('Alternative 3'!$B$28-'Alternative 3'!$B$27)/2)+'Alternative 3'!$B$27)*'Alternative 3'!$B$39)*COS('Alternative 3-Tilt Up'!K69))+(('Alternative 3'!$B$28)*((('Alternative 3'!$B$28-'Alternative 3'!$B$27)/2)+(('Alternative 3'!$B$29-'Alternative 3'!$B$28)/2))*('Alternative 3'!$B$39)*COS('Alternative 3-Tilt Up'!K69))+(('Alternative 3'!$B$29)*((('Alternative 3'!$B$12-'Alternative 3'!$B$29+(('Alternative 3'!$B$29-'Alternative 3'!$B$28)/2)*('Alternative 3'!$B$39)*COS('Alternative 3-Tilt Up'!K69)))))</f>
        <v>1930533.8954757741</v>
      </c>
      <c r="N69" s="77">
        <f t="shared" si="18"/>
        <v>93230.84289147277</v>
      </c>
      <c r="O69" s="77">
        <f>(((('Alternative 3'!$B$28-'Alternative 3'!$B$27)/2)+'Alternative 3'!$B$27)*('Alternative 3'!$B$39)*COS('Alternative 3-Tilt Up'!K69))+(((('Alternative 3'!$B$28-'Alternative 3'!$B$27)/2)+(('Alternative 3'!$B$29-'Alternative 3'!$B$28)/2))*('Alternative 3'!$B$39)*COS('Alternative 3-Tilt Up'!K69))+(((('Alternative 3'!$B$12-'Alternative 3'!$B$29)+(('Alternative 3'!$B$29-'Alternative 3'!$B$28)/2))*('Alternative 3'!$B$39)*COS('Alternative 3-Tilt Up'!K69)))</f>
        <v>124510.18319933461</v>
      </c>
      <c r="P69" s="77">
        <f t="shared" si="19"/>
        <v>37920.400068804964</v>
      </c>
      <c r="R69" s="78" t="e">
        <f>'Alternative 3'!$B$39*$B69*$C69*COS($K$5)-($N$5/3)*$E69*SIN($K$5)-($N$5/3)*$F69*SIN($K$5)-($N$5/3)*$G69*SIN($K$5)</f>
        <v>#VALUE!</v>
      </c>
      <c r="S69" s="79" t="e">
        <f>IF(($A69&lt;'Alternative 3'!$B$27),(($H69*'Alternative 3'!$B$39)+(3*($N$5/3)*COS($K$5))),IF(($A69&lt;'Alternative 3'!$B$28),(($H69*'Alternative 3'!$B$39)+(2*(($N$5/3)*COS($K$5)))),IF(($A69&lt;'Alternative 3'!$B$29),(($H$3*'Alternative 3'!$B$39+(($N$5/3)*COS($K$5)))),($H69*'Alternative 3'!$B$39))))</f>
        <v>#VALUE!</v>
      </c>
      <c r="T69" s="78" t="e">
        <f>R69*'Alternative 3'!$K70/'Alternative 3'!$L70</f>
        <v>#VALUE!</v>
      </c>
      <c r="U69" s="78" t="e">
        <f>S69/'Alternative 3'!$M70</f>
        <v>#VALUE!</v>
      </c>
      <c r="V69" s="78" t="e">
        <f t="shared" si="20"/>
        <v>#VALUE!</v>
      </c>
      <c r="X69" s="78" t="e">
        <f>'Alternative 3'!$B$39*$B69*$C69*COS($K$13)-($N$12/3)*$E69*SIN($K$13)-($N$12/3)*$F69*SIN($K$13)-($N$12/3)*$G69*SIN($K$13)</f>
        <v>#VALUE!</v>
      </c>
      <c r="Y69" s="79" t="e">
        <f>IF(($A69&lt;'Alternative 3'!$B$27),(($H69*'Alternative 3'!$B$39)+(3*($N$12/3)*COS($K$13))),IF(($A69&lt;'Alternative 3'!$B$28),(($H69*'Alternative 3'!$B$39)+(2*(($N$12/3)*COS($K$13)))),IF(($A69&lt;'Alternative 3'!$B$29),(($H$3*'Alternative 3'!$B$39+(($N$12/3)*COS($K$13)))),($H69*'Alternative 3'!$B$39))))</f>
        <v>#VALUE!</v>
      </c>
      <c r="Z69" s="78" t="e">
        <f>X69*'Alternative 3'!$K70/'Alternative 3'!$L70</f>
        <v>#VALUE!</v>
      </c>
      <c r="AA69" s="78" t="e">
        <f>Y69/'Alternative 3'!$M70</f>
        <v>#VALUE!</v>
      </c>
      <c r="AB69" s="78" t="e">
        <f t="shared" si="21"/>
        <v>#VALUE!</v>
      </c>
      <c r="AD69" s="78" t="e">
        <f>'Alternative 3'!$B$39*$B69*$C69*COS($K$23)-($N$22/3)*$E69*SIN($K$23)-($N$22/3)*$F69*SIN($K$23)-($N$22/3)*$G69*SIN($K$23)</f>
        <v>#VALUE!</v>
      </c>
      <c r="AE69" s="79" t="e">
        <f>IF(($A69&lt;'Alternative 3'!$B$27),(($H69*'Alternative 3'!$B$39)+(3*($N$22/3)*COS($K$23))),IF(($A69&lt;'Alternative 3'!$B$28),(($H69*'Alternative 3'!$B$39)+(2*(($N$22/3)*COS($K$23)))),IF(($A69&lt;'Alternative 3'!$B$29),(($H$3*'Alternative 3'!$B$39+(($N$22/3)*COS($K$23)))),($H69*'Alternative 3'!$B$39))))</f>
        <v>#VALUE!</v>
      </c>
      <c r="AF69" s="78" t="e">
        <f>AD69*'Alternative 3'!$K70/'Alternative 3'!$L70</f>
        <v>#VALUE!</v>
      </c>
      <c r="AG69" s="78" t="e">
        <f>AE69/'Alternative 3'!$M70</f>
        <v>#VALUE!</v>
      </c>
      <c r="AH69" s="78" t="e">
        <f t="shared" si="22"/>
        <v>#VALUE!</v>
      </c>
      <c r="AJ69" s="78" t="e">
        <f>'Alternative 3'!$B$39*$B69*$C69*COS($K$33)-($N$32/3)*$E69*SIN($K$33)-($N$32/3)*$F69*SIN($K$33)-($N$32/3)*$G69*SIN($K$33)</f>
        <v>#VALUE!</v>
      </c>
      <c r="AK69" s="79" t="e">
        <f>IF(($A69&lt;'Alternative 3'!$B$27),(($H69*'Alternative 3'!$B$39)+(3*($N$32/3)*COS($K$33))),IF(($A69&lt;'Alternative 3'!$B$28),(($H69*'Alternative 3'!$B$39)+(2*(($N$32/3)*COS($K$33)))),IF(($A69&lt;'Alternative 3'!$B$29),(($H$3*'Alternative 3'!$B$39+(($N$32/3)*COS($K$33)))),($H69*'Alternative 3'!$B$39))))</f>
        <v>#VALUE!</v>
      </c>
      <c r="AL69" s="78" t="e">
        <f>AJ69*'Alternative 3'!$K70/'Alternative 3'!$L70</f>
        <v>#VALUE!</v>
      </c>
      <c r="AM69" s="78" t="e">
        <f>AK69/'Alternative 3'!$M70</f>
        <v>#VALUE!</v>
      </c>
      <c r="AN69" s="78" t="e">
        <f t="shared" si="23"/>
        <v>#VALUE!</v>
      </c>
      <c r="AP69" s="78" t="e">
        <f>'Alternative 3'!$B$39*$B69*$C69*COS($K$43)-($N$42/3)*$E69*SIN($K$43)-($N$42/3)*$F69*SIN($K$43)-($N$42/3)*$G69*SIN($K$43)</f>
        <v>#VALUE!</v>
      </c>
      <c r="AQ69" s="79" t="e">
        <f>IF(($A69&lt;'Alternative 3'!$B$27),(($H69*'Alternative 3'!$B$39)+(3*($N$42/3)*COS($K$43))),IF(($A69&lt;'Alternative 3'!$B$28),(($H69*'Alternative 3'!$B$39)+(2*(($N$42/3)*COS($K$43)))),IF(($A69&lt;'Alternative 3'!$B$29),(($H$3*'Alternative 3'!$B$39+(($N$42/3)*COS($K$43)))),($H69*'Alternative 3'!$B$39))))</f>
        <v>#VALUE!</v>
      </c>
      <c r="AR69" s="78" t="e">
        <f>AP69*'Alternative 3'!$K70/'Alternative 3'!$L70</f>
        <v>#VALUE!</v>
      </c>
      <c r="AS69" s="78" t="e">
        <f>AQ69/'Alternative 3'!$M70</f>
        <v>#VALUE!</v>
      </c>
      <c r="AT69" s="78" t="e">
        <f t="shared" si="24"/>
        <v>#VALUE!</v>
      </c>
      <c r="AV69" s="78" t="e">
        <f>'Alternative 3'!$B$39*$B69*$C69*COS($K$53)-($N$52/3)*$E69*SIN($K$53)-($N$52/3)*$F69*SIN($K$53)-($N$52/3)*$G69*SIN($K$53)</f>
        <v>#VALUE!</v>
      </c>
      <c r="AW69" s="79" t="e">
        <f>IF(($A69&lt;'Alternative 3'!$B$27),(($H69*'Alternative 3'!$B$39)+(3*($N$52/3)*COS($K$53))),IF(($A69&lt;'Alternative 3'!$B$28),(($H69*'Alternative 3'!$B$39)+(2*(($N$52/3)*COS($K$53)))),IF(($A69&lt;'Alternative 3'!$B$29),(($H$3*'Alternative 3'!$B$39+(($N$52/3)*COS($K$53)))),($H69*'Alternative 3'!$B$39))))</f>
        <v>#VALUE!</v>
      </c>
      <c r="AX69" s="78" t="e">
        <f>AV69*'Alternative 3'!$K70/'Alternative 3'!$L70</f>
        <v>#VALUE!</v>
      </c>
      <c r="AY69" s="78" t="e">
        <f>AW69/'Alternative 3'!$M70</f>
        <v>#VALUE!</v>
      </c>
      <c r="AZ69" s="78" t="e">
        <f t="shared" si="25"/>
        <v>#VALUE!</v>
      </c>
      <c r="BB69" s="78" t="e">
        <f>'Alternative 3'!$B$39*$B69*$C69*COS($K$63)-($N$62/3)*$E69*SIN($K$63)-($N$62/3)*$F69*SIN($K$63)-($N$62/3)*$G69*SIN($K$63)</f>
        <v>#VALUE!</v>
      </c>
      <c r="BC69" s="79" t="e">
        <f>IF(($A69&lt;'Alternative 3'!$B$27),(($H69*'Alternative 3'!$B$39)+(3*($N$62/3)*COS($K$63))),IF(($A69&lt;'Alternative 3'!$B$28),(($H69*'Alternative 3'!$B$39)+(2*(($N$62/3)*COS($K$63)))),IF(($A69&lt;'Alternative 3'!$B$29),(($H$3*'Alternative 3'!$B$39+(($N$62/3)*COS($K$63)))),($H69*'Alternative 3'!$B$39))))</f>
        <v>#VALUE!</v>
      </c>
      <c r="BD69" s="78" t="e">
        <f>BB69*'Alternative 3'!$K70/'Alternative 3'!$L70</f>
        <v>#VALUE!</v>
      </c>
      <c r="BE69" s="78" t="e">
        <f>BC69/'Alternative 3'!$M70</f>
        <v>#VALUE!</v>
      </c>
      <c r="BF69" s="78" t="e">
        <f t="shared" si="26"/>
        <v>#VALUE!</v>
      </c>
      <c r="BH69" s="78" t="e">
        <f>'Alternative 3'!$B$39*$B69*$C69*COS($K$73)-($N$72/3)*$E69*SIN($K$73)-($N$72/3)*$F69*SIN($K$73)-($N$72/3)*$G69*SIN($K$73)</f>
        <v>#VALUE!</v>
      </c>
      <c r="BI69" s="79" t="e">
        <f>IF(($A69&lt;'Alternative 3'!$B$27),(($H69*'Alternative 3'!$B$39)+(3*($N$72/3)*COS($K$73))),IF(($A69&lt;'Alternative 3'!$B$28),(($H69*'Alternative 3'!$B$39)+(2*(($N$72/3)*COS($K$73)))),IF(($A69&lt;'Alternative 3'!$B$29),(($H$3*'Alternative 3'!$B$39+(($N$72/3)*COS($K$73)))),($H69*'Alternative 3'!$B$39))))</f>
        <v>#VALUE!</v>
      </c>
      <c r="BJ69" s="78" t="e">
        <f>BH69*'Alternative 3'!$K70/'Alternative 3'!$L70</f>
        <v>#VALUE!</v>
      </c>
      <c r="BK69" s="78" t="e">
        <f>BI69/'Alternative 3'!$M70</f>
        <v>#VALUE!</v>
      </c>
      <c r="BL69" s="78" t="e">
        <f t="shared" si="27"/>
        <v>#VALUE!</v>
      </c>
      <c r="BN69" s="78" t="e">
        <f>'Alternative 3'!$B$39*$B69*$C69*COS($K$83)-($N$82/3)*$E69*SIN($K$83)-($N$82/3)*$F69*SIN($K$83)-($N$82/3)*$G69*SIN($K$83)</f>
        <v>#VALUE!</v>
      </c>
      <c r="BO69" s="79" t="e">
        <f>IF(($A69&lt;'Alternative 3'!$B$27),(($H69*'Alternative 3'!$B$39)+(3*($N$82/3)*COS($K$83))),IF(($A69&lt;'Alternative 3'!$B$28),(($H69*'Alternative 3'!$B$39)+(2*(($N$82/3)*COS($K$83)))),IF(($A69&lt;'Alternative 3'!$B$29),(($H$3*'Alternative 3'!$B$39+(($N$82/3)*COS($K$83)))),($H69*'Alternative 3'!$B$39))))</f>
        <v>#VALUE!</v>
      </c>
      <c r="BP69" s="78" t="e">
        <f>BN69*'Alternative 3'!$K70/'Alternative 3'!$L70</f>
        <v>#VALUE!</v>
      </c>
      <c r="BQ69" s="78" t="e">
        <f>BO69/'Alternative 3'!$M70</f>
        <v>#VALUE!</v>
      </c>
      <c r="BR69" s="78" t="e">
        <f t="shared" si="28"/>
        <v>#VALUE!</v>
      </c>
      <c r="BT69" s="78" t="e">
        <f>'Alternative 3'!$B$39*$B69*$C69*COS($K$93)-($K$92/3)*$E69*SIN($K$93)-($K$92/3)*$F69*SIN($K$93)-($K$92/3)*$G69*SIN($K$93)</f>
        <v>#VALUE!</v>
      </c>
      <c r="BU69" s="79" t="e">
        <f>IF(($A69&lt;'Alternative 3'!$B$27),(($H69*'Alternative 3'!$B$39)+(3*($N$92/3)*COS($K$93))),IF(($A69&lt;'Alternative 3'!$B$28),(($H69*'Alternative 3'!$B$39)+(2*(($N$92/3)*COS($K$93)))),IF(($A69&lt;'Alternative 3'!$B$29),(($H$3*'Alternative 3'!$B$39+(($N$92/3)*COS($K$93)))),($H69*'Alternative 3'!$B$39))))</f>
        <v>#VALUE!</v>
      </c>
      <c r="BV69" s="78" t="e">
        <f>BT69*'Alternative 3'!$K70/'Alternative 3'!$L70</f>
        <v>#VALUE!</v>
      </c>
      <c r="BW69" s="78" t="e">
        <f>BU69/'Alternative 3'!$M70</f>
        <v>#VALUE!</v>
      </c>
      <c r="BX69" s="78" t="e">
        <f t="shared" si="29"/>
        <v>#VALUE!</v>
      </c>
      <c r="BZ69" s="77">
        <v>150</v>
      </c>
      <c r="CA69" s="77">
        <v>-150</v>
      </c>
    </row>
    <row r="70" spans="1:79" ht="15" customHeight="1" x14ac:dyDescent="0.25">
      <c r="A70" s="13" t="str">
        <f>IF('Alternative 3'!F71&gt;0,'Alternative 3'!F71,"x")</f>
        <v>x</v>
      </c>
      <c r="B70" s="13" t="e">
        <f t="shared" si="35"/>
        <v>#VALUE!</v>
      </c>
      <c r="C70" s="13">
        <f t="shared" si="30"/>
        <v>0</v>
      </c>
      <c r="D70" s="13" t="str">
        <f t="shared" si="31"/>
        <v>x</v>
      </c>
      <c r="E70" s="74">
        <f>IF($A70&lt;='Alternative 3'!$B$27, IF($A70='Alternative 3'!$B$27,0,E71+1),0)</f>
        <v>0</v>
      </c>
      <c r="F70" s="74">
        <f>IF($A70&lt;=('Alternative 3'!$B$28), IF($A70=ROUNDDOWN('Alternative 3'!$B$28,0),0,F71+1),0)</f>
        <v>0</v>
      </c>
      <c r="G70" s="74">
        <f>IF($A70&lt;=('Alternative 3'!$B$29), IF($A70=ROUNDDOWN('Alternative 3'!$B$29,0),0,G71+1),0)</f>
        <v>0</v>
      </c>
      <c r="H70" s="13" t="e">
        <f t="shared" si="32"/>
        <v>#VALUE!</v>
      </c>
      <c r="J70" s="77">
        <f t="shared" si="33"/>
        <v>67</v>
      </c>
      <c r="K70" s="77">
        <f t="shared" si="34"/>
        <v>1.1693705988362006</v>
      </c>
      <c r="L70" s="78">
        <f>'Alternative 3'!$B$27*SIN(K70)+'Alternative 3'!$B$28*SIN(K70)+'Alternative 3'!$B$29*SIN(K70)</f>
        <v>62.594330034765939</v>
      </c>
      <c r="M70" s="77">
        <f>(('Alternative 3'!$B$27)*(((('Alternative 3'!$B$28-'Alternative 3'!$B$27)/2)+'Alternative 3'!$B$27)*'Alternative 3'!$B$39)*COS('Alternative 3-Tilt Up'!K70))+(('Alternative 3'!$B$28)*((('Alternative 3'!$B$28-'Alternative 3'!$B$27)/2)+(('Alternative 3'!$B$29-'Alternative 3'!$B$28)/2))*('Alternative 3'!$B$39)*COS('Alternative 3-Tilt Up'!K70))+(('Alternative 3'!$B$29)*((('Alternative 3'!$B$12-'Alternative 3'!$B$29+(('Alternative 3'!$B$29-'Alternative 3'!$B$28)/2)*('Alternative 3'!$B$39)*COS('Alternative 3-Tilt Up'!K70)))))</f>
        <v>1854573.0550318055</v>
      </c>
      <c r="N70" s="77">
        <f t="shared" si="18"/>
        <v>88885.353705443194</v>
      </c>
      <c r="O70" s="77">
        <f>(((('Alternative 3'!$B$28-'Alternative 3'!$B$27)/2)+'Alternative 3'!$B$27)*('Alternative 3'!$B$39)*COS('Alternative 3-Tilt Up'!K70))+(((('Alternative 3'!$B$28-'Alternative 3'!$B$27)/2)+(('Alternative 3'!$B$29-'Alternative 3'!$B$28)/2))*('Alternative 3'!$B$39)*COS('Alternative 3-Tilt Up'!K70))+(((('Alternative 3'!$B$12-'Alternative 3'!$B$29)+(('Alternative 3'!$B$29-'Alternative 3'!$B$28)/2))*('Alternative 3'!$B$39)*COS('Alternative 3-Tilt Up'!K70)))</f>
        <v>119610.57656862192</v>
      </c>
      <c r="P70" s="77">
        <f t="shared" si="19"/>
        <v>34730.274559496087</v>
      </c>
      <c r="R70" s="78" t="e">
        <f>'Alternative 3'!$B$39*$B70*$C70*COS($K$5)-($N$5/3)*$E70*SIN($K$5)-($N$5/3)*$F70*SIN($K$5)-($N$5/3)*$G70*SIN($K$5)</f>
        <v>#VALUE!</v>
      </c>
      <c r="S70" s="79" t="e">
        <f>IF(($A70&lt;'Alternative 3'!$B$27),(($H70*'Alternative 3'!$B$39)+(3*($N$5/3)*COS($K$5))),IF(($A70&lt;'Alternative 3'!$B$28),(($H70*'Alternative 3'!$B$39)+(2*(($N$5/3)*COS($K$5)))),IF(($A70&lt;'Alternative 3'!$B$29),(($H$3*'Alternative 3'!$B$39+(($N$5/3)*COS($K$5)))),($H70*'Alternative 3'!$B$39))))</f>
        <v>#VALUE!</v>
      </c>
      <c r="T70" s="78" t="e">
        <f>R70*'Alternative 3'!$K71/'Alternative 3'!$L71</f>
        <v>#VALUE!</v>
      </c>
      <c r="U70" s="78" t="e">
        <f>S70/'Alternative 3'!$M71</f>
        <v>#VALUE!</v>
      </c>
      <c r="V70" s="78" t="e">
        <f t="shared" si="20"/>
        <v>#VALUE!</v>
      </c>
      <c r="X70" s="78" t="e">
        <f>'Alternative 3'!$B$39*$B70*$C70*COS($K$13)-($N$12/3)*$E70*SIN($K$13)-($N$12/3)*$F70*SIN($K$13)-($N$12/3)*$G70*SIN($K$13)</f>
        <v>#VALUE!</v>
      </c>
      <c r="Y70" s="79" t="e">
        <f>IF(($A70&lt;'Alternative 3'!$B$27),(($H70*'Alternative 3'!$B$39)+(3*($N$12/3)*COS($K$13))),IF(($A70&lt;'Alternative 3'!$B$28),(($H70*'Alternative 3'!$B$39)+(2*(($N$12/3)*COS($K$13)))),IF(($A70&lt;'Alternative 3'!$B$29),(($H$3*'Alternative 3'!$B$39+(($N$12/3)*COS($K$13)))),($H70*'Alternative 3'!$B$39))))</f>
        <v>#VALUE!</v>
      </c>
      <c r="Z70" s="78" t="e">
        <f>X70*'Alternative 3'!$K71/'Alternative 3'!$L71</f>
        <v>#VALUE!</v>
      </c>
      <c r="AA70" s="78" t="e">
        <f>Y70/'Alternative 3'!$M71</f>
        <v>#VALUE!</v>
      </c>
      <c r="AB70" s="78" t="e">
        <f t="shared" si="21"/>
        <v>#VALUE!</v>
      </c>
      <c r="AD70" s="78" t="e">
        <f>'Alternative 3'!$B$39*$B70*$C70*COS($K$23)-($N$22/3)*$E70*SIN($K$23)-($N$22/3)*$F70*SIN($K$23)-($N$22/3)*$G70*SIN($K$23)</f>
        <v>#VALUE!</v>
      </c>
      <c r="AE70" s="79" t="e">
        <f>IF(($A70&lt;'Alternative 3'!$B$27),(($H70*'Alternative 3'!$B$39)+(3*($N$22/3)*COS($K$23))),IF(($A70&lt;'Alternative 3'!$B$28),(($H70*'Alternative 3'!$B$39)+(2*(($N$22/3)*COS($K$23)))),IF(($A70&lt;'Alternative 3'!$B$29),(($H$3*'Alternative 3'!$B$39+(($N$22/3)*COS($K$23)))),($H70*'Alternative 3'!$B$39))))</f>
        <v>#VALUE!</v>
      </c>
      <c r="AF70" s="78" t="e">
        <f>AD70*'Alternative 3'!$K71/'Alternative 3'!$L71</f>
        <v>#VALUE!</v>
      </c>
      <c r="AG70" s="78" t="e">
        <f>AE70/'Alternative 3'!$M71</f>
        <v>#VALUE!</v>
      </c>
      <c r="AH70" s="78" t="e">
        <f t="shared" si="22"/>
        <v>#VALUE!</v>
      </c>
      <c r="AJ70" s="78" t="e">
        <f>'Alternative 3'!$B$39*$B70*$C70*COS($K$33)-($N$32/3)*$E70*SIN($K$33)-($N$32/3)*$F70*SIN($K$33)-($N$32/3)*$G70*SIN($K$33)</f>
        <v>#VALUE!</v>
      </c>
      <c r="AK70" s="79" t="e">
        <f>IF(($A70&lt;'Alternative 3'!$B$27),(($H70*'Alternative 3'!$B$39)+(3*($N$32/3)*COS($K$33))),IF(($A70&lt;'Alternative 3'!$B$28),(($H70*'Alternative 3'!$B$39)+(2*(($N$32/3)*COS($K$33)))),IF(($A70&lt;'Alternative 3'!$B$29),(($H$3*'Alternative 3'!$B$39+(($N$32/3)*COS($K$33)))),($H70*'Alternative 3'!$B$39))))</f>
        <v>#VALUE!</v>
      </c>
      <c r="AL70" s="78" t="e">
        <f>AJ70*'Alternative 3'!$K71/'Alternative 3'!$L71</f>
        <v>#VALUE!</v>
      </c>
      <c r="AM70" s="78" t="e">
        <f>AK70/'Alternative 3'!$M71</f>
        <v>#VALUE!</v>
      </c>
      <c r="AN70" s="78" t="e">
        <f t="shared" si="23"/>
        <v>#VALUE!</v>
      </c>
      <c r="AP70" s="78" t="e">
        <f>'Alternative 3'!$B$39*$B70*$C70*COS($K$43)-($N$42/3)*$E70*SIN($K$43)-($N$42/3)*$F70*SIN($K$43)-($N$42/3)*$G70*SIN($K$43)</f>
        <v>#VALUE!</v>
      </c>
      <c r="AQ70" s="79" t="e">
        <f>IF(($A70&lt;'Alternative 3'!$B$27),(($H70*'Alternative 3'!$B$39)+(3*($N$42/3)*COS($K$43))),IF(($A70&lt;'Alternative 3'!$B$28),(($H70*'Alternative 3'!$B$39)+(2*(($N$42/3)*COS($K$43)))),IF(($A70&lt;'Alternative 3'!$B$29),(($H$3*'Alternative 3'!$B$39+(($N$42/3)*COS($K$43)))),($H70*'Alternative 3'!$B$39))))</f>
        <v>#VALUE!</v>
      </c>
      <c r="AR70" s="78" t="e">
        <f>AP70*'Alternative 3'!$K71/'Alternative 3'!$L71</f>
        <v>#VALUE!</v>
      </c>
      <c r="AS70" s="78" t="e">
        <f>AQ70/'Alternative 3'!$M71</f>
        <v>#VALUE!</v>
      </c>
      <c r="AT70" s="78" t="e">
        <f t="shared" si="24"/>
        <v>#VALUE!</v>
      </c>
      <c r="AV70" s="78" t="e">
        <f>'Alternative 3'!$B$39*$B70*$C70*COS($K$53)-($N$52/3)*$E70*SIN($K$53)-($N$52/3)*$F70*SIN($K$53)-($N$52/3)*$G70*SIN($K$53)</f>
        <v>#VALUE!</v>
      </c>
      <c r="AW70" s="79" t="e">
        <f>IF(($A70&lt;'Alternative 3'!$B$27),(($H70*'Alternative 3'!$B$39)+(3*($N$52/3)*COS($K$53))),IF(($A70&lt;'Alternative 3'!$B$28),(($H70*'Alternative 3'!$B$39)+(2*(($N$52/3)*COS($K$53)))),IF(($A70&lt;'Alternative 3'!$B$29),(($H$3*'Alternative 3'!$B$39+(($N$52/3)*COS($K$53)))),($H70*'Alternative 3'!$B$39))))</f>
        <v>#VALUE!</v>
      </c>
      <c r="AX70" s="78" t="e">
        <f>AV70*'Alternative 3'!$K71/'Alternative 3'!$L71</f>
        <v>#VALUE!</v>
      </c>
      <c r="AY70" s="78" t="e">
        <f>AW70/'Alternative 3'!$M71</f>
        <v>#VALUE!</v>
      </c>
      <c r="AZ70" s="78" t="e">
        <f t="shared" si="25"/>
        <v>#VALUE!</v>
      </c>
      <c r="BB70" s="78" t="e">
        <f>'Alternative 3'!$B$39*$B70*$C70*COS($K$63)-($N$62/3)*$E70*SIN($K$63)-($N$62/3)*$F70*SIN($K$63)-($N$62/3)*$G70*SIN($K$63)</f>
        <v>#VALUE!</v>
      </c>
      <c r="BC70" s="79" t="e">
        <f>IF(($A70&lt;'Alternative 3'!$B$27),(($H70*'Alternative 3'!$B$39)+(3*($N$62/3)*COS($K$63))),IF(($A70&lt;'Alternative 3'!$B$28),(($H70*'Alternative 3'!$B$39)+(2*(($N$62/3)*COS($K$63)))),IF(($A70&lt;'Alternative 3'!$B$29),(($H$3*'Alternative 3'!$B$39+(($N$62/3)*COS($K$63)))),($H70*'Alternative 3'!$B$39))))</f>
        <v>#VALUE!</v>
      </c>
      <c r="BD70" s="78" t="e">
        <f>BB70*'Alternative 3'!$K71/'Alternative 3'!$L71</f>
        <v>#VALUE!</v>
      </c>
      <c r="BE70" s="78" t="e">
        <f>BC70/'Alternative 3'!$M71</f>
        <v>#VALUE!</v>
      </c>
      <c r="BF70" s="78" t="e">
        <f t="shared" si="26"/>
        <v>#VALUE!</v>
      </c>
      <c r="BH70" s="78" t="e">
        <f>'Alternative 3'!$B$39*$B70*$C70*COS($K$73)-($N$72/3)*$E70*SIN($K$73)-($N$72/3)*$F70*SIN($K$73)-($N$72/3)*$G70*SIN($K$73)</f>
        <v>#VALUE!</v>
      </c>
      <c r="BI70" s="79" t="e">
        <f>IF(($A70&lt;'Alternative 3'!$B$27),(($H70*'Alternative 3'!$B$39)+(3*($N$72/3)*COS($K$73))),IF(($A70&lt;'Alternative 3'!$B$28),(($H70*'Alternative 3'!$B$39)+(2*(($N$72/3)*COS($K$73)))),IF(($A70&lt;'Alternative 3'!$B$29),(($H$3*'Alternative 3'!$B$39+(($N$72/3)*COS($K$73)))),($H70*'Alternative 3'!$B$39))))</f>
        <v>#VALUE!</v>
      </c>
      <c r="BJ70" s="78" t="e">
        <f>BH70*'Alternative 3'!$K71/'Alternative 3'!$L71</f>
        <v>#VALUE!</v>
      </c>
      <c r="BK70" s="78" t="e">
        <f>BI70/'Alternative 3'!$M71</f>
        <v>#VALUE!</v>
      </c>
      <c r="BL70" s="78" t="e">
        <f t="shared" si="27"/>
        <v>#VALUE!</v>
      </c>
      <c r="BN70" s="78" t="e">
        <f>'Alternative 3'!$B$39*$B70*$C70*COS($K$83)-($N$82/3)*$E70*SIN($K$83)-($N$82/3)*$F70*SIN($K$83)-($N$82/3)*$G70*SIN($K$83)</f>
        <v>#VALUE!</v>
      </c>
      <c r="BO70" s="79" t="e">
        <f>IF(($A70&lt;'Alternative 3'!$B$27),(($H70*'Alternative 3'!$B$39)+(3*($N$82/3)*COS($K$83))),IF(($A70&lt;'Alternative 3'!$B$28),(($H70*'Alternative 3'!$B$39)+(2*(($N$82/3)*COS($K$83)))),IF(($A70&lt;'Alternative 3'!$B$29),(($H$3*'Alternative 3'!$B$39+(($N$82/3)*COS($K$83)))),($H70*'Alternative 3'!$B$39))))</f>
        <v>#VALUE!</v>
      </c>
      <c r="BP70" s="78" t="e">
        <f>BN70*'Alternative 3'!$K71/'Alternative 3'!$L71</f>
        <v>#VALUE!</v>
      </c>
      <c r="BQ70" s="78" t="e">
        <f>BO70/'Alternative 3'!$M71</f>
        <v>#VALUE!</v>
      </c>
      <c r="BR70" s="78" t="e">
        <f t="shared" si="28"/>
        <v>#VALUE!</v>
      </c>
      <c r="BT70" s="78" t="e">
        <f>'Alternative 3'!$B$39*$B70*$C70*COS($K$93)-($K$92/3)*$E70*SIN($K$93)-($K$92/3)*$F70*SIN($K$93)-($K$92/3)*$G70*SIN($K$93)</f>
        <v>#VALUE!</v>
      </c>
      <c r="BU70" s="79" t="e">
        <f>IF(($A70&lt;'Alternative 3'!$B$27),(($H70*'Alternative 3'!$B$39)+(3*($N$92/3)*COS($K$93))),IF(($A70&lt;'Alternative 3'!$B$28),(($H70*'Alternative 3'!$B$39)+(2*(($N$92/3)*COS($K$93)))),IF(($A70&lt;'Alternative 3'!$B$29),(($H$3*'Alternative 3'!$B$39+(($N$92/3)*COS($K$93)))),($H70*'Alternative 3'!$B$39))))</f>
        <v>#VALUE!</v>
      </c>
      <c r="BV70" s="78" t="e">
        <f>BT70*'Alternative 3'!$K71/'Alternative 3'!$L71</f>
        <v>#VALUE!</v>
      </c>
      <c r="BW70" s="78" t="e">
        <f>BU70/'Alternative 3'!$M71</f>
        <v>#VALUE!</v>
      </c>
      <c r="BX70" s="78" t="e">
        <f t="shared" si="29"/>
        <v>#VALUE!</v>
      </c>
    </row>
    <row r="71" spans="1:79" ht="15" customHeight="1" x14ac:dyDescent="0.25">
      <c r="A71" s="13" t="str">
        <f>IF('Alternative 3'!F72&gt;0,'Alternative 3'!F72,"x")</f>
        <v>x</v>
      </c>
      <c r="B71" s="13" t="e">
        <f t="shared" si="35"/>
        <v>#VALUE!</v>
      </c>
      <c r="C71" s="13">
        <f t="shared" si="30"/>
        <v>0</v>
      </c>
      <c r="D71" s="13" t="str">
        <f t="shared" si="31"/>
        <v>x</v>
      </c>
      <c r="E71" s="74">
        <f>IF($A71&lt;='Alternative 3'!$B$27, IF($A71='Alternative 3'!$B$27,0,E72+1),0)</f>
        <v>0</v>
      </c>
      <c r="F71" s="74">
        <f>IF($A71&lt;=('Alternative 3'!$B$28), IF($A71=ROUNDDOWN('Alternative 3'!$B$28,0),0,F72+1),0)</f>
        <v>0</v>
      </c>
      <c r="G71" s="74">
        <f>IF($A71&lt;=('Alternative 3'!$B$29), IF($A71=ROUNDDOWN('Alternative 3'!$B$29,0),0,G72+1),0)</f>
        <v>0</v>
      </c>
      <c r="H71" s="13" t="e">
        <f t="shared" si="32"/>
        <v>#VALUE!</v>
      </c>
      <c r="J71" s="77">
        <f t="shared" si="33"/>
        <v>68</v>
      </c>
      <c r="K71" s="77">
        <f t="shared" si="34"/>
        <v>1.1868238913561442</v>
      </c>
      <c r="L71" s="78">
        <f>'Alternative 3'!$B$27*SIN(K71)+'Alternative 3'!$B$28*SIN(K71)+'Alternative 3'!$B$29*SIN(K71)</f>
        <v>63.048502110541548</v>
      </c>
      <c r="M71" s="77">
        <f>(('Alternative 3'!$B$27)*(((('Alternative 3'!$B$28-'Alternative 3'!$B$27)/2)+'Alternative 3'!$B$27)*'Alternative 3'!$B$39)*COS('Alternative 3-Tilt Up'!K71))+(('Alternative 3'!$B$28)*((('Alternative 3'!$B$28-'Alternative 3'!$B$27)/2)+(('Alternative 3'!$B$29-'Alternative 3'!$B$28)/2))*('Alternative 3'!$B$39)*COS('Alternative 3-Tilt Up'!K71))+(('Alternative 3'!$B$29)*((('Alternative 3'!$B$12-'Alternative 3'!$B$29+(('Alternative 3'!$B$29-'Alternative 3'!$B$28)/2)*('Alternative 3'!$B$39)*COS('Alternative 3-Tilt Up'!K71)))))</f>
        <v>1778047.3532607479</v>
      </c>
      <c r="N71" s="77">
        <f t="shared" si="18"/>
        <v>84603.787262542886</v>
      </c>
      <c r="O71" s="77">
        <f>(((('Alternative 3'!$B$28-'Alternative 3'!$B$27)/2)+'Alternative 3'!$B$27)*('Alternative 3'!$B$39)*COS('Alternative 3-Tilt Up'!K71))+(((('Alternative 3'!$B$28-'Alternative 3'!$B$27)/2)+(('Alternative 3'!$B$29-'Alternative 3'!$B$28)/2))*('Alternative 3'!$B$39)*COS('Alternative 3-Tilt Up'!K71))+(((('Alternative 3'!$B$12-'Alternative 3'!$B$29)+(('Alternative 3'!$B$29-'Alternative 3'!$B$28)/2))*('Alternative 3'!$B$39)*COS('Alternative 3-Tilt Up'!K71)))</f>
        <v>114674.53539759264</v>
      </c>
      <c r="P71" s="77">
        <f t="shared" si="19"/>
        <v>31693.136536505714</v>
      </c>
      <c r="R71" s="78" t="e">
        <f>'Alternative 3'!$B$39*$B71*$C71*COS($K$5)-($N$5/3)*$E71*SIN($K$5)-($N$5/3)*$F71*SIN($K$5)-($N$5/3)*$G71*SIN($K$5)</f>
        <v>#VALUE!</v>
      </c>
      <c r="S71" s="79" t="e">
        <f>IF(($A71&lt;'Alternative 3'!$B$27),(($H71*'Alternative 3'!$B$39)+(3*($N$5/3)*COS($K$5))),IF(($A71&lt;'Alternative 3'!$B$28),(($H71*'Alternative 3'!$B$39)+(2*(($N$5/3)*COS($K$5)))),IF(($A71&lt;'Alternative 3'!$B$29),(($H$3*'Alternative 3'!$B$39+(($N$5/3)*COS($K$5)))),($H71*'Alternative 3'!$B$39))))</f>
        <v>#VALUE!</v>
      </c>
      <c r="T71" s="78" t="e">
        <f>R71*'Alternative 3'!$K72/'Alternative 3'!$L72</f>
        <v>#VALUE!</v>
      </c>
      <c r="U71" s="78" t="e">
        <f>S71/'Alternative 3'!$M72</f>
        <v>#VALUE!</v>
      </c>
      <c r="V71" s="78" t="e">
        <f t="shared" si="20"/>
        <v>#VALUE!</v>
      </c>
      <c r="X71" s="78" t="e">
        <f>'Alternative 3'!$B$39*$B71*$C71*COS($K$13)-($N$12/3)*$E71*SIN($K$13)-($N$12/3)*$F71*SIN($K$13)-($N$12/3)*$G71*SIN($K$13)</f>
        <v>#VALUE!</v>
      </c>
      <c r="Y71" s="79" t="e">
        <f>IF(($A71&lt;'Alternative 3'!$B$27),(($H71*'Alternative 3'!$B$39)+(3*($N$12/3)*COS($K$13))),IF(($A71&lt;'Alternative 3'!$B$28),(($H71*'Alternative 3'!$B$39)+(2*(($N$12/3)*COS($K$13)))),IF(($A71&lt;'Alternative 3'!$B$29),(($H$3*'Alternative 3'!$B$39+(($N$12/3)*COS($K$13)))),($H71*'Alternative 3'!$B$39))))</f>
        <v>#VALUE!</v>
      </c>
      <c r="Z71" s="78" t="e">
        <f>X71*'Alternative 3'!$K72/'Alternative 3'!$L72</f>
        <v>#VALUE!</v>
      </c>
      <c r="AA71" s="78" t="e">
        <f>Y71/'Alternative 3'!$M72</f>
        <v>#VALUE!</v>
      </c>
      <c r="AB71" s="78" t="e">
        <f t="shared" si="21"/>
        <v>#VALUE!</v>
      </c>
      <c r="AD71" s="78" t="e">
        <f>'Alternative 3'!$B$39*$B71*$C71*COS($K$23)-($N$22/3)*$E71*SIN($K$23)-($N$22/3)*$F71*SIN($K$23)-($N$22/3)*$G71*SIN($K$23)</f>
        <v>#VALUE!</v>
      </c>
      <c r="AE71" s="79" t="e">
        <f>IF(($A71&lt;'Alternative 3'!$B$27),(($H71*'Alternative 3'!$B$39)+(3*($N$22/3)*COS($K$23))),IF(($A71&lt;'Alternative 3'!$B$28),(($H71*'Alternative 3'!$B$39)+(2*(($N$22/3)*COS($K$23)))),IF(($A71&lt;'Alternative 3'!$B$29),(($H$3*'Alternative 3'!$B$39+(($N$22/3)*COS($K$23)))),($H71*'Alternative 3'!$B$39))))</f>
        <v>#VALUE!</v>
      </c>
      <c r="AF71" s="78" t="e">
        <f>AD71*'Alternative 3'!$K72/'Alternative 3'!$L72</f>
        <v>#VALUE!</v>
      </c>
      <c r="AG71" s="78" t="e">
        <f>AE71/'Alternative 3'!$M72</f>
        <v>#VALUE!</v>
      </c>
      <c r="AH71" s="78" t="e">
        <f t="shared" si="22"/>
        <v>#VALUE!</v>
      </c>
      <c r="AJ71" s="78" t="e">
        <f>'Alternative 3'!$B$39*$B71*$C71*COS($K$33)-($N$32/3)*$E71*SIN($K$33)-($N$32/3)*$F71*SIN($K$33)-($N$32/3)*$G71*SIN($K$33)</f>
        <v>#VALUE!</v>
      </c>
      <c r="AK71" s="79" t="e">
        <f>IF(($A71&lt;'Alternative 3'!$B$27),(($H71*'Alternative 3'!$B$39)+(3*($N$32/3)*COS($K$33))),IF(($A71&lt;'Alternative 3'!$B$28),(($H71*'Alternative 3'!$B$39)+(2*(($N$32/3)*COS($K$33)))),IF(($A71&lt;'Alternative 3'!$B$29),(($H$3*'Alternative 3'!$B$39+(($N$32/3)*COS($K$33)))),($H71*'Alternative 3'!$B$39))))</f>
        <v>#VALUE!</v>
      </c>
      <c r="AL71" s="78" t="e">
        <f>AJ71*'Alternative 3'!$K72/'Alternative 3'!$L72</f>
        <v>#VALUE!</v>
      </c>
      <c r="AM71" s="78" t="e">
        <f>AK71/'Alternative 3'!$M72</f>
        <v>#VALUE!</v>
      </c>
      <c r="AN71" s="78" t="e">
        <f t="shared" si="23"/>
        <v>#VALUE!</v>
      </c>
      <c r="AP71" s="78" t="e">
        <f>'Alternative 3'!$B$39*$B71*$C71*COS($K$43)-($N$42/3)*$E71*SIN($K$43)-($N$42/3)*$F71*SIN($K$43)-($N$42/3)*$G71*SIN($K$43)</f>
        <v>#VALUE!</v>
      </c>
      <c r="AQ71" s="79" t="e">
        <f>IF(($A71&lt;'Alternative 3'!$B$27),(($H71*'Alternative 3'!$B$39)+(3*($N$42/3)*COS($K$43))),IF(($A71&lt;'Alternative 3'!$B$28),(($H71*'Alternative 3'!$B$39)+(2*(($N$42/3)*COS($K$43)))),IF(($A71&lt;'Alternative 3'!$B$29),(($H$3*'Alternative 3'!$B$39+(($N$42/3)*COS($K$43)))),($H71*'Alternative 3'!$B$39))))</f>
        <v>#VALUE!</v>
      </c>
      <c r="AR71" s="78" t="e">
        <f>AP71*'Alternative 3'!$K72/'Alternative 3'!$L72</f>
        <v>#VALUE!</v>
      </c>
      <c r="AS71" s="78" t="e">
        <f>AQ71/'Alternative 3'!$M72</f>
        <v>#VALUE!</v>
      </c>
      <c r="AT71" s="78" t="e">
        <f t="shared" si="24"/>
        <v>#VALUE!</v>
      </c>
      <c r="AV71" s="78" t="e">
        <f>'Alternative 3'!$B$39*$B71*$C71*COS($K$53)-($N$52/3)*$E71*SIN($K$53)-($N$52/3)*$F71*SIN($K$53)-($N$52/3)*$G71*SIN($K$53)</f>
        <v>#VALUE!</v>
      </c>
      <c r="AW71" s="79" t="e">
        <f>IF(($A71&lt;'Alternative 3'!$B$27),(($H71*'Alternative 3'!$B$39)+(3*($N$52/3)*COS($K$53))),IF(($A71&lt;'Alternative 3'!$B$28),(($H71*'Alternative 3'!$B$39)+(2*(($N$52/3)*COS($K$53)))),IF(($A71&lt;'Alternative 3'!$B$29),(($H$3*'Alternative 3'!$B$39+(($N$52/3)*COS($K$53)))),($H71*'Alternative 3'!$B$39))))</f>
        <v>#VALUE!</v>
      </c>
      <c r="AX71" s="78" t="e">
        <f>AV71*'Alternative 3'!$K72/'Alternative 3'!$L72</f>
        <v>#VALUE!</v>
      </c>
      <c r="AY71" s="78" t="e">
        <f>AW71/'Alternative 3'!$M72</f>
        <v>#VALUE!</v>
      </c>
      <c r="AZ71" s="78" t="e">
        <f t="shared" si="25"/>
        <v>#VALUE!</v>
      </c>
      <c r="BB71" s="78" t="e">
        <f>'Alternative 3'!$B$39*$B71*$C71*COS($K$63)-($N$62/3)*$E71*SIN($K$63)-($N$62/3)*$F71*SIN($K$63)-($N$62/3)*$G71*SIN($K$63)</f>
        <v>#VALUE!</v>
      </c>
      <c r="BC71" s="79" t="e">
        <f>IF(($A71&lt;'Alternative 3'!$B$27),(($H71*'Alternative 3'!$B$39)+(3*($N$62/3)*COS($K$63))),IF(($A71&lt;'Alternative 3'!$B$28),(($H71*'Alternative 3'!$B$39)+(2*(($N$62/3)*COS($K$63)))),IF(($A71&lt;'Alternative 3'!$B$29),(($H$3*'Alternative 3'!$B$39+(($N$62/3)*COS($K$63)))),($H71*'Alternative 3'!$B$39))))</f>
        <v>#VALUE!</v>
      </c>
      <c r="BD71" s="78" t="e">
        <f>BB71*'Alternative 3'!$K72/'Alternative 3'!$L72</f>
        <v>#VALUE!</v>
      </c>
      <c r="BE71" s="78" t="e">
        <f>BC71/'Alternative 3'!$M72</f>
        <v>#VALUE!</v>
      </c>
      <c r="BF71" s="78" t="e">
        <f t="shared" si="26"/>
        <v>#VALUE!</v>
      </c>
      <c r="BH71" s="78" t="e">
        <f>'Alternative 3'!$B$39*$B71*$C71*COS($K$73)-($N$72/3)*$E71*SIN($K$73)-($N$72/3)*$F71*SIN($K$73)-($N$72/3)*$G71*SIN($K$73)</f>
        <v>#VALUE!</v>
      </c>
      <c r="BI71" s="79" t="e">
        <f>IF(($A71&lt;'Alternative 3'!$B$27),(($H71*'Alternative 3'!$B$39)+(3*($N$72/3)*COS($K$73))),IF(($A71&lt;'Alternative 3'!$B$28),(($H71*'Alternative 3'!$B$39)+(2*(($N$72/3)*COS($K$73)))),IF(($A71&lt;'Alternative 3'!$B$29),(($H$3*'Alternative 3'!$B$39+(($N$72/3)*COS($K$73)))),($H71*'Alternative 3'!$B$39))))</f>
        <v>#VALUE!</v>
      </c>
      <c r="BJ71" s="78" t="e">
        <f>BH71*'Alternative 3'!$K72/'Alternative 3'!$L72</f>
        <v>#VALUE!</v>
      </c>
      <c r="BK71" s="78" t="e">
        <f>BI71/'Alternative 3'!$M72</f>
        <v>#VALUE!</v>
      </c>
      <c r="BL71" s="78" t="e">
        <f t="shared" si="27"/>
        <v>#VALUE!</v>
      </c>
      <c r="BN71" s="78" t="e">
        <f>'Alternative 3'!$B$39*$B71*$C71*COS($K$83)-($N$82/3)*$E71*SIN($K$83)-($N$82/3)*$F71*SIN($K$83)-($N$82/3)*$G71*SIN($K$83)</f>
        <v>#VALUE!</v>
      </c>
      <c r="BO71" s="79" t="e">
        <f>IF(($A71&lt;'Alternative 3'!$B$27),(($H71*'Alternative 3'!$B$39)+(3*($N$82/3)*COS($K$83))),IF(($A71&lt;'Alternative 3'!$B$28),(($H71*'Alternative 3'!$B$39)+(2*(($N$82/3)*COS($K$83)))),IF(($A71&lt;'Alternative 3'!$B$29),(($H$3*'Alternative 3'!$B$39+(($N$82/3)*COS($K$83)))),($H71*'Alternative 3'!$B$39))))</f>
        <v>#VALUE!</v>
      </c>
      <c r="BP71" s="78" t="e">
        <f>BN71*'Alternative 3'!$K72/'Alternative 3'!$L72</f>
        <v>#VALUE!</v>
      </c>
      <c r="BQ71" s="78" t="e">
        <f>BO71/'Alternative 3'!$M72</f>
        <v>#VALUE!</v>
      </c>
      <c r="BR71" s="78" t="e">
        <f t="shared" si="28"/>
        <v>#VALUE!</v>
      </c>
      <c r="BT71" s="78" t="e">
        <f>'Alternative 3'!$B$39*$B71*$C71*COS($K$93)-($K$92/3)*$E71*SIN($K$93)-($K$92/3)*$F71*SIN($K$93)-($K$92/3)*$G71*SIN($K$93)</f>
        <v>#VALUE!</v>
      </c>
      <c r="BU71" s="79" t="e">
        <f>IF(($A71&lt;'Alternative 3'!$B$27),(($H71*'Alternative 3'!$B$39)+(3*($N$92/3)*COS($K$93))),IF(($A71&lt;'Alternative 3'!$B$28),(($H71*'Alternative 3'!$B$39)+(2*(($N$92/3)*COS($K$93)))),IF(($A71&lt;'Alternative 3'!$B$29),(($H$3*'Alternative 3'!$B$39+(($N$92/3)*COS($K$93)))),($H71*'Alternative 3'!$B$39))))</f>
        <v>#VALUE!</v>
      </c>
      <c r="BV71" s="78" t="e">
        <f>BT71*'Alternative 3'!$K72/'Alternative 3'!$L72</f>
        <v>#VALUE!</v>
      </c>
      <c r="BW71" s="78" t="e">
        <f>BU71/'Alternative 3'!$M72</f>
        <v>#VALUE!</v>
      </c>
      <c r="BX71" s="78" t="e">
        <f t="shared" si="29"/>
        <v>#VALUE!</v>
      </c>
    </row>
    <row r="72" spans="1:79" ht="15" customHeight="1" x14ac:dyDescent="0.25">
      <c r="A72" s="13" t="str">
        <f>IF('Alternative 3'!F73&gt;0,'Alternative 3'!F73,"x")</f>
        <v>x</v>
      </c>
      <c r="B72" s="13" t="e">
        <f t="shared" si="35"/>
        <v>#VALUE!</v>
      </c>
      <c r="C72" s="13">
        <f t="shared" si="30"/>
        <v>0</v>
      </c>
      <c r="D72" s="13" t="str">
        <f t="shared" si="31"/>
        <v>x</v>
      </c>
      <c r="E72" s="74">
        <f>IF($A72&lt;='Alternative 3'!$B$27, IF($A72='Alternative 3'!$B$27,0,E73+1),0)</f>
        <v>0</v>
      </c>
      <c r="F72" s="74">
        <f>IF($A72&lt;=('Alternative 3'!$B$28), IF($A72=ROUNDDOWN('Alternative 3'!$B$28,0),0,F73+1),0)</f>
        <v>0</v>
      </c>
      <c r="G72" s="74">
        <f>IF($A72&lt;=('Alternative 3'!$B$29), IF($A72=ROUNDDOWN('Alternative 3'!$B$29,0),0,G73+1),0)</f>
        <v>0</v>
      </c>
      <c r="H72" s="13" t="e">
        <f t="shared" si="32"/>
        <v>#VALUE!</v>
      </c>
      <c r="J72" s="77">
        <f t="shared" si="33"/>
        <v>69</v>
      </c>
      <c r="K72" s="77">
        <f t="shared" si="34"/>
        <v>1.2042771838760873</v>
      </c>
      <c r="L72" s="78">
        <f>'Alternative 3'!$B$27*SIN(K72)+'Alternative 3'!$B$28*SIN(K72)+'Alternative 3'!$B$29*SIN(K72)</f>
        <v>63.483469001809716</v>
      </c>
      <c r="M72" s="77">
        <f>(('Alternative 3'!$B$27)*(((('Alternative 3'!$B$28-'Alternative 3'!$B$27)/2)+'Alternative 3'!$B$27)*'Alternative 3'!$B$39)*COS('Alternative 3-Tilt Up'!K72))+(('Alternative 3'!$B$28)*((('Alternative 3'!$B$28-'Alternative 3'!$B$27)/2)+(('Alternative 3'!$B$29-'Alternative 3'!$B$28)/2))*('Alternative 3'!$B$39)*COS('Alternative 3-Tilt Up'!K72))+(('Alternative 3'!$B$29)*((('Alternative 3'!$B$12-'Alternative 3'!$B$29+(('Alternative 3'!$B$29-'Alternative 3'!$B$28)/2)*('Alternative 3'!$B$39)*COS('Alternative 3-Tilt Up'!K72)))))</f>
        <v>1700980.1006326857</v>
      </c>
      <c r="N72" s="82">
        <f t="shared" si="18"/>
        <v>80382.190547157836</v>
      </c>
      <c r="O72" s="77">
        <f>(((('Alternative 3'!$B$28-'Alternative 3'!$B$27)/2)+'Alternative 3'!$B$27)*('Alternative 3'!$B$39)*COS('Alternative 3-Tilt Up'!K72))+(((('Alternative 3'!$B$28-'Alternative 3'!$B$27)/2)+(('Alternative 3'!$B$29-'Alternative 3'!$B$28)/2))*('Alternative 3'!$B$39)*COS('Alternative 3-Tilt Up'!K72))+(((('Alternative 3'!$B$12-'Alternative 3'!$B$29)+(('Alternative 3'!$B$29-'Alternative 3'!$B$28)/2))*('Alternative 3'!$B$39)*COS('Alternative 3-Tilt Up'!K72)))</f>
        <v>109703.56325220421</v>
      </c>
      <c r="P72" s="77">
        <f t="shared" si="19"/>
        <v>28806.40080634458</v>
      </c>
      <c r="R72" s="78" t="e">
        <f>'Alternative 3'!$B$39*$B72*$C72*COS($K$5)-($N$5/3)*$E72*SIN($K$5)-($N$5/3)*$F72*SIN($K$5)-($N$5/3)*$G72*SIN($K$5)</f>
        <v>#VALUE!</v>
      </c>
      <c r="S72" s="79" t="e">
        <f>IF(($A72&lt;'Alternative 3'!$B$27),(($H72*'Alternative 3'!$B$39)+(3*($N$5/3)*COS($K$5))),IF(($A72&lt;'Alternative 3'!$B$28),(($H72*'Alternative 3'!$B$39)+(2*(($N$5/3)*COS($K$5)))),IF(($A72&lt;'Alternative 3'!$B$29),(($H$3*'Alternative 3'!$B$39+(($N$5/3)*COS($K$5)))),($H72*'Alternative 3'!$B$39))))</f>
        <v>#VALUE!</v>
      </c>
      <c r="T72" s="78" t="e">
        <f>R72*'Alternative 3'!$K73/'Alternative 3'!$L73</f>
        <v>#VALUE!</v>
      </c>
      <c r="U72" s="78" t="e">
        <f>S72/'Alternative 3'!$M73</f>
        <v>#VALUE!</v>
      </c>
      <c r="V72" s="78" t="e">
        <f t="shared" si="20"/>
        <v>#VALUE!</v>
      </c>
      <c r="X72" s="78" t="e">
        <f>'Alternative 3'!$B$39*$B72*$C72*COS($K$13)-($N$12/3)*$E72*SIN($K$13)-($N$12/3)*$F72*SIN($K$13)-($N$12/3)*$G72*SIN($K$13)</f>
        <v>#VALUE!</v>
      </c>
      <c r="Y72" s="79" t="e">
        <f>IF(($A72&lt;'Alternative 3'!$B$27),(($H72*'Alternative 3'!$B$39)+(3*($N$12/3)*COS($K$13))),IF(($A72&lt;'Alternative 3'!$B$28),(($H72*'Alternative 3'!$B$39)+(2*(($N$12/3)*COS($K$13)))),IF(($A72&lt;'Alternative 3'!$B$29),(($H$3*'Alternative 3'!$B$39+(($N$12/3)*COS($K$13)))),($H72*'Alternative 3'!$B$39))))</f>
        <v>#VALUE!</v>
      </c>
      <c r="Z72" s="78" t="e">
        <f>X72*'Alternative 3'!$K73/'Alternative 3'!$L73</f>
        <v>#VALUE!</v>
      </c>
      <c r="AA72" s="78" t="e">
        <f>Y72/'Alternative 3'!$M73</f>
        <v>#VALUE!</v>
      </c>
      <c r="AB72" s="78" t="e">
        <f t="shared" si="21"/>
        <v>#VALUE!</v>
      </c>
      <c r="AD72" s="78" t="e">
        <f>'Alternative 3'!$B$39*$B72*$C72*COS($K$23)-($N$22/3)*$E72*SIN($K$23)-($N$22/3)*$F72*SIN($K$23)-($N$22/3)*$G72*SIN($K$23)</f>
        <v>#VALUE!</v>
      </c>
      <c r="AE72" s="79" t="e">
        <f>IF(($A72&lt;'Alternative 3'!$B$27),(($H72*'Alternative 3'!$B$39)+(3*($N$22/3)*COS($K$23))),IF(($A72&lt;'Alternative 3'!$B$28),(($H72*'Alternative 3'!$B$39)+(2*(($N$22/3)*COS($K$23)))),IF(($A72&lt;'Alternative 3'!$B$29),(($H$3*'Alternative 3'!$B$39+(($N$22/3)*COS($K$23)))),($H72*'Alternative 3'!$B$39))))</f>
        <v>#VALUE!</v>
      </c>
      <c r="AF72" s="78" t="e">
        <f>AD72*'Alternative 3'!$K73/'Alternative 3'!$L73</f>
        <v>#VALUE!</v>
      </c>
      <c r="AG72" s="78" t="e">
        <f>AE72/'Alternative 3'!$M73</f>
        <v>#VALUE!</v>
      </c>
      <c r="AH72" s="78" t="e">
        <f t="shared" si="22"/>
        <v>#VALUE!</v>
      </c>
      <c r="AJ72" s="78" t="e">
        <f>'Alternative 3'!$B$39*$B72*$C72*COS($K$33)-($N$32/3)*$E72*SIN($K$33)-($N$32/3)*$F72*SIN($K$33)-($N$32/3)*$G72*SIN($K$33)</f>
        <v>#VALUE!</v>
      </c>
      <c r="AK72" s="79" t="e">
        <f>IF(($A72&lt;'Alternative 3'!$B$27),(($H72*'Alternative 3'!$B$39)+(3*($N$32/3)*COS($K$33))),IF(($A72&lt;'Alternative 3'!$B$28),(($H72*'Alternative 3'!$B$39)+(2*(($N$32/3)*COS($K$33)))),IF(($A72&lt;'Alternative 3'!$B$29),(($H$3*'Alternative 3'!$B$39+(($N$32/3)*COS($K$33)))),($H72*'Alternative 3'!$B$39))))</f>
        <v>#VALUE!</v>
      </c>
      <c r="AL72" s="78" t="e">
        <f>AJ72*'Alternative 3'!$K73/'Alternative 3'!$L73</f>
        <v>#VALUE!</v>
      </c>
      <c r="AM72" s="78" t="e">
        <f>AK72/'Alternative 3'!$M73</f>
        <v>#VALUE!</v>
      </c>
      <c r="AN72" s="78" t="e">
        <f t="shared" si="23"/>
        <v>#VALUE!</v>
      </c>
      <c r="AP72" s="78" t="e">
        <f>'Alternative 3'!$B$39*$B72*$C72*COS($K$43)-($N$42/3)*$E72*SIN($K$43)-($N$42/3)*$F72*SIN($K$43)-($N$42/3)*$G72*SIN($K$43)</f>
        <v>#VALUE!</v>
      </c>
      <c r="AQ72" s="79" t="e">
        <f>IF(($A72&lt;'Alternative 3'!$B$27),(($H72*'Alternative 3'!$B$39)+(3*($N$42/3)*COS($K$43))),IF(($A72&lt;'Alternative 3'!$B$28),(($H72*'Alternative 3'!$B$39)+(2*(($N$42/3)*COS($K$43)))),IF(($A72&lt;'Alternative 3'!$B$29),(($H$3*'Alternative 3'!$B$39+(($N$42/3)*COS($K$43)))),($H72*'Alternative 3'!$B$39))))</f>
        <v>#VALUE!</v>
      </c>
      <c r="AR72" s="78" t="e">
        <f>AP72*'Alternative 3'!$K73/'Alternative 3'!$L73</f>
        <v>#VALUE!</v>
      </c>
      <c r="AS72" s="78" t="e">
        <f>AQ72/'Alternative 3'!$M73</f>
        <v>#VALUE!</v>
      </c>
      <c r="AT72" s="78" t="e">
        <f t="shared" si="24"/>
        <v>#VALUE!</v>
      </c>
      <c r="AV72" s="78" t="e">
        <f>'Alternative 3'!$B$39*$B72*$C72*COS($K$53)-($N$52/3)*$E72*SIN($K$53)-($N$52/3)*$F72*SIN($K$53)-($N$52/3)*$G72*SIN($K$53)</f>
        <v>#VALUE!</v>
      </c>
      <c r="AW72" s="79" t="e">
        <f>IF(($A72&lt;'Alternative 3'!$B$27),(($H72*'Alternative 3'!$B$39)+(3*($N$52/3)*COS($K$53))),IF(($A72&lt;'Alternative 3'!$B$28),(($H72*'Alternative 3'!$B$39)+(2*(($N$52/3)*COS($K$53)))),IF(($A72&lt;'Alternative 3'!$B$29),(($H$3*'Alternative 3'!$B$39+(($N$52/3)*COS($K$53)))),($H72*'Alternative 3'!$B$39))))</f>
        <v>#VALUE!</v>
      </c>
      <c r="AX72" s="78" t="e">
        <f>AV72*'Alternative 3'!$K73/'Alternative 3'!$L73</f>
        <v>#VALUE!</v>
      </c>
      <c r="AY72" s="78" t="e">
        <f>AW72/'Alternative 3'!$M73</f>
        <v>#VALUE!</v>
      </c>
      <c r="AZ72" s="78" t="e">
        <f t="shared" si="25"/>
        <v>#VALUE!</v>
      </c>
      <c r="BB72" s="78" t="e">
        <f>'Alternative 3'!$B$39*$B72*$C72*COS($K$63)-($N$62/3)*$E72*SIN($K$63)-($N$62/3)*$F72*SIN($K$63)-($N$62/3)*$G72*SIN($K$63)</f>
        <v>#VALUE!</v>
      </c>
      <c r="BC72" s="79" t="e">
        <f>IF(($A72&lt;'Alternative 3'!$B$27),(($H72*'Alternative 3'!$B$39)+(3*($N$62/3)*COS($K$63))),IF(($A72&lt;'Alternative 3'!$B$28),(($H72*'Alternative 3'!$B$39)+(2*(($N$62/3)*COS($K$63)))),IF(($A72&lt;'Alternative 3'!$B$29),(($H$3*'Alternative 3'!$B$39+(($N$62/3)*COS($K$63)))),($H72*'Alternative 3'!$B$39))))</f>
        <v>#VALUE!</v>
      </c>
      <c r="BD72" s="78" t="e">
        <f>BB72*'Alternative 3'!$K73/'Alternative 3'!$L73</f>
        <v>#VALUE!</v>
      </c>
      <c r="BE72" s="78" t="e">
        <f>BC72/'Alternative 3'!$M73</f>
        <v>#VALUE!</v>
      </c>
      <c r="BF72" s="78" t="e">
        <f t="shared" si="26"/>
        <v>#VALUE!</v>
      </c>
      <c r="BH72" s="78" t="e">
        <f>'Alternative 3'!$B$39*$B72*$C72*COS($K$73)-($N$72/3)*$E72*SIN($K$73)-($N$72/3)*$F72*SIN($K$73)-($N$72/3)*$G72*SIN($K$73)</f>
        <v>#VALUE!</v>
      </c>
      <c r="BI72" s="79" t="e">
        <f>IF(($A72&lt;'Alternative 3'!$B$27),(($H72*'Alternative 3'!$B$39)+(3*($N$72/3)*COS($K$73))),IF(($A72&lt;'Alternative 3'!$B$28),(($H72*'Alternative 3'!$B$39)+(2*(($N$72/3)*COS($K$73)))),IF(($A72&lt;'Alternative 3'!$B$29),(($H$3*'Alternative 3'!$B$39+(($N$72/3)*COS($K$73)))),($H72*'Alternative 3'!$B$39))))</f>
        <v>#VALUE!</v>
      </c>
      <c r="BJ72" s="78" t="e">
        <f>BH72*'Alternative 3'!$K73/'Alternative 3'!$L73</f>
        <v>#VALUE!</v>
      </c>
      <c r="BK72" s="78" t="e">
        <f>BI72/'Alternative 3'!$M73</f>
        <v>#VALUE!</v>
      </c>
      <c r="BL72" s="78" t="e">
        <f t="shared" si="27"/>
        <v>#VALUE!</v>
      </c>
      <c r="BN72" s="78" t="e">
        <f>'Alternative 3'!$B$39*$B72*$C72*COS($K$83)-($N$82/3)*$E72*SIN($K$83)-($N$82/3)*$F72*SIN($K$83)-($N$82/3)*$G72*SIN($K$83)</f>
        <v>#VALUE!</v>
      </c>
      <c r="BO72" s="79" t="e">
        <f>IF(($A72&lt;'Alternative 3'!$B$27),(($H72*'Alternative 3'!$B$39)+(3*($N$82/3)*COS($K$83))),IF(($A72&lt;'Alternative 3'!$B$28),(($H72*'Alternative 3'!$B$39)+(2*(($N$82/3)*COS($K$83)))),IF(($A72&lt;'Alternative 3'!$B$29),(($H$3*'Alternative 3'!$B$39+(($N$82/3)*COS($K$83)))),($H72*'Alternative 3'!$B$39))))</f>
        <v>#VALUE!</v>
      </c>
      <c r="BP72" s="78" t="e">
        <f>BN72*'Alternative 3'!$K73/'Alternative 3'!$L73</f>
        <v>#VALUE!</v>
      </c>
      <c r="BQ72" s="78" t="e">
        <f>BO72/'Alternative 3'!$M73</f>
        <v>#VALUE!</v>
      </c>
      <c r="BR72" s="78" t="e">
        <f t="shared" si="28"/>
        <v>#VALUE!</v>
      </c>
      <c r="BT72" s="78" t="e">
        <f>'Alternative 3'!$B$39*$B72*$C72*COS($K$93)-($K$92/3)*$E72*SIN($K$93)-($K$92/3)*$F72*SIN($K$93)-($K$92/3)*$G72*SIN($K$93)</f>
        <v>#VALUE!</v>
      </c>
      <c r="BU72" s="79" t="e">
        <f>IF(($A72&lt;'Alternative 3'!$B$27),(($H72*'Alternative 3'!$B$39)+(3*($N$92/3)*COS($K$93))),IF(($A72&lt;'Alternative 3'!$B$28),(($H72*'Alternative 3'!$B$39)+(2*(($N$92/3)*COS($K$93)))),IF(($A72&lt;'Alternative 3'!$B$29),(($H$3*'Alternative 3'!$B$39+(($N$92/3)*COS($K$93)))),($H72*'Alternative 3'!$B$39))))</f>
        <v>#VALUE!</v>
      </c>
      <c r="BV72" s="78" t="e">
        <f>BT72*'Alternative 3'!$K73/'Alternative 3'!$L73</f>
        <v>#VALUE!</v>
      </c>
      <c r="BW72" s="78" t="e">
        <f>BU72/'Alternative 3'!$M73</f>
        <v>#VALUE!</v>
      </c>
      <c r="BX72" s="78" t="e">
        <f t="shared" si="29"/>
        <v>#VALUE!</v>
      </c>
    </row>
    <row r="73" spans="1:79" ht="15" customHeight="1" x14ac:dyDescent="0.25">
      <c r="A73" s="13" t="str">
        <f>IF('Alternative 3'!F74&gt;0,'Alternative 3'!F74,"x")</f>
        <v>x</v>
      </c>
      <c r="B73" s="13" t="e">
        <f t="shared" si="35"/>
        <v>#VALUE!</v>
      </c>
      <c r="C73" s="13">
        <f t="shared" si="30"/>
        <v>0</v>
      </c>
      <c r="D73" s="13" t="str">
        <f t="shared" si="31"/>
        <v>x</v>
      </c>
      <c r="E73" s="74">
        <f>IF($A73&lt;='Alternative 3'!$B$27, IF($A73='Alternative 3'!$B$27,0,E74+1),0)</f>
        <v>0</v>
      </c>
      <c r="F73" s="74">
        <f>IF($A73&lt;=('Alternative 3'!$B$28), IF($A73=ROUNDDOWN('Alternative 3'!$B$28,0),0,F74+1),0)</f>
        <v>0</v>
      </c>
      <c r="G73" s="74">
        <f>IF($A73&lt;=('Alternative 3'!$B$29), IF($A73=ROUNDDOWN('Alternative 3'!$B$29,0),0,G74+1),0)</f>
        <v>0</v>
      </c>
      <c r="H73" s="13" t="e">
        <f t="shared" si="32"/>
        <v>#VALUE!</v>
      </c>
      <c r="J73" s="77">
        <f t="shared" si="33"/>
        <v>70</v>
      </c>
      <c r="K73" s="82">
        <f t="shared" si="34"/>
        <v>1.2217304763960306</v>
      </c>
      <c r="L73" s="78">
        <f>'Alternative 3'!$B$27*SIN(K73)+'Alternative 3'!$B$28*SIN(K73)+'Alternative 3'!$B$29*SIN(K73)</f>
        <v>63.899098213441761</v>
      </c>
      <c r="M73" s="77">
        <f>(('Alternative 3'!$B$27)*(((('Alternative 3'!$B$28-'Alternative 3'!$B$27)/2)+'Alternative 3'!$B$27)*'Alternative 3'!$B$39)*COS('Alternative 3-Tilt Up'!K73))+(('Alternative 3'!$B$28)*((('Alternative 3'!$B$28-'Alternative 3'!$B$27)/2)+(('Alternative 3'!$B$29-'Alternative 3'!$B$28)/2))*('Alternative 3'!$B$39)*COS('Alternative 3-Tilt Up'!K73))+(('Alternative 3'!$B$29)*((('Alternative 3'!$B$12-'Alternative 3'!$B$29+(('Alternative 3'!$B$29-'Alternative 3'!$B$28)/2)*('Alternative 3'!$B$39)*COS('Alternative 3-Tilt Up'!K73)))))</f>
        <v>1623394.7725793337</v>
      </c>
      <c r="N73" s="77">
        <f t="shared" si="18"/>
        <v>76216.79262937569</v>
      </c>
      <c r="O73" s="77">
        <f>(((('Alternative 3'!$B$28-'Alternative 3'!$B$27)/2)+'Alternative 3'!$B$27)*('Alternative 3'!$B$39)*COS('Alternative 3-Tilt Up'!K73))+(((('Alternative 3'!$B$28-'Alternative 3'!$B$27)/2)+(('Alternative 3'!$B$29-'Alternative 3'!$B$28)/2))*('Alternative 3'!$B$39)*COS('Alternative 3-Tilt Up'!K73))+(((('Alternative 3'!$B$12-'Alternative 3'!$B$29)+(('Alternative 3'!$B$29-'Alternative 3'!$B$28)/2))*('Alternative 3'!$B$39)*COS('Alternative 3-Tilt Up'!K73)))</f>
        <v>104699.17433872681</v>
      </c>
      <c r="P73" s="82">
        <f t="shared" si="19"/>
        <v>26067.678338921854</v>
      </c>
      <c r="R73" s="78" t="e">
        <f>'Alternative 3'!$B$39*$B73*$C73*COS($K$5)-($N$5/3)*$E73*SIN($K$5)-($N$5/3)*$F73*SIN($K$5)-($N$5/3)*$G73*SIN($K$5)</f>
        <v>#VALUE!</v>
      </c>
      <c r="S73" s="79" t="e">
        <f>IF(($A73&lt;'Alternative 3'!$B$27),(($H73*'Alternative 3'!$B$39)+(3*($N$5/3)*COS($K$5))),IF(($A73&lt;'Alternative 3'!$B$28),(($H73*'Alternative 3'!$B$39)+(2*(($N$5/3)*COS($K$5)))),IF(($A73&lt;'Alternative 3'!$B$29),(($H$3*'Alternative 3'!$B$39+(($N$5/3)*COS($K$5)))),($H73*'Alternative 3'!$B$39))))</f>
        <v>#VALUE!</v>
      </c>
      <c r="T73" s="78" t="e">
        <f>R73*'Alternative 3'!$K74/'Alternative 3'!$L74</f>
        <v>#VALUE!</v>
      </c>
      <c r="U73" s="78" t="e">
        <f>S73/'Alternative 3'!$M74</f>
        <v>#VALUE!</v>
      </c>
      <c r="V73" s="78" t="e">
        <f t="shared" si="20"/>
        <v>#VALUE!</v>
      </c>
      <c r="X73" s="78" t="e">
        <f>'Alternative 3'!$B$39*$B73*$C73*COS($K$13)-($N$12/3)*$E73*SIN($K$13)-($N$12/3)*$F73*SIN($K$13)-($N$12/3)*$G73*SIN($K$13)</f>
        <v>#VALUE!</v>
      </c>
      <c r="Y73" s="79" t="e">
        <f>IF(($A73&lt;'Alternative 3'!$B$27),(($H73*'Alternative 3'!$B$39)+(3*($N$12/3)*COS($K$13))),IF(($A73&lt;'Alternative 3'!$B$28),(($H73*'Alternative 3'!$B$39)+(2*(($N$12/3)*COS($K$13)))),IF(($A73&lt;'Alternative 3'!$B$29),(($H$3*'Alternative 3'!$B$39+(($N$12/3)*COS($K$13)))),($H73*'Alternative 3'!$B$39))))</f>
        <v>#VALUE!</v>
      </c>
      <c r="Z73" s="78" t="e">
        <f>X73*'Alternative 3'!$K74/'Alternative 3'!$L74</f>
        <v>#VALUE!</v>
      </c>
      <c r="AA73" s="78" t="e">
        <f>Y73/'Alternative 3'!$M74</f>
        <v>#VALUE!</v>
      </c>
      <c r="AB73" s="78" t="e">
        <f t="shared" si="21"/>
        <v>#VALUE!</v>
      </c>
      <c r="AD73" s="78" t="e">
        <f>'Alternative 3'!$B$39*$B73*$C73*COS($K$23)-($N$22/3)*$E73*SIN($K$23)-($N$22/3)*$F73*SIN($K$23)-($N$22/3)*$G73*SIN($K$23)</f>
        <v>#VALUE!</v>
      </c>
      <c r="AE73" s="79" t="e">
        <f>IF(($A73&lt;'Alternative 3'!$B$27),(($H73*'Alternative 3'!$B$39)+(3*($N$22/3)*COS($K$23))),IF(($A73&lt;'Alternative 3'!$B$28),(($H73*'Alternative 3'!$B$39)+(2*(($N$22/3)*COS($K$23)))),IF(($A73&lt;'Alternative 3'!$B$29),(($H$3*'Alternative 3'!$B$39+(($N$22/3)*COS($K$23)))),($H73*'Alternative 3'!$B$39))))</f>
        <v>#VALUE!</v>
      </c>
      <c r="AF73" s="78" t="e">
        <f>AD73*'Alternative 3'!$K74/'Alternative 3'!$L74</f>
        <v>#VALUE!</v>
      </c>
      <c r="AG73" s="78" t="e">
        <f>AE73/'Alternative 3'!$M74</f>
        <v>#VALUE!</v>
      </c>
      <c r="AH73" s="78" t="e">
        <f t="shared" si="22"/>
        <v>#VALUE!</v>
      </c>
      <c r="AJ73" s="78" t="e">
        <f>'Alternative 3'!$B$39*$B73*$C73*COS($K$33)-($N$32/3)*$E73*SIN($K$33)-($N$32/3)*$F73*SIN($K$33)-($N$32/3)*$G73*SIN($K$33)</f>
        <v>#VALUE!</v>
      </c>
      <c r="AK73" s="79" t="e">
        <f>IF(($A73&lt;'Alternative 3'!$B$27),(($H73*'Alternative 3'!$B$39)+(3*($N$32/3)*COS($K$33))),IF(($A73&lt;'Alternative 3'!$B$28),(($H73*'Alternative 3'!$B$39)+(2*(($N$32/3)*COS($K$33)))),IF(($A73&lt;'Alternative 3'!$B$29),(($H$3*'Alternative 3'!$B$39+(($N$32/3)*COS($K$33)))),($H73*'Alternative 3'!$B$39))))</f>
        <v>#VALUE!</v>
      </c>
      <c r="AL73" s="78" t="e">
        <f>AJ73*'Alternative 3'!$K74/'Alternative 3'!$L74</f>
        <v>#VALUE!</v>
      </c>
      <c r="AM73" s="78" t="e">
        <f>AK73/'Alternative 3'!$M74</f>
        <v>#VALUE!</v>
      </c>
      <c r="AN73" s="78" t="e">
        <f t="shared" si="23"/>
        <v>#VALUE!</v>
      </c>
      <c r="AP73" s="78" t="e">
        <f>'Alternative 3'!$B$39*$B73*$C73*COS($K$43)-($N$42/3)*$E73*SIN($K$43)-($N$42/3)*$F73*SIN($K$43)-($N$42/3)*$G73*SIN($K$43)</f>
        <v>#VALUE!</v>
      </c>
      <c r="AQ73" s="79" t="e">
        <f>IF(($A73&lt;'Alternative 3'!$B$27),(($H73*'Alternative 3'!$B$39)+(3*($N$42/3)*COS($K$43))),IF(($A73&lt;'Alternative 3'!$B$28),(($H73*'Alternative 3'!$B$39)+(2*(($N$42/3)*COS($K$43)))),IF(($A73&lt;'Alternative 3'!$B$29),(($H$3*'Alternative 3'!$B$39+(($N$42/3)*COS($K$43)))),($H73*'Alternative 3'!$B$39))))</f>
        <v>#VALUE!</v>
      </c>
      <c r="AR73" s="78" t="e">
        <f>AP73*'Alternative 3'!$K74/'Alternative 3'!$L74</f>
        <v>#VALUE!</v>
      </c>
      <c r="AS73" s="78" t="e">
        <f>AQ73/'Alternative 3'!$M74</f>
        <v>#VALUE!</v>
      </c>
      <c r="AT73" s="78" t="e">
        <f t="shared" si="24"/>
        <v>#VALUE!</v>
      </c>
      <c r="AV73" s="78" t="e">
        <f>'Alternative 3'!$B$39*$B73*$C73*COS($K$53)-($N$52/3)*$E73*SIN($K$53)-($N$52/3)*$F73*SIN($K$53)-($N$52/3)*$G73*SIN($K$53)</f>
        <v>#VALUE!</v>
      </c>
      <c r="AW73" s="79" t="e">
        <f>IF(($A73&lt;'Alternative 3'!$B$27),(($H73*'Alternative 3'!$B$39)+(3*($N$52/3)*COS($K$53))),IF(($A73&lt;'Alternative 3'!$B$28),(($H73*'Alternative 3'!$B$39)+(2*(($N$52/3)*COS($K$53)))),IF(($A73&lt;'Alternative 3'!$B$29),(($H$3*'Alternative 3'!$B$39+(($N$52/3)*COS($K$53)))),($H73*'Alternative 3'!$B$39))))</f>
        <v>#VALUE!</v>
      </c>
      <c r="AX73" s="78" t="e">
        <f>AV73*'Alternative 3'!$K74/'Alternative 3'!$L74</f>
        <v>#VALUE!</v>
      </c>
      <c r="AY73" s="78" t="e">
        <f>AW73/'Alternative 3'!$M74</f>
        <v>#VALUE!</v>
      </c>
      <c r="AZ73" s="78" t="e">
        <f t="shared" si="25"/>
        <v>#VALUE!</v>
      </c>
      <c r="BB73" s="78" t="e">
        <f>'Alternative 3'!$B$39*$B73*$C73*COS($K$63)-($N$62/3)*$E73*SIN($K$63)-($N$62/3)*$F73*SIN($K$63)-($N$62/3)*$G73*SIN($K$63)</f>
        <v>#VALUE!</v>
      </c>
      <c r="BC73" s="79" t="e">
        <f>IF(($A73&lt;'Alternative 3'!$B$27),(($H73*'Alternative 3'!$B$39)+(3*($N$62/3)*COS($K$63))),IF(($A73&lt;'Alternative 3'!$B$28),(($H73*'Alternative 3'!$B$39)+(2*(($N$62/3)*COS($K$63)))),IF(($A73&lt;'Alternative 3'!$B$29),(($H$3*'Alternative 3'!$B$39+(($N$62/3)*COS($K$63)))),($H73*'Alternative 3'!$B$39))))</f>
        <v>#VALUE!</v>
      </c>
      <c r="BD73" s="78" t="e">
        <f>BB73*'Alternative 3'!$K74/'Alternative 3'!$L74</f>
        <v>#VALUE!</v>
      </c>
      <c r="BE73" s="78" t="e">
        <f>BC73/'Alternative 3'!$M74</f>
        <v>#VALUE!</v>
      </c>
      <c r="BF73" s="78" t="e">
        <f t="shared" si="26"/>
        <v>#VALUE!</v>
      </c>
      <c r="BH73" s="78" t="e">
        <f>'Alternative 3'!$B$39*$B73*$C73*COS($K$73)-($N$72/3)*$E73*SIN($K$73)-($N$72/3)*$F73*SIN($K$73)-($N$72/3)*$G73*SIN($K$73)</f>
        <v>#VALUE!</v>
      </c>
      <c r="BI73" s="79" t="e">
        <f>IF(($A73&lt;'Alternative 3'!$B$27),(($H73*'Alternative 3'!$B$39)+(3*($N$72/3)*COS($K$73))),IF(($A73&lt;'Alternative 3'!$B$28),(($H73*'Alternative 3'!$B$39)+(2*(($N$72/3)*COS($K$73)))),IF(($A73&lt;'Alternative 3'!$B$29),(($H$3*'Alternative 3'!$B$39+(($N$72/3)*COS($K$73)))),($H73*'Alternative 3'!$B$39))))</f>
        <v>#VALUE!</v>
      </c>
      <c r="BJ73" s="78" t="e">
        <f>BH73*'Alternative 3'!$K74/'Alternative 3'!$L74</f>
        <v>#VALUE!</v>
      </c>
      <c r="BK73" s="78" t="e">
        <f>BI73/'Alternative 3'!$M74</f>
        <v>#VALUE!</v>
      </c>
      <c r="BL73" s="78" t="e">
        <f t="shared" si="27"/>
        <v>#VALUE!</v>
      </c>
      <c r="BN73" s="78" t="e">
        <f>'Alternative 3'!$B$39*$B73*$C73*COS($K$83)-($N$82/3)*$E73*SIN($K$83)-($N$82/3)*$F73*SIN($K$83)-($N$82/3)*$G73*SIN($K$83)</f>
        <v>#VALUE!</v>
      </c>
      <c r="BO73" s="79" t="e">
        <f>IF(($A73&lt;'Alternative 3'!$B$27),(($H73*'Alternative 3'!$B$39)+(3*($N$82/3)*COS($K$83))),IF(($A73&lt;'Alternative 3'!$B$28),(($H73*'Alternative 3'!$B$39)+(2*(($N$82/3)*COS($K$83)))),IF(($A73&lt;'Alternative 3'!$B$29),(($H$3*'Alternative 3'!$B$39+(($N$82/3)*COS($K$83)))),($H73*'Alternative 3'!$B$39))))</f>
        <v>#VALUE!</v>
      </c>
      <c r="BP73" s="78" t="e">
        <f>BN73*'Alternative 3'!$K74/'Alternative 3'!$L74</f>
        <v>#VALUE!</v>
      </c>
      <c r="BQ73" s="78" t="e">
        <f>BO73/'Alternative 3'!$M74</f>
        <v>#VALUE!</v>
      </c>
      <c r="BR73" s="78" t="e">
        <f t="shared" si="28"/>
        <v>#VALUE!</v>
      </c>
      <c r="BT73" s="78" t="e">
        <f>'Alternative 3'!$B$39*$B73*$C73*COS($K$93)-($K$92/3)*$E73*SIN($K$93)-($K$92/3)*$F73*SIN($K$93)-($K$92/3)*$G73*SIN($K$93)</f>
        <v>#VALUE!</v>
      </c>
      <c r="BU73" s="79" t="e">
        <f>IF(($A73&lt;'Alternative 3'!$B$27),(($H73*'Alternative 3'!$B$39)+(3*($N$92/3)*COS($K$93))),IF(($A73&lt;'Alternative 3'!$B$28),(($H73*'Alternative 3'!$B$39)+(2*(($N$92/3)*COS($K$93)))),IF(($A73&lt;'Alternative 3'!$B$29),(($H$3*'Alternative 3'!$B$39+(($N$92/3)*COS($K$93)))),($H73*'Alternative 3'!$B$39))))</f>
        <v>#VALUE!</v>
      </c>
      <c r="BV73" s="78" t="e">
        <f>BT73*'Alternative 3'!$K74/'Alternative 3'!$L74</f>
        <v>#VALUE!</v>
      </c>
      <c r="BW73" s="78" t="e">
        <f>BU73/'Alternative 3'!$M74</f>
        <v>#VALUE!</v>
      </c>
      <c r="BX73" s="78" t="e">
        <f t="shared" si="29"/>
        <v>#VALUE!</v>
      </c>
    </row>
    <row r="74" spans="1:79" ht="15" customHeight="1" x14ac:dyDescent="0.25">
      <c r="A74" s="13" t="str">
        <f>IF('Alternative 3'!F75&gt;0,'Alternative 3'!F75,"x")</f>
        <v>x</v>
      </c>
      <c r="B74" s="13" t="e">
        <f t="shared" si="35"/>
        <v>#VALUE!</v>
      </c>
      <c r="C74" s="13">
        <f t="shared" si="30"/>
        <v>0</v>
      </c>
      <c r="D74" s="13" t="str">
        <f t="shared" si="31"/>
        <v>x</v>
      </c>
      <c r="E74" s="74">
        <f>IF($A74&lt;='Alternative 3'!$B$27, IF($A74='Alternative 3'!$B$27,0,E75+1),0)</f>
        <v>0</v>
      </c>
      <c r="F74" s="74">
        <f>IF($A74&lt;=('Alternative 3'!$B$28), IF($A74=ROUNDDOWN('Alternative 3'!$B$28,0),0,F75+1),0)</f>
        <v>0</v>
      </c>
      <c r="G74" s="74">
        <f>IF($A74&lt;=('Alternative 3'!$B$29), IF($A74=ROUNDDOWN('Alternative 3'!$B$29,0),0,G75+1),0)</f>
        <v>0</v>
      </c>
      <c r="H74" s="13" t="e">
        <f t="shared" si="32"/>
        <v>#VALUE!</v>
      </c>
      <c r="J74" s="77">
        <f t="shared" si="33"/>
        <v>71</v>
      </c>
      <c r="K74" s="77">
        <f t="shared" si="34"/>
        <v>1.2391837689159739</v>
      </c>
      <c r="L74" s="78">
        <f>'Alternative 3'!$B$27*SIN(K74)+'Alternative 3'!$B$28*SIN(K74)+'Alternative 3'!$B$29*SIN(K74)</f>
        <v>64.295263140753534</v>
      </c>
      <c r="M74" s="77">
        <f>(('Alternative 3'!$B$27)*(((('Alternative 3'!$B$28-'Alternative 3'!$B$27)/2)+'Alternative 3'!$B$27)*'Alternative 3'!$B$39)*COS('Alternative 3-Tilt Up'!K74))+(('Alternative 3'!$B$28)*((('Alternative 3'!$B$28-'Alternative 3'!$B$27)/2)+(('Alternative 3'!$B$29-'Alternative 3'!$B$28)/2))*('Alternative 3'!$B$39)*COS('Alternative 3-Tilt Up'!K74))+(('Alternative 3'!$B$29)*((('Alternative 3'!$B$12-'Alternative 3'!$B$29+(('Alternative 3'!$B$29-'Alternative 3'!$B$28)/2)*('Alternative 3'!$B$39)*COS('Alternative 3-Tilt Up'!K74)))))</f>
        <v>1545315.0023432039</v>
      </c>
      <c r="N74" s="77">
        <f t="shared" si="18"/>
        <v>72103.98994527357</v>
      </c>
      <c r="O74" s="77">
        <f>(((('Alternative 3'!$B$28-'Alternative 3'!$B$27)/2)+'Alternative 3'!$B$27)*('Alternative 3'!$B$39)*COS('Alternative 3-Tilt Up'!K74))+(((('Alternative 3'!$B$28-'Alternative 3'!$B$27)/2)+(('Alternative 3'!$B$29-'Alternative 3'!$B$28)/2))*('Alternative 3'!$B$39)*COS('Alternative 3-Tilt Up'!K74))+(((('Alternative 3'!$B$12-'Alternative 3'!$B$29)+(('Alternative 3'!$B$29-'Alternative 3'!$B$28)/2))*('Alternative 3'!$B$39)*COS('Alternative 3-Tilt Up'!K74)))</f>
        <v>99662.893042502154</v>
      </c>
      <c r="P74" s="77">
        <f t="shared" si="19"/>
        <v>23474.762935480103</v>
      </c>
      <c r="R74" s="78" t="e">
        <f>'Alternative 3'!$B$39*$B74*$C74*COS($K$5)-($N$5/3)*$E74*SIN($K$5)-($N$5/3)*$F74*SIN($K$5)-($N$5/3)*$G74*SIN($K$5)</f>
        <v>#VALUE!</v>
      </c>
      <c r="S74" s="79" t="e">
        <f>IF(($A74&lt;'Alternative 3'!$B$27),(($H74*'Alternative 3'!$B$39)+(3*($N$5/3)*COS($K$5))),IF(($A74&lt;'Alternative 3'!$B$28),(($H74*'Alternative 3'!$B$39)+(2*(($N$5/3)*COS($K$5)))),IF(($A74&lt;'Alternative 3'!$B$29),(($H$3*'Alternative 3'!$B$39+(($N$5/3)*COS($K$5)))),($H74*'Alternative 3'!$B$39))))</f>
        <v>#VALUE!</v>
      </c>
      <c r="T74" s="78" t="e">
        <f>R74*'Alternative 3'!$K75/'Alternative 3'!$L75</f>
        <v>#VALUE!</v>
      </c>
      <c r="U74" s="78" t="e">
        <f>S74/'Alternative 3'!$M75</f>
        <v>#VALUE!</v>
      </c>
      <c r="V74" s="78" t="e">
        <f t="shared" si="20"/>
        <v>#VALUE!</v>
      </c>
      <c r="X74" s="78" t="e">
        <f>'Alternative 3'!$B$39*$B74*$C74*COS($K$13)-($N$12/3)*$E74*SIN($K$13)-($N$12/3)*$F74*SIN($K$13)-($N$12/3)*$G74*SIN($K$13)</f>
        <v>#VALUE!</v>
      </c>
      <c r="Y74" s="79" t="e">
        <f>IF(($A74&lt;'Alternative 3'!$B$27),(($H74*'Alternative 3'!$B$39)+(3*($N$12/3)*COS($K$13))),IF(($A74&lt;'Alternative 3'!$B$28),(($H74*'Alternative 3'!$B$39)+(2*(($N$12/3)*COS($K$13)))),IF(($A74&lt;'Alternative 3'!$B$29),(($H$3*'Alternative 3'!$B$39+(($N$12/3)*COS($K$13)))),($H74*'Alternative 3'!$B$39))))</f>
        <v>#VALUE!</v>
      </c>
      <c r="Z74" s="78" t="e">
        <f>X74*'Alternative 3'!$K75/'Alternative 3'!$L75</f>
        <v>#VALUE!</v>
      </c>
      <c r="AA74" s="78" t="e">
        <f>Y74/'Alternative 3'!$M75</f>
        <v>#VALUE!</v>
      </c>
      <c r="AB74" s="78" t="e">
        <f t="shared" si="21"/>
        <v>#VALUE!</v>
      </c>
      <c r="AD74" s="78" t="e">
        <f>'Alternative 3'!$B$39*$B74*$C74*COS($K$23)-($N$22/3)*$E74*SIN($K$23)-($N$22/3)*$F74*SIN($K$23)-($N$22/3)*$G74*SIN($K$23)</f>
        <v>#VALUE!</v>
      </c>
      <c r="AE74" s="79" t="e">
        <f>IF(($A74&lt;'Alternative 3'!$B$27),(($H74*'Alternative 3'!$B$39)+(3*($N$22/3)*COS($K$23))),IF(($A74&lt;'Alternative 3'!$B$28),(($H74*'Alternative 3'!$B$39)+(2*(($N$22/3)*COS($K$23)))),IF(($A74&lt;'Alternative 3'!$B$29),(($H$3*'Alternative 3'!$B$39+(($N$22/3)*COS($K$23)))),($H74*'Alternative 3'!$B$39))))</f>
        <v>#VALUE!</v>
      </c>
      <c r="AF74" s="78" t="e">
        <f>AD74*'Alternative 3'!$K75/'Alternative 3'!$L75</f>
        <v>#VALUE!</v>
      </c>
      <c r="AG74" s="78" t="e">
        <f>AE74/'Alternative 3'!$M75</f>
        <v>#VALUE!</v>
      </c>
      <c r="AH74" s="78" t="e">
        <f t="shared" si="22"/>
        <v>#VALUE!</v>
      </c>
      <c r="AJ74" s="78" t="e">
        <f>'Alternative 3'!$B$39*$B74*$C74*COS($K$33)-($N$32/3)*$E74*SIN($K$33)-($N$32/3)*$F74*SIN($K$33)-($N$32/3)*$G74*SIN($K$33)</f>
        <v>#VALUE!</v>
      </c>
      <c r="AK74" s="79" t="e">
        <f>IF(($A74&lt;'Alternative 3'!$B$27),(($H74*'Alternative 3'!$B$39)+(3*($N$32/3)*COS($K$33))),IF(($A74&lt;'Alternative 3'!$B$28),(($H74*'Alternative 3'!$B$39)+(2*(($N$32/3)*COS($K$33)))),IF(($A74&lt;'Alternative 3'!$B$29),(($H$3*'Alternative 3'!$B$39+(($N$32/3)*COS($K$33)))),($H74*'Alternative 3'!$B$39))))</f>
        <v>#VALUE!</v>
      </c>
      <c r="AL74" s="78" t="e">
        <f>AJ74*'Alternative 3'!$K75/'Alternative 3'!$L75</f>
        <v>#VALUE!</v>
      </c>
      <c r="AM74" s="78" t="e">
        <f>AK74/'Alternative 3'!$M75</f>
        <v>#VALUE!</v>
      </c>
      <c r="AN74" s="78" t="e">
        <f t="shared" si="23"/>
        <v>#VALUE!</v>
      </c>
      <c r="AP74" s="78" t="e">
        <f>'Alternative 3'!$B$39*$B74*$C74*COS($K$43)-($N$42/3)*$E74*SIN($K$43)-($N$42/3)*$F74*SIN($K$43)-($N$42/3)*$G74*SIN($K$43)</f>
        <v>#VALUE!</v>
      </c>
      <c r="AQ74" s="79" t="e">
        <f>IF(($A74&lt;'Alternative 3'!$B$27),(($H74*'Alternative 3'!$B$39)+(3*($N$42/3)*COS($K$43))),IF(($A74&lt;'Alternative 3'!$B$28),(($H74*'Alternative 3'!$B$39)+(2*(($N$42/3)*COS($K$43)))),IF(($A74&lt;'Alternative 3'!$B$29),(($H$3*'Alternative 3'!$B$39+(($N$42/3)*COS($K$43)))),($H74*'Alternative 3'!$B$39))))</f>
        <v>#VALUE!</v>
      </c>
      <c r="AR74" s="78" t="e">
        <f>AP74*'Alternative 3'!$K75/'Alternative 3'!$L75</f>
        <v>#VALUE!</v>
      </c>
      <c r="AS74" s="78" t="e">
        <f>AQ74/'Alternative 3'!$M75</f>
        <v>#VALUE!</v>
      </c>
      <c r="AT74" s="78" t="e">
        <f t="shared" si="24"/>
        <v>#VALUE!</v>
      </c>
      <c r="AV74" s="78" t="e">
        <f>'Alternative 3'!$B$39*$B74*$C74*COS($K$53)-($N$52/3)*$E74*SIN($K$53)-($N$52/3)*$F74*SIN($K$53)-($N$52/3)*$G74*SIN($K$53)</f>
        <v>#VALUE!</v>
      </c>
      <c r="AW74" s="79" t="e">
        <f>IF(($A74&lt;'Alternative 3'!$B$27),(($H74*'Alternative 3'!$B$39)+(3*($N$52/3)*COS($K$53))),IF(($A74&lt;'Alternative 3'!$B$28),(($H74*'Alternative 3'!$B$39)+(2*(($N$52/3)*COS($K$53)))),IF(($A74&lt;'Alternative 3'!$B$29),(($H$3*'Alternative 3'!$B$39+(($N$52/3)*COS($K$53)))),($H74*'Alternative 3'!$B$39))))</f>
        <v>#VALUE!</v>
      </c>
      <c r="AX74" s="78" t="e">
        <f>AV74*'Alternative 3'!$K75/'Alternative 3'!$L75</f>
        <v>#VALUE!</v>
      </c>
      <c r="AY74" s="78" t="e">
        <f>AW74/'Alternative 3'!$M75</f>
        <v>#VALUE!</v>
      </c>
      <c r="AZ74" s="78" t="e">
        <f t="shared" si="25"/>
        <v>#VALUE!</v>
      </c>
      <c r="BB74" s="78" t="e">
        <f>'Alternative 3'!$B$39*$B74*$C74*COS($K$63)-($N$62/3)*$E74*SIN($K$63)-($N$62/3)*$F74*SIN($K$63)-($N$62/3)*$G74*SIN($K$63)</f>
        <v>#VALUE!</v>
      </c>
      <c r="BC74" s="79" t="e">
        <f>IF(($A74&lt;'Alternative 3'!$B$27),(($H74*'Alternative 3'!$B$39)+(3*($N$62/3)*COS($K$63))),IF(($A74&lt;'Alternative 3'!$B$28),(($H74*'Alternative 3'!$B$39)+(2*(($N$62/3)*COS($K$63)))),IF(($A74&lt;'Alternative 3'!$B$29),(($H$3*'Alternative 3'!$B$39+(($N$62/3)*COS($K$63)))),($H74*'Alternative 3'!$B$39))))</f>
        <v>#VALUE!</v>
      </c>
      <c r="BD74" s="78" t="e">
        <f>BB74*'Alternative 3'!$K75/'Alternative 3'!$L75</f>
        <v>#VALUE!</v>
      </c>
      <c r="BE74" s="78" t="e">
        <f>BC74/'Alternative 3'!$M75</f>
        <v>#VALUE!</v>
      </c>
      <c r="BF74" s="78" t="e">
        <f t="shared" si="26"/>
        <v>#VALUE!</v>
      </c>
      <c r="BH74" s="78" t="e">
        <f>'Alternative 3'!$B$39*$B74*$C74*COS($K$73)-($N$72/3)*$E74*SIN($K$73)-($N$72/3)*$F74*SIN($K$73)-($N$72/3)*$G74*SIN($K$73)</f>
        <v>#VALUE!</v>
      </c>
      <c r="BI74" s="79" t="e">
        <f>IF(($A74&lt;'Alternative 3'!$B$27),(($H74*'Alternative 3'!$B$39)+(3*($N$72/3)*COS($K$73))),IF(($A74&lt;'Alternative 3'!$B$28),(($H74*'Alternative 3'!$B$39)+(2*(($N$72/3)*COS($K$73)))),IF(($A74&lt;'Alternative 3'!$B$29),(($H$3*'Alternative 3'!$B$39+(($N$72/3)*COS($K$73)))),($H74*'Alternative 3'!$B$39))))</f>
        <v>#VALUE!</v>
      </c>
      <c r="BJ74" s="78" t="e">
        <f>BH74*'Alternative 3'!$K75/'Alternative 3'!$L75</f>
        <v>#VALUE!</v>
      </c>
      <c r="BK74" s="78" t="e">
        <f>BI74/'Alternative 3'!$M75</f>
        <v>#VALUE!</v>
      </c>
      <c r="BL74" s="78" t="e">
        <f t="shared" si="27"/>
        <v>#VALUE!</v>
      </c>
      <c r="BN74" s="78" t="e">
        <f>'Alternative 3'!$B$39*$B74*$C74*COS($K$83)-($N$82/3)*$E74*SIN($K$83)-($N$82/3)*$F74*SIN($K$83)-($N$82/3)*$G74*SIN($K$83)</f>
        <v>#VALUE!</v>
      </c>
      <c r="BO74" s="79" t="e">
        <f>IF(($A74&lt;'Alternative 3'!$B$27),(($H74*'Alternative 3'!$B$39)+(3*($N$82/3)*COS($K$83))),IF(($A74&lt;'Alternative 3'!$B$28),(($H74*'Alternative 3'!$B$39)+(2*(($N$82/3)*COS($K$83)))),IF(($A74&lt;'Alternative 3'!$B$29),(($H$3*'Alternative 3'!$B$39+(($N$82/3)*COS($K$83)))),($H74*'Alternative 3'!$B$39))))</f>
        <v>#VALUE!</v>
      </c>
      <c r="BP74" s="78" t="e">
        <f>BN74*'Alternative 3'!$K75/'Alternative 3'!$L75</f>
        <v>#VALUE!</v>
      </c>
      <c r="BQ74" s="78" t="e">
        <f>BO74/'Alternative 3'!$M75</f>
        <v>#VALUE!</v>
      </c>
      <c r="BR74" s="78" t="e">
        <f t="shared" si="28"/>
        <v>#VALUE!</v>
      </c>
      <c r="BT74" s="78" t="e">
        <f>'Alternative 3'!$B$39*$B74*$C74*COS($K$93)-($K$92/3)*$E74*SIN($K$93)-($K$92/3)*$F74*SIN($K$93)-($K$92/3)*$G74*SIN($K$93)</f>
        <v>#VALUE!</v>
      </c>
      <c r="BU74" s="79" t="e">
        <f>IF(($A74&lt;'Alternative 3'!$B$27),(($H74*'Alternative 3'!$B$39)+(3*($N$92/3)*COS($K$93))),IF(($A74&lt;'Alternative 3'!$B$28),(($H74*'Alternative 3'!$B$39)+(2*(($N$92/3)*COS($K$93)))),IF(($A74&lt;'Alternative 3'!$B$29),(($H$3*'Alternative 3'!$B$39+(($N$92/3)*COS($K$93)))),($H74*'Alternative 3'!$B$39))))</f>
        <v>#VALUE!</v>
      </c>
      <c r="BV74" s="78" t="e">
        <f>BT74*'Alternative 3'!$K75/'Alternative 3'!$L75</f>
        <v>#VALUE!</v>
      </c>
      <c r="BW74" s="78" t="e">
        <f>BU74/'Alternative 3'!$M75</f>
        <v>#VALUE!</v>
      </c>
      <c r="BX74" s="78" t="e">
        <f t="shared" si="29"/>
        <v>#VALUE!</v>
      </c>
    </row>
    <row r="75" spans="1:79" ht="15" customHeight="1" x14ac:dyDescent="0.25">
      <c r="A75" s="13" t="str">
        <f>IF('Alternative 3'!F76&gt;0,'Alternative 3'!F76,"x")</f>
        <v>x</v>
      </c>
      <c r="B75" s="13" t="e">
        <f t="shared" si="35"/>
        <v>#VALUE!</v>
      </c>
      <c r="C75" s="13">
        <f t="shared" si="30"/>
        <v>0</v>
      </c>
      <c r="D75" s="13" t="str">
        <f t="shared" si="31"/>
        <v>x</v>
      </c>
      <c r="E75" s="74">
        <f>IF($A75&lt;='Alternative 3'!$B$27, IF($A75='Alternative 3'!$B$27,0,E76+1),0)</f>
        <v>0</v>
      </c>
      <c r="F75" s="74">
        <f>IF($A75&lt;=('Alternative 3'!$B$28), IF($A75=ROUNDDOWN('Alternative 3'!$B$28,0),0,F76+1),0)</f>
        <v>0</v>
      </c>
      <c r="G75" s="74">
        <f>IF($A75&lt;=('Alternative 3'!$B$29), IF($A75=ROUNDDOWN('Alternative 3'!$B$29,0),0,G76+1),0)</f>
        <v>0</v>
      </c>
      <c r="H75" s="13" t="e">
        <f t="shared" si="32"/>
        <v>#VALUE!</v>
      </c>
      <c r="J75" s="77">
        <f t="shared" si="33"/>
        <v>72</v>
      </c>
      <c r="K75" s="77">
        <f t="shared" si="34"/>
        <v>1.2566370614359172</v>
      </c>
      <c r="L75" s="78">
        <f>'Alternative 3'!$B$27*SIN(K75)+'Alternative 3'!$B$28*SIN(K75)+'Alternative 3'!$B$29*SIN(K75)</f>
        <v>64.671843108070448</v>
      </c>
      <c r="M75" s="77">
        <f>(('Alternative 3'!$B$27)*(((('Alternative 3'!$B$28-'Alternative 3'!$B$27)/2)+'Alternative 3'!$B$27)*'Alternative 3'!$B$39)*COS('Alternative 3-Tilt Up'!K75))+(('Alternative 3'!$B$28)*((('Alternative 3'!$B$28-'Alternative 3'!$B$27)/2)+(('Alternative 3'!$B$29-'Alternative 3'!$B$28)/2))*('Alternative 3'!$B$39)*COS('Alternative 3-Tilt Up'!K75))+(('Alternative 3'!$B$29)*((('Alternative 3'!$B$12-'Alternative 3'!$B$29+(('Alternative 3'!$B$29-'Alternative 3'!$B$28)/2)*('Alternative 3'!$B$39)*COS('Alternative 3-Tilt Up'!K75)))))</f>
        <v>1466764.5737786861</v>
      </c>
      <c r="N75" s="77">
        <f t="shared" si="18"/>
        <v>68040.332699083723</v>
      </c>
      <c r="O75" s="77">
        <f>(((('Alternative 3'!$B$28-'Alternative 3'!$B$27)/2)+'Alternative 3'!$B$27)*('Alternative 3'!$B$39)*COS('Alternative 3-Tilt Up'!K75))+(((('Alternative 3'!$B$28-'Alternative 3'!$B$27)/2)+(('Alternative 3'!$B$29-'Alternative 3'!$B$28)/2))*('Alternative 3'!$B$39)*COS('Alternative 3-Tilt Up'!K75))+(((('Alternative 3'!$B$12-'Alternative 3'!$B$29)+(('Alternative 3'!$B$29-'Alternative 3'!$B$28)/2))*('Alternative 3'!$B$39)*COS('Alternative 3-Tilt Up'!K75)))</f>
        <v>94596.253463600631</v>
      </c>
      <c r="P75" s="77">
        <f t="shared" si="19"/>
        <v>21025.619106942308</v>
      </c>
      <c r="R75" s="78" t="e">
        <f>'Alternative 3'!$B$39*$B75*$C75*COS($K$5)-($N$5/3)*$E75*SIN($K$5)-($N$5/3)*$F75*SIN($K$5)-($N$5/3)*$G75*SIN($K$5)</f>
        <v>#VALUE!</v>
      </c>
      <c r="S75" s="79" t="e">
        <f>IF(($A75&lt;'Alternative 3'!$B$27),(($H75*'Alternative 3'!$B$39)+(3*($N$5/3)*COS($K$5))),IF(($A75&lt;'Alternative 3'!$B$28),(($H75*'Alternative 3'!$B$39)+(2*(($N$5/3)*COS($K$5)))),IF(($A75&lt;'Alternative 3'!$B$29),(($H$3*'Alternative 3'!$B$39+(($N$5/3)*COS($K$5)))),($H75*'Alternative 3'!$B$39))))</f>
        <v>#VALUE!</v>
      </c>
      <c r="T75" s="78" t="e">
        <f>R75*'Alternative 3'!$K76/'Alternative 3'!$L76</f>
        <v>#VALUE!</v>
      </c>
      <c r="U75" s="78" t="e">
        <f>S75/'Alternative 3'!$M76</f>
        <v>#VALUE!</v>
      </c>
      <c r="V75" s="78" t="e">
        <f t="shared" si="20"/>
        <v>#VALUE!</v>
      </c>
      <c r="X75" s="78" t="e">
        <f>'Alternative 3'!$B$39*$B75*$C75*COS($K$13)-($N$12/3)*$E75*SIN($K$13)-($N$12/3)*$F75*SIN($K$13)-($N$12/3)*$G75*SIN($K$13)</f>
        <v>#VALUE!</v>
      </c>
      <c r="Y75" s="79" t="e">
        <f>IF(($A75&lt;'Alternative 3'!$B$27),(($H75*'Alternative 3'!$B$39)+(3*($N$12/3)*COS($K$13))),IF(($A75&lt;'Alternative 3'!$B$28),(($H75*'Alternative 3'!$B$39)+(2*(($N$12/3)*COS($K$13)))),IF(($A75&lt;'Alternative 3'!$B$29),(($H$3*'Alternative 3'!$B$39+(($N$12/3)*COS($K$13)))),($H75*'Alternative 3'!$B$39))))</f>
        <v>#VALUE!</v>
      </c>
      <c r="Z75" s="78" t="e">
        <f>X75*'Alternative 3'!$K76/'Alternative 3'!$L76</f>
        <v>#VALUE!</v>
      </c>
      <c r="AA75" s="78" t="e">
        <f>Y75/'Alternative 3'!$M76</f>
        <v>#VALUE!</v>
      </c>
      <c r="AB75" s="78" t="e">
        <f t="shared" si="21"/>
        <v>#VALUE!</v>
      </c>
      <c r="AD75" s="78" t="e">
        <f>'Alternative 3'!$B$39*$B75*$C75*COS($K$23)-($N$22/3)*$E75*SIN($K$23)-($N$22/3)*$F75*SIN($K$23)-($N$22/3)*$G75*SIN($K$23)</f>
        <v>#VALUE!</v>
      </c>
      <c r="AE75" s="79" t="e">
        <f>IF(($A75&lt;'Alternative 3'!$B$27),(($H75*'Alternative 3'!$B$39)+(3*($N$22/3)*COS($K$23))),IF(($A75&lt;'Alternative 3'!$B$28),(($H75*'Alternative 3'!$B$39)+(2*(($N$22/3)*COS($K$23)))),IF(($A75&lt;'Alternative 3'!$B$29),(($H$3*'Alternative 3'!$B$39+(($N$22/3)*COS($K$23)))),($H75*'Alternative 3'!$B$39))))</f>
        <v>#VALUE!</v>
      </c>
      <c r="AF75" s="78" t="e">
        <f>AD75*'Alternative 3'!$K76/'Alternative 3'!$L76</f>
        <v>#VALUE!</v>
      </c>
      <c r="AG75" s="78" t="e">
        <f>AE75/'Alternative 3'!$M76</f>
        <v>#VALUE!</v>
      </c>
      <c r="AH75" s="78" t="e">
        <f t="shared" si="22"/>
        <v>#VALUE!</v>
      </c>
      <c r="AJ75" s="78" t="e">
        <f>'Alternative 3'!$B$39*$B75*$C75*COS($K$33)-($N$32/3)*$E75*SIN($K$33)-($N$32/3)*$F75*SIN($K$33)-($N$32/3)*$G75*SIN($K$33)</f>
        <v>#VALUE!</v>
      </c>
      <c r="AK75" s="79" t="e">
        <f>IF(($A75&lt;'Alternative 3'!$B$27),(($H75*'Alternative 3'!$B$39)+(3*($N$32/3)*COS($K$33))),IF(($A75&lt;'Alternative 3'!$B$28),(($H75*'Alternative 3'!$B$39)+(2*(($N$32/3)*COS($K$33)))),IF(($A75&lt;'Alternative 3'!$B$29),(($H$3*'Alternative 3'!$B$39+(($N$32/3)*COS($K$33)))),($H75*'Alternative 3'!$B$39))))</f>
        <v>#VALUE!</v>
      </c>
      <c r="AL75" s="78" t="e">
        <f>AJ75*'Alternative 3'!$K76/'Alternative 3'!$L76</f>
        <v>#VALUE!</v>
      </c>
      <c r="AM75" s="78" t="e">
        <f>AK75/'Alternative 3'!$M76</f>
        <v>#VALUE!</v>
      </c>
      <c r="AN75" s="78" t="e">
        <f t="shared" si="23"/>
        <v>#VALUE!</v>
      </c>
      <c r="AP75" s="78" t="e">
        <f>'Alternative 3'!$B$39*$B75*$C75*COS($K$43)-($N$42/3)*$E75*SIN($K$43)-($N$42/3)*$F75*SIN($K$43)-($N$42/3)*$G75*SIN($K$43)</f>
        <v>#VALUE!</v>
      </c>
      <c r="AQ75" s="79" t="e">
        <f>IF(($A75&lt;'Alternative 3'!$B$27),(($H75*'Alternative 3'!$B$39)+(3*($N$42/3)*COS($K$43))),IF(($A75&lt;'Alternative 3'!$B$28),(($H75*'Alternative 3'!$B$39)+(2*(($N$42/3)*COS($K$43)))),IF(($A75&lt;'Alternative 3'!$B$29),(($H$3*'Alternative 3'!$B$39+(($N$42/3)*COS($K$43)))),($H75*'Alternative 3'!$B$39))))</f>
        <v>#VALUE!</v>
      </c>
      <c r="AR75" s="78" t="e">
        <f>AP75*'Alternative 3'!$K76/'Alternative 3'!$L76</f>
        <v>#VALUE!</v>
      </c>
      <c r="AS75" s="78" t="e">
        <f>AQ75/'Alternative 3'!$M76</f>
        <v>#VALUE!</v>
      </c>
      <c r="AT75" s="78" t="e">
        <f t="shared" si="24"/>
        <v>#VALUE!</v>
      </c>
      <c r="AV75" s="78" t="e">
        <f>'Alternative 3'!$B$39*$B75*$C75*COS($K$53)-($N$52/3)*$E75*SIN($K$53)-($N$52/3)*$F75*SIN($K$53)-($N$52/3)*$G75*SIN($K$53)</f>
        <v>#VALUE!</v>
      </c>
      <c r="AW75" s="79" t="e">
        <f>IF(($A75&lt;'Alternative 3'!$B$27),(($H75*'Alternative 3'!$B$39)+(3*($N$52/3)*COS($K$53))),IF(($A75&lt;'Alternative 3'!$B$28),(($H75*'Alternative 3'!$B$39)+(2*(($N$52/3)*COS($K$53)))),IF(($A75&lt;'Alternative 3'!$B$29),(($H$3*'Alternative 3'!$B$39+(($N$52/3)*COS($K$53)))),($H75*'Alternative 3'!$B$39))))</f>
        <v>#VALUE!</v>
      </c>
      <c r="AX75" s="78" t="e">
        <f>AV75*'Alternative 3'!$K76/'Alternative 3'!$L76</f>
        <v>#VALUE!</v>
      </c>
      <c r="AY75" s="78" t="e">
        <f>AW75/'Alternative 3'!$M76</f>
        <v>#VALUE!</v>
      </c>
      <c r="AZ75" s="78" t="e">
        <f t="shared" si="25"/>
        <v>#VALUE!</v>
      </c>
      <c r="BB75" s="78" t="e">
        <f>'Alternative 3'!$B$39*$B75*$C75*COS($K$63)-($N$62/3)*$E75*SIN($K$63)-($N$62/3)*$F75*SIN($K$63)-($N$62/3)*$G75*SIN($K$63)</f>
        <v>#VALUE!</v>
      </c>
      <c r="BC75" s="79" t="e">
        <f>IF(($A75&lt;'Alternative 3'!$B$27),(($H75*'Alternative 3'!$B$39)+(3*($N$62/3)*COS($K$63))),IF(($A75&lt;'Alternative 3'!$B$28),(($H75*'Alternative 3'!$B$39)+(2*(($N$62/3)*COS($K$63)))),IF(($A75&lt;'Alternative 3'!$B$29),(($H$3*'Alternative 3'!$B$39+(($N$62/3)*COS($K$63)))),($H75*'Alternative 3'!$B$39))))</f>
        <v>#VALUE!</v>
      </c>
      <c r="BD75" s="78" t="e">
        <f>BB75*'Alternative 3'!$K76/'Alternative 3'!$L76</f>
        <v>#VALUE!</v>
      </c>
      <c r="BE75" s="78" t="e">
        <f>BC75/'Alternative 3'!$M76</f>
        <v>#VALUE!</v>
      </c>
      <c r="BF75" s="78" t="e">
        <f t="shared" si="26"/>
        <v>#VALUE!</v>
      </c>
      <c r="BH75" s="78" t="e">
        <f>'Alternative 3'!$B$39*$B75*$C75*COS($K$73)-($N$72/3)*$E75*SIN($K$73)-($N$72/3)*$F75*SIN($K$73)-($N$72/3)*$G75*SIN($K$73)</f>
        <v>#VALUE!</v>
      </c>
      <c r="BI75" s="79" t="e">
        <f>IF(($A75&lt;'Alternative 3'!$B$27),(($H75*'Alternative 3'!$B$39)+(3*($N$72/3)*COS($K$73))),IF(($A75&lt;'Alternative 3'!$B$28),(($H75*'Alternative 3'!$B$39)+(2*(($N$72/3)*COS($K$73)))),IF(($A75&lt;'Alternative 3'!$B$29),(($H$3*'Alternative 3'!$B$39+(($N$72/3)*COS($K$73)))),($H75*'Alternative 3'!$B$39))))</f>
        <v>#VALUE!</v>
      </c>
      <c r="BJ75" s="78" t="e">
        <f>BH75*'Alternative 3'!$K76/'Alternative 3'!$L76</f>
        <v>#VALUE!</v>
      </c>
      <c r="BK75" s="78" t="e">
        <f>BI75/'Alternative 3'!$M76</f>
        <v>#VALUE!</v>
      </c>
      <c r="BL75" s="78" t="e">
        <f t="shared" si="27"/>
        <v>#VALUE!</v>
      </c>
      <c r="BN75" s="78" t="e">
        <f>'Alternative 3'!$B$39*$B75*$C75*COS($K$83)-($N$82/3)*$E75*SIN($K$83)-($N$82/3)*$F75*SIN($K$83)-($N$82/3)*$G75*SIN($K$83)</f>
        <v>#VALUE!</v>
      </c>
      <c r="BO75" s="79" t="e">
        <f>IF(($A75&lt;'Alternative 3'!$B$27),(($H75*'Alternative 3'!$B$39)+(3*($N$82/3)*COS($K$83))),IF(($A75&lt;'Alternative 3'!$B$28),(($H75*'Alternative 3'!$B$39)+(2*(($N$82/3)*COS($K$83)))),IF(($A75&lt;'Alternative 3'!$B$29),(($H$3*'Alternative 3'!$B$39+(($N$82/3)*COS($K$83)))),($H75*'Alternative 3'!$B$39))))</f>
        <v>#VALUE!</v>
      </c>
      <c r="BP75" s="78" t="e">
        <f>BN75*'Alternative 3'!$K76/'Alternative 3'!$L76</f>
        <v>#VALUE!</v>
      </c>
      <c r="BQ75" s="78" t="e">
        <f>BO75/'Alternative 3'!$M76</f>
        <v>#VALUE!</v>
      </c>
      <c r="BR75" s="78" t="e">
        <f t="shared" si="28"/>
        <v>#VALUE!</v>
      </c>
      <c r="BT75" s="78" t="e">
        <f>'Alternative 3'!$B$39*$B75*$C75*COS($K$93)-($K$92/3)*$E75*SIN($K$93)-($K$92/3)*$F75*SIN($K$93)-($K$92/3)*$G75*SIN($K$93)</f>
        <v>#VALUE!</v>
      </c>
      <c r="BU75" s="79" t="e">
        <f>IF(($A75&lt;'Alternative 3'!$B$27),(($H75*'Alternative 3'!$B$39)+(3*($N$92/3)*COS($K$93))),IF(($A75&lt;'Alternative 3'!$B$28),(($H75*'Alternative 3'!$B$39)+(2*(($N$92/3)*COS($K$93)))),IF(($A75&lt;'Alternative 3'!$B$29),(($H$3*'Alternative 3'!$B$39+(($N$92/3)*COS($K$93)))),($H75*'Alternative 3'!$B$39))))</f>
        <v>#VALUE!</v>
      </c>
      <c r="BV75" s="78" t="e">
        <f>BT75*'Alternative 3'!$K76/'Alternative 3'!$L76</f>
        <v>#VALUE!</v>
      </c>
      <c r="BW75" s="78" t="e">
        <f>BU75/'Alternative 3'!$M76</f>
        <v>#VALUE!</v>
      </c>
      <c r="BX75" s="78" t="e">
        <f t="shared" si="29"/>
        <v>#VALUE!</v>
      </c>
    </row>
    <row r="76" spans="1:79" ht="15" customHeight="1" x14ac:dyDescent="0.25">
      <c r="A76" s="13" t="str">
        <f>IF('Alternative 3'!F77&gt;0,'Alternative 3'!F77,"x")</f>
        <v>x</v>
      </c>
      <c r="B76" s="13" t="e">
        <f t="shared" si="35"/>
        <v>#VALUE!</v>
      </c>
      <c r="C76" s="13">
        <f t="shared" si="30"/>
        <v>0</v>
      </c>
      <c r="D76" s="13" t="str">
        <f t="shared" si="31"/>
        <v>x</v>
      </c>
      <c r="E76" s="74">
        <f>IF($A76&lt;='Alternative 3'!$B$27, IF($A76='Alternative 3'!$B$27,0,E77+1),0)</f>
        <v>0</v>
      </c>
      <c r="F76" s="74">
        <f>IF($A76&lt;=('Alternative 3'!$B$28), IF($A76=ROUNDDOWN('Alternative 3'!$B$28,0),0,F77+1),0)</f>
        <v>0</v>
      </c>
      <c r="G76" s="74">
        <f>IF($A76&lt;=('Alternative 3'!$B$29), IF($A76=ROUNDDOWN('Alternative 3'!$B$29,0),0,G77+1),0)</f>
        <v>0</v>
      </c>
      <c r="H76" s="13" t="e">
        <f t="shared" si="32"/>
        <v>#VALUE!</v>
      </c>
      <c r="J76" s="77">
        <f t="shared" si="33"/>
        <v>73</v>
      </c>
      <c r="K76" s="77">
        <f t="shared" si="34"/>
        <v>1.2740903539558606</v>
      </c>
      <c r="L76" s="78">
        <f>'Alternative 3'!$B$27*SIN(K76)+'Alternative 3'!$B$28*SIN(K76)+'Alternative 3'!$B$29*SIN(K76)</f>
        <v>65.028723405486417</v>
      </c>
      <c r="M76" s="77">
        <f>(('Alternative 3'!$B$27)*(((('Alternative 3'!$B$28-'Alternative 3'!$B$27)/2)+'Alternative 3'!$B$27)*'Alternative 3'!$B$39)*COS('Alternative 3-Tilt Up'!K76))+(('Alternative 3'!$B$28)*((('Alternative 3'!$B$28-'Alternative 3'!$B$27)/2)+(('Alternative 3'!$B$29-'Alternative 3'!$B$28)/2))*('Alternative 3'!$B$39)*COS('Alternative 3-Tilt Up'!K76))+(('Alternative 3'!$B$29)*((('Alternative 3'!$B$12-'Alternative 3'!$B$29+(('Alternative 3'!$B$29-'Alternative 3'!$B$28)/2)*('Alternative 3'!$B$39)*COS('Alternative 3-Tilt Up'!K76)))))</f>
        <v>1387767.4141072561</v>
      </c>
      <c r="N76" s="77">
        <f t="shared" si="18"/>
        <v>64022.512272946049</v>
      </c>
      <c r="O76" s="77">
        <f>(((('Alternative 3'!$B$28-'Alternative 3'!$B$27)/2)+'Alternative 3'!$B$27)*('Alternative 3'!$B$39)*COS('Alternative 3-Tilt Up'!K76))+(((('Alternative 3'!$B$28-'Alternative 3'!$B$27)/2)+(('Alternative 3'!$B$29-'Alternative 3'!$B$28)/2))*('Alternative 3'!$B$39)*COS('Alternative 3-Tilt Up'!K76))+(((('Alternative 3'!$B$12-'Alternative 3'!$B$29)+(('Alternative 3'!$B$29-'Alternative 3'!$B$28)/2))*('Alternative 3'!$B$39)*COS('Alternative 3-Tilt Up'!K76)))</f>
        <v>89500.798949519623</v>
      </c>
      <c r="P76" s="77">
        <f t="shared" si="19"/>
        <v>18718.371053873572</v>
      </c>
      <c r="R76" s="78" t="e">
        <f>'Alternative 3'!$B$39*$B76*$C76*COS($K$5)-($N$5/3)*$E76*SIN($K$5)-($N$5/3)*$F76*SIN($K$5)-($N$5/3)*$G76*SIN($K$5)</f>
        <v>#VALUE!</v>
      </c>
      <c r="S76" s="79" t="e">
        <f>IF(($A76&lt;'Alternative 3'!$B$27),(($H76*'Alternative 3'!$B$39)+(3*($N$5/3)*COS($K$5))),IF(($A76&lt;'Alternative 3'!$B$28),(($H76*'Alternative 3'!$B$39)+(2*(($N$5/3)*COS($K$5)))),IF(($A76&lt;'Alternative 3'!$B$29),(($H$3*'Alternative 3'!$B$39+(($N$5/3)*COS($K$5)))),($H76*'Alternative 3'!$B$39))))</f>
        <v>#VALUE!</v>
      </c>
      <c r="T76" s="78" t="e">
        <f>R76*'Alternative 3'!$K77/'Alternative 3'!$L77</f>
        <v>#VALUE!</v>
      </c>
      <c r="U76" s="78" t="e">
        <f>S76/'Alternative 3'!$M77</f>
        <v>#VALUE!</v>
      </c>
      <c r="V76" s="78" t="e">
        <f t="shared" si="20"/>
        <v>#VALUE!</v>
      </c>
      <c r="X76" s="78" t="e">
        <f>'Alternative 3'!$B$39*$B76*$C76*COS($K$13)-($N$12/3)*$E76*SIN($K$13)-($N$12/3)*$F76*SIN($K$13)-($N$12/3)*$G76*SIN($K$13)</f>
        <v>#VALUE!</v>
      </c>
      <c r="Y76" s="79" t="e">
        <f>IF(($A76&lt;'Alternative 3'!$B$27),(($H76*'Alternative 3'!$B$39)+(3*($N$12/3)*COS($K$13))),IF(($A76&lt;'Alternative 3'!$B$28),(($H76*'Alternative 3'!$B$39)+(2*(($N$12/3)*COS($K$13)))),IF(($A76&lt;'Alternative 3'!$B$29),(($H$3*'Alternative 3'!$B$39+(($N$12/3)*COS($K$13)))),($H76*'Alternative 3'!$B$39))))</f>
        <v>#VALUE!</v>
      </c>
      <c r="Z76" s="78" t="e">
        <f>X76*'Alternative 3'!$K77/'Alternative 3'!$L77</f>
        <v>#VALUE!</v>
      </c>
      <c r="AA76" s="78" t="e">
        <f>Y76/'Alternative 3'!$M77</f>
        <v>#VALUE!</v>
      </c>
      <c r="AB76" s="78" t="e">
        <f t="shared" si="21"/>
        <v>#VALUE!</v>
      </c>
      <c r="AD76" s="78" t="e">
        <f>'Alternative 3'!$B$39*$B76*$C76*COS($K$23)-($N$22/3)*$E76*SIN($K$23)-($N$22/3)*$F76*SIN($K$23)-($N$22/3)*$G76*SIN($K$23)</f>
        <v>#VALUE!</v>
      </c>
      <c r="AE76" s="79" t="e">
        <f>IF(($A76&lt;'Alternative 3'!$B$27),(($H76*'Alternative 3'!$B$39)+(3*($N$22/3)*COS($K$23))),IF(($A76&lt;'Alternative 3'!$B$28),(($H76*'Alternative 3'!$B$39)+(2*(($N$22/3)*COS($K$23)))),IF(($A76&lt;'Alternative 3'!$B$29),(($H$3*'Alternative 3'!$B$39+(($N$22/3)*COS($K$23)))),($H76*'Alternative 3'!$B$39))))</f>
        <v>#VALUE!</v>
      </c>
      <c r="AF76" s="78" t="e">
        <f>AD76*'Alternative 3'!$K77/'Alternative 3'!$L77</f>
        <v>#VALUE!</v>
      </c>
      <c r="AG76" s="78" t="e">
        <f>AE76/'Alternative 3'!$M77</f>
        <v>#VALUE!</v>
      </c>
      <c r="AH76" s="78" t="e">
        <f t="shared" si="22"/>
        <v>#VALUE!</v>
      </c>
      <c r="AJ76" s="78" t="e">
        <f>'Alternative 3'!$B$39*$B76*$C76*COS($K$33)-($N$32/3)*$E76*SIN($K$33)-($N$32/3)*$F76*SIN($K$33)-($N$32/3)*$G76*SIN($K$33)</f>
        <v>#VALUE!</v>
      </c>
      <c r="AK76" s="79" t="e">
        <f>IF(($A76&lt;'Alternative 3'!$B$27),(($H76*'Alternative 3'!$B$39)+(3*($N$32/3)*COS($K$33))),IF(($A76&lt;'Alternative 3'!$B$28),(($H76*'Alternative 3'!$B$39)+(2*(($N$32/3)*COS($K$33)))),IF(($A76&lt;'Alternative 3'!$B$29),(($H$3*'Alternative 3'!$B$39+(($N$32/3)*COS($K$33)))),($H76*'Alternative 3'!$B$39))))</f>
        <v>#VALUE!</v>
      </c>
      <c r="AL76" s="78" t="e">
        <f>AJ76*'Alternative 3'!$K77/'Alternative 3'!$L77</f>
        <v>#VALUE!</v>
      </c>
      <c r="AM76" s="78" t="e">
        <f>AK76/'Alternative 3'!$M77</f>
        <v>#VALUE!</v>
      </c>
      <c r="AN76" s="78" t="e">
        <f t="shared" si="23"/>
        <v>#VALUE!</v>
      </c>
      <c r="AP76" s="78" t="e">
        <f>'Alternative 3'!$B$39*$B76*$C76*COS($K$43)-($N$42/3)*$E76*SIN($K$43)-($N$42/3)*$F76*SIN($K$43)-($N$42/3)*$G76*SIN($K$43)</f>
        <v>#VALUE!</v>
      </c>
      <c r="AQ76" s="79" t="e">
        <f>IF(($A76&lt;'Alternative 3'!$B$27),(($H76*'Alternative 3'!$B$39)+(3*($N$42/3)*COS($K$43))),IF(($A76&lt;'Alternative 3'!$B$28),(($H76*'Alternative 3'!$B$39)+(2*(($N$42/3)*COS($K$43)))),IF(($A76&lt;'Alternative 3'!$B$29),(($H$3*'Alternative 3'!$B$39+(($N$42/3)*COS($K$43)))),($H76*'Alternative 3'!$B$39))))</f>
        <v>#VALUE!</v>
      </c>
      <c r="AR76" s="78" t="e">
        <f>AP76*'Alternative 3'!$K77/'Alternative 3'!$L77</f>
        <v>#VALUE!</v>
      </c>
      <c r="AS76" s="78" t="e">
        <f>AQ76/'Alternative 3'!$M77</f>
        <v>#VALUE!</v>
      </c>
      <c r="AT76" s="78" t="e">
        <f t="shared" si="24"/>
        <v>#VALUE!</v>
      </c>
      <c r="AV76" s="78" t="e">
        <f>'Alternative 3'!$B$39*$B76*$C76*COS($K$53)-($N$52/3)*$E76*SIN($K$53)-($N$52/3)*$F76*SIN($K$53)-($N$52/3)*$G76*SIN($K$53)</f>
        <v>#VALUE!</v>
      </c>
      <c r="AW76" s="79" t="e">
        <f>IF(($A76&lt;'Alternative 3'!$B$27),(($H76*'Alternative 3'!$B$39)+(3*($N$52/3)*COS($K$53))),IF(($A76&lt;'Alternative 3'!$B$28),(($H76*'Alternative 3'!$B$39)+(2*(($N$52/3)*COS($K$53)))),IF(($A76&lt;'Alternative 3'!$B$29),(($H$3*'Alternative 3'!$B$39+(($N$52/3)*COS($K$53)))),($H76*'Alternative 3'!$B$39))))</f>
        <v>#VALUE!</v>
      </c>
      <c r="AX76" s="78" t="e">
        <f>AV76*'Alternative 3'!$K77/'Alternative 3'!$L77</f>
        <v>#VALUE!</v>
      </c>
      <c r="AY76" s="78" t="e">
        <f>AW76/'Alternative 3'!$M77</f>
        <v>#VALUE!</v>
      </c>
      <c r="AZ76" s="78" t="e">
        <f t="shared" si="25"/>
        <v>#VALUE!</v>
      </c>
      <c r="BB76" s="78" t="e">
        <f>'Alternative 3'!$B$39*$B76*$C76*COS($K$63)-($N$62/3)*$E76*SIN($K$63)-($N$62/3)*$F76*SIN($K$63)-($N$62/3)*$G76*SIN($K$63)</f>
        <v>#VALUE!</v>
      </c>
      <c r="BC76" s="79" t="e">
        <f>IF(($A76&lt;'Alternative 3'!$B$27),(($H76*'Alternative 3'!$B$39)+(3*($N$62/3)*COS($K$63))),IF(($A76&lt;'Alternative 3'!$B$28),(($H76*'Alternative 3'!$B$39)+(2*(($N$62/3)*COS($K$63)))),IF(($A76&lt;'Alternative 3'!$B$29),(($H$3*'Alternative 3'!$B$39+(($N$62/3)*COS($K$63)))),($H76*'Alternative 3'!$B$39))))</f>
        <v>#VALUE!</v>
      </c>
      <c r="BD76" s="78" t="e">
        <f>BB76*'Alternative 3'!$K77/'Alternative 3'!$L77</f>
        <v>#VALUE!</v>
      </c>
      <c r="BE76" s="78" t="e">
        <f>BC76/'Alternative 3'!$M77</f>
        <v>#VALUE!</v>
      </c>
      <c r="BF76" s="78" t="e">
        <f t="shared" si="26"/>
        <v>#VALUE!</v>
      </c>
      <c r="BH76" s="78" t="e">
        <f>'Alternative 3'!$B$39*$B76*$C76*COS($K$73)-($N$72/3)*$E76*SIN($K$73)-($N$72/3)*$F76*SIN($K$73)-($N$72/3)*$G76*SIN($K$73)</f>
        <v>#VALUE!</v>
      </c>
      <c r="BI76" s="79" t="e">
        <f>IF(($A76&lt;'Alternative 3'!$B$27),(($H76*'Alternative 3'!$B$39)+(3*($N$72/3)*COS($K$73))),IF(($A76&lt;'Alternative 3'!$B$28),(($H76*'Alternative 3'!$B$39)+(2*(($N$72/3)*COS($K$73)))),IF(($A76&lt;'Alternative 3'!$B$29),(($H$3*'Alternative 3'!$B$39+(($N$72/3)*COS($K$73)))),($H76*'Alternative 3'!$B$39))))</f>
        <v>#VALUE!</v>
      </c>
      <c r="BJ76" s="78" t="e">
        <f>BH76*'Alternative 3'!$K77/'Alternative 3'!$L77</f>
        <v>#VALUE!</v>
      </c>
      <c r="BK76" s="78" t="e">
        <f>BI76/'Alternative 3'!$M77</f>
        <v>#VALUE!</v>
      </c>
      <c r="BL76" s="78" t="e">
        <f t="shared" si="27"/>
        <v>#VALUE!</v>
      </c>
      <c r="BN76" s="78" t="e">
        <f>'Alternative 3'!$B$39*$B76*$C76*COS($K$83)-($N$82/3)*$E76*SIN($K$83)-($N$82/3)*$F76*SIN($K$83)-($N$82/3)*$G76*SIN($K$83)</f>
        <v>#VALUE!</v>
      </c>
      <c r="BO76" s="79" t="e">
        <f>IF(($A76&lt;'Alternative 3'!$B$27),(($H76*'Alternative 3'!$B$39)+(3*($N$82/3)*COS($K$83))),IF(($A76&lt;'Alternative 3'!$B$28),(($H76*'Alternative 3'!$B$39)+(2*(($N$82/3)*COS($K$83)))),IF(($A76&lt;'Alternative 3'!$B$29),(($H$3*'Alternative 3'!$B$39+(($N$82/3)*COS($K$83)))),($H76*'Alternative 3'!$B$39))))</f>
        <v>#VALUE!</v>
      </c>
      <c r="BP76" s="78" t="e">
        <f>BN76*'Alternative 3'!$K77/'Alternative 3'!$L77</f>
        <v>#VALUE!</v>
      </c>
      <c r="BQ76" s="78" t="e">
        <f>BO76/'Alternative 3'!$M77</f>
        <v>#VALUE!</v>
      </c>
      <c r="BR76" s="78" t="e">
        <f t="shared" si="28"/>
        <v>#VALUE!</v>
      </c>
      <c r="BT76" s="78" t="e">
        <f>'Alternative 3'!$B$39*$B76*$C76*COS($K$93)-($K$92/3)*$E76*SIN($K$93)-($K$92/3)*$F76*SIN($K$93)-($K$92/3)*$G76*SIN($K$93)</f>
        <v>#VALUE!</v>
      </c>
      <c r="BU76" s="79" t="e">
        <f>IF(($A76&lt;'Alternative 3'!$B$27),(($H76*'Alternative 3'!$B$39)+(3*($N$92/3)*COS($K$93))),IF(($A76&lt;'Alternative 3'!$B$28),(($H76*'Alternative 3'!$B$39)+(2*(($N$92/3)*COS($K$93)))),IF(($A76&lt;'Alternative 3'!$B$29),(($H$3*'Alternative 3'!$B$39+(($N$92/3)*COS($K$93)))),($H76*'Alternative 3'!$B$39))))</f>
        <v>#VALUE!</v>
      </c>
      <c r="BV76" s="78" t="e">
        <f>BT76*'Alternative 3'!$K77/'Alternative 3'!$L77</f>
        <v>#VALUE!</v>
      </c>
      <c r="BW76" s="78" t="e">
        <f>BU76/'Alternative 3'!$M77</f>
        <v>#VALUE!</v>
      </c>
      <c r="BX76" s="78" t="e">
        <f t="shared" si="29"/>
        <v>#VALUE!</v>
      </c>
    </row>
    <row r="77" spans="1:79" ht="15" customHeight="1" x14ac:dyDescent="0.25">
      <c r="A77" s="13" t="str">
        <f>IF('Alternative 3'!F78&gt;0,'Alternative 3'!F78,"x")</f>
        <v>x</v>
      </c>
      <c r="B77" s="13" t="e">
        <f t="shared" si="35"/>
        <v>#VALUE!</v>
      </c>
      <c r="C77" s="13">
        <f t="shared" si="30"/>
        <v>0</v>
      </c>
      <c r="D77" s="13" t="str">
        <f t="shared" si="31"/>
        <v>x</v>
      </c>
      <c r="E77" s="74">
        <f>IF($A77&lt;='Alternative 3'!$B$27, IF($A77='Alternative 3'!$B$27,0,E78+1),0)</f>
        <v>0</v>
      </c>
      <c r="F77" s="74">
        <f>IF($A77&lt;=('Alternative 3'!$B$28), IF($A77=ROUNDDOWN('Alternative 3'!$B$28,0),0,F78+1),0)</f>
        <v>0</v>
      </c>
      <c r="G77" s="74">
        <f>IF($A77&lt;=('Alternative 3'!$B$29), IF($A77=ROUNDDOWN('Alternative 3'!$B$29,0),0,G78+1),0)</f>
        <v>0</v>
      </c>
      <c r="H77" s="13" t="e">
        <f t="shared" si="32"/>
        <v>#VALUE!</v>
      </c>
      <c r="J77" s="77">
        <f t="shared" si="33"/>
        <v>74</v>
      </c>
      <c r="K77" s="77">
        <f t="shared" si="34"/>
        <v>1.2915436464758039</v>
      </c>
      <c r="L77" s="78">
        <f>'Alternative 3'!$B$27*SIN(K77)+'Alternative 3'!$B$28*SIN(K77)+'Alternative 3'!$B$29*SIN(K77)</f>
        <v>65.365795323805685</v>
      </c>
      <c r="M77" s="77">
        <f>(('Alternative 3'!$B$27)*(((('Alternative 3'!$B$28-'Alternative 3'!$B$27)/2)+'Alternative 3'!$B$27)*'Alternative 3'!$B$39)*COS('Alternative 3-Tilt Up'!K77))+(('Alternative 3'!$B$28)*((('Alternative 3'!$B$28-'Alternative 3'!$B$27)/2)+(('Alternative 3'!$B$29-'Alternative 3'!$B$28)/2))*('Alternative 3'!$B$39)*COS('Alternative 3-Tilt Up'!K77))+(('Alternative 3'!$B$29)*((('Alternative 3'!$B$12-'Alternative 3'!$B$29+(('Alternative 3'!$B$29-'Alternative 3'!$B$28)/2)*('Alternative 3'!$B$39)*COS('Alternative 3-Tilt Up'!K77)))))</f>
        <v>1308347.5866290119</v>
      </c>
      <c r="N77" s="77">
        <f t="shared" si="18"/>
        <v>60047.349541811018</v>
      </c>
      <c r="O77" s="77">
        <f>(((('Alternative 3'!$B$28-'Alternative 3'!$B$27)/2)+'Alternative 3'!$B$27)*('Alternative 3'!$B$39)*COS('Alternative 3-Tilt Up'!K77))+(((('Alternative 3'!$B$28-'Alternative 3'!$B$27)/2)+(('Alternative 3'!$B$29-'Alternative 3'!$B$28)/2))*('Alternative 3'!$B$39)*COS('Alternative 3-Tilt Up'!K77))+(((('Alternative 3'!$B$12-'Alternative 3'!$B$29)+(('Alternative 3'!$B$29-'Alternative 3'!$B$28)/2))*('Alternative 3'!$B$39)*COS('Alternative 3-Tilt Up'!K77)))</f>
        <v>84378.081625064864</v>
      </c>
      <c r="P77" s="77">
        <f t="shared" si="19"/>
        <v>16551.292651523887</v>
      </c>
      <c r="R77" s="78" t="e">
        <f>'Alternative 3'!$B$39*$B77*$C77*COS($K$5)-($N$5/3)*$E77*SIN($K$5)-($N$5/3)*$F77*SIN($K$5)-($N$5/3)*$G77*SIN($K$5)</f>
        <v>#VALUE!</v>
      </c>
      <c r="S77" s="79" t="e">
        <f>IF(($A77&lt;'Alternative 3'!$B$27),(($H77*'Alternative 3'!$B$39)+(3*($N$5/3)*COS($K$5))),IF(($A77&lt;'Alternative 3'!$B$28),(($H77*'Alternative 3'!$B$39)+(2*(($N$5/3)*COS($K$5)))),IF(($A77&lt;'Alternative 3'!$B$29),(($H$3*'Alternative 3'!$B$39+(($N$5/3)*COS($K$5)))),($H77*'Alternative 3'!$B$39))))</f>
        <v>#VALUE!</v>
      </c>
      <c r="T77" s="78" t="e">
        <f>R77*'Alternative 3'!$K78/'Alternative 3'!$L78</f>
        <v>#VALUE!</v>
      </c>
      <c r="U77" s="78" t="e">
        <f>S77/'Alternative 3'!$M78</f>
        <v>#VALUE!</v>
      </c>
      <c r="V77" s="78" t="e">
        <f t="shared" si="20"/>
        <v>#VALUE!</v>
      </c>
      <c r="X77" s="78" t="e">
        <f>'Alternative 3'!$B$39*$B77*$C77*COS($K$13)-($N$12/3)*$E77*SIN($K$13)-($N$12/3)*$F77*SIN($K$13)-($N$12/3)*$G77*SIN($K$13)</f>
        <v>#VALUE!</v>
      </c>
      <c r="Y77" s="79" t="e">
        <f>IF(($A77&lt;'Alternative 3'!$B$27),(($H77*'Alternative 3'!$B$39)+(3*($N$12/3)*COS($K$13))),IF(($A77&lt;'Alternative 3'!$B$28),(($H77*'Alternative 3'!$B$39)+(2*(($N$12/3)*COS($K$13)))),IF(($A77&lt;'Alternative 3'!$B$29),(($H$3*'Alternative 3'!$B$39+(($N$12/3)*COS($K$13)))),($H77*'Alternative 3'!$B$39))))</f>
        <v>#VALUE!</v>
      </c>
      <c r="Z77" s="78" t="e">
        <f>X77*'Alternative 3'!$K78/'Alternative 3'!$L78</f>
        <v>#VALUE!</v>
      </c>
      <c r="AA77" s="78" t="e">
        <f>Y77/'Alternative 3'!$M78</f>
        <v>#VALUE!</v>
      </c>
      <c r="AB77" s="78" t="e">
        <f t="shared" si="21"/>
        <v>#VALUE!</v>
      </c>
      <c r="AD77" s="78" t="e">
        <f>'Alternative 3'!$B$39*$B77*$C77*COS($K$23)-($N$22/3)*$E77*SIN($K$23)-($N$22/3)*$F77*SIN($K$23)-($N$22/3)*$G77*SIN($K$23)</f>
        <v>#VALUE!</v>
      </c>
      <c r="AE77" s="79" t="e">
        <f>IF(($A77&lt;'Alternative 3'!$B$27),(($H77*'Alternative 3'!$B$39)+(3*($N$22/3)*COS($K$23))),IF(($A77&lt;'Alternative 3'!$B$28),(($H77*'Alternative 3'!$B$39)+(2*(($N$22/3)*COS($K$23)))),IF(($A77&lt;'Alternative 3'!$B$29),(($H$3*'Alternative 3'!$B$39+(($N$22/3)*COS($K$23)))),($H77*'Alternative 3'!$B$39))))</f>
        <v>#VALUE!</v>
      </c>
      <c r="AF77" s="78" t="e">
        <f>AD77*'Alternative 3'!$K78/'Alternative 3'!$L78</f>
        <v>#VALUE!</v>
      </c>
      <c r="AG77" s="78" t="e">
        <f>AE77/'Alternative 3'!$M78</f>
        <v>#VALUE!</v>
      </c>
      <c r="AH77" s="78" t="e">
        <f t="shared" si="22"/>
        <v>#VALUE!</v>
      </c>
      <c r="AJ77" s="78" t="e">
        <f>'Alternative 3'!$B$39*$B77*$C77*COS($K$33)-($N$32/3)*$E77*SIN($K$33)-($N$32/3)*$F77*SIN($K$33)-($N$32/3)*$G77*SIN($K$33)</f>
        <v>#VALUE!</v>
      </c>
      <c r="AK77" s="79" t="e">
        <f>IF(($A77&lt;'Alternative 3'!$B$27),(($H77*'Alternative 3'!$B$39)+(3*($N$32/3)*COS($K$33))),IF(($A77&lt;'Alternative 3'!$B$28),(($H77*'Alternative 3'!$B$39)+(2*(($N$32/3)*COS($K$33)))),IF(($A77&lt;'Alternative 3'!$B$29),(($H$3*'Alternative 3'!$B$39+(($N$32/3)*COS($K$33)))),($H77*'Alternative 3'!$B$39))))</f>
        <v>#VALUE!</v>
      </c>
      <c r="AL77" s="78" t="e">
        <f>AJ77*'Alternative 3'!$K78/'Alternative 3'!$L78</f>
        <v>#VALUE!</v>
      </c>
      <c r="AM77" s="78" t="e">
        <f>AK77/'Alternative 3'!$M78</f>
        <v>#VALUE!</v>
      </c>
      <c r="AN77" s="78" t="e">
        <f t="shared" si="23"/>
        <v>#VALUE!</v>
      </c>
      <c r="AP77" s="78" t="e">
        <f>'Alternative 3'!$B$39*$B77*$C77*COS($K$43)-($N$42/3)*$E77*SIN($K$43)-($N$42/3)*$F77*SIN($K$43)-($N$42/3)*$G77*SIN($K$43)</f>
        <v>#VALUE!</v>
      </c>
      <c r="AQ77" s="79" t="e">
        <f>IF(($A77&lt;'Alternative 3'!$B$27),(($H77*'Alternative 3'!$B$39)+(3*($N$42/3)*COS($K$43))),IF(($A77&lt;'Alternative 3'!$B$28),(($H77*'Alternative 3'!$B$39)+(2*(($N$42/3)*COS($K$43)))),IF(($A77&lt;'Alternative 3'!$B$29),(($H$3*'Alternative 3'!$B$39+(($N$42/3)*COS($K$43)))),($H77*'Alternative 3'!$B$39))))</f>
        <v>#VALUE!</v>
      </c>
      <c r="AR77" s="78" t="e">
        <f>AP77*'Alternative 3'!$K78/'Alternative 3'!$L78</f>
        <v>#VALUE!</v>
      </c>
      <c r="AS77" s="78" t="e">
        <f>AQ77/'Alternative 3'!$M78</f>
        <v>#VALUE!</v>
      </c>
      <c r="AT77" s="78" t="e">
        <f t="shared" si="24"/>
        <v>#VALUE!</v>
      </c>
      <c r="AV77" s="78" t="e">
        <f>'Alternative 3'!$B$39*$B77*$C77*COS($K$53)-($N$52/3)*$E77*SIN($K$53)-($N$52/3)*$F77*SIN($K$53)-($N$52/3)*$G77*SIN($K$53)</f>
        <v>#VALUE!</v>
      </c>
      <c r="AW77" s="79" t="e">
        <f>IF(($A77&lt;'Alternative 3'!$B$27),(($H77*'Alternative 3'!$B$39)+(3*($N$52/3)*COS($K$53))),IF(($A77&lt;'Alternative 3'!$B$28),(($H77*'Alternative 3'!$B$39)+(2*(($N$52/3)*COS($K$53)))),IF(($A77&lt;'Alternative 3'!$B$29),(($H$3*'Alternative 3'!$B$39+(($N$52/3)*COS($K$53)))),($H77*'Alternative 3'!$B$39))))</f>
        <v>#VALUE!</v>
      </c>
      <c r="AX77" s="78" t="e">
        <f>AV77*'Alternative 3'!$K78/'Alternative 3'!$L78</f>
        <v>#VALUE!</v>
      </c>
      <c r="AY77" s="78" t="e">
        <f>AW77/'Alternative 3'!$M78</f>
        <v>#VALUE!</v>
      </c>
      <c r="AZ77" s="78" t="e">
        <f t="shared" si="25"/>
        <v>#VALUE!</v>
      </c>
      <c r="BB77" s="78" t="e">
        <f>'Alternative 3'!$B$39*$B77*$C77*COS($K$63)-($N$62/3)*$E77*SIN($K$63)-($N$62/3)*$F77*SIN($K$63)-($N$62/3)*$G77*SIN($K$63)</f>
        <v>#VALUE!</v>
      </c>
      <c r="BC77" s="79" t="e">
        <f>IF(($A77&lt;'Alternative 3'!$B$27),(($H77*'Alternative 3'!$B$39)+(3*($N$62/3)*COS($K$63))),IF(($A77&lt;'Alternative 3'!$B$28),(($H77*'Alternative 3'!$B$39)+(2*(($N$62/3)*COS($K$63)))),IF(($A77&lt;'Alternative 3'!$B$29),(($H$3*'Alternative 3'!$B$39+(($N$62/3)*COS($K$63)))),($H77*'Alternative 3'!$B$39))))</f>
        <v>#VALUE!</v>
      </c>
      <c r="BD77" s="78" t="e">
        <f>BB77*'Alternative 3'!$K78/'Alternative 3'!$L78</f>
        <v>#VALUE!</v>
      </c>
      <c r="BE77" s="78" t="e">
        <f>BC77/'Alternative 3'!$M78</f>
        <v>#VALUE!</v>
      </c>
      <c r="BF77" s="78" t="e">
        <f t="shared" si="26"/>
        <v>#VALUE!</v>
      </c>
      <c r="BH77" s="78" t="e">
        <f>'Alternative 3'!$B$39*$B77*$C77*COS($K$73)-($N$72/3)*$E77*SIN($K$73)-($N$72/3)*$F77*SIN($K$73)-($N$72/3)*$G77*SIN($K$73)</f>
        <v>#VALUE!</v>
      </c>
      <c r="BI77" s="79" t="e">
        <f>IF(($A77&lt;'Alternative 3'!$B$27),(($H77*'Alternative 3'!$B$39)+(3*($N$72/3)*COS($K$73))),IF(($A77&lt;'Alternative 3'!$B$28),(($H77*'Alternative 3'!$B$39)+(2*(($N$72/3)*COS($K$73)))),IF(($A77&lt;'Alternative 3'!$B$29),(($H$3*'Alternative 3'!$B$39+(($N$72/3)*COS($K$73)))),($H77*'Alternative 3'!$B$39))))</f>
        <v>#VALUE!</v>
      </c>
      <c r="BJ77" s="78" t="e">
        <f>BH77*'Alternative 3'!$K78/'Alternative 3'!$L78</f>
        <v>#VALUE!</v>
      </c>
      <c r="BK77" s="78" t="e">
        <f>BI77/'Alternative 3'!$M78</f>
        <v>#VALUE!</v>
      </c>
      <c r="BL77" s="78" t="e">
        <f t="shared" si="27"/>
        <v>#VALUE!</v>
      </c>
      <c r="BN77" s="78" t="e">
        <f>'Alternative 3'!$B$39*$B77*$C77*COS($K$83)-($N$82/3)*$E77*SIN($K$83)-($N$82/3)*$F77*SIN($K$83)-($N$82/3)*$G77*SIN($K$83)</f>
        <v>#VALUE!</v>
      </c>
      <c r="BO77" s="79" t="e">
        <f>IF(($A77&lt;'Alternative 3'!$B$27),(($H77*'Alternative 3'!$B$39)+(3*($N$82/3)*COS($K$83))),IF(($A77&lt;'Alternative 3'!$B$28),(($H77*'Alternative 3'!$B$39)+(2*(($N$82/3)*COS($K$83)))),IF(($A77&lt;'Alternative 3'!$B$29),(($H$3*'Alternative 3'!$B$39+(($N$82/3)*COS($K$83)))),($H77*'Alternative 3'!$B$39))))</f>
        <v>#VALUE!</v>
      </c>
      <c r="BP77" s="78" t="e">
        <f>BN77*'Alternative 3'!$K78/'Alternative 3'!$L78</f>
        <v>#VALUE!</v>
      </c>
      <c r="BQ77" s="78" t="e">
        <f>BO77/'Alternative 3'!$M78</f>
        <v>#VALUE!</v>
      </c>
      <c r="BR77" s="78" t="e">
        <f t="shared" si="28"/>
        <v>#VALUE!</v>
      </c>
      <c r="BT77" s="78" t="e">
        <f>'Alternative 3'!$B$39*$B77*$C77*COS($K$93)-($K$92/3)*$E77*SIN($K$93)-($K$92/3)*$F77*SIN($K$93)-($K$92/3)*$G77*SIN($K$93)</f>
        <v>#VALUE!</v>
      </c>
      <c r="BU77" s="79" t="e">
        <f>IF(($A77&lt;'Alternative 3'!$B$27),(($H77*'Alternative 3'!$B$39)+(3*($N$92/3)*COS($K$93))),IF(($A77&lt;'Alternative 3'!$B$28),(($H77*'Alternative 3'!$B$39)+(2*(($N$92/3)*COS($K$93)))),IF(($A77&lt;'Alternative 3'!$B$29),(($H$3*'Alternative 3'!$B$39+(($N$92/3)*COS($K$93)))),($H77*'Alternative 3'!$B$39))))</f>
        <v>#VALUE!</v>
      </c>
      <c r="BV77" s="78" t="e">
        <f>BT77*'Alternative 3'!$K78/'Alternative 3'!$L78</f>
        <v>#VALUE!</v>
      </c>
      <c r="BW77" s="78" t="e">
        <f>BU77/'Alternative 3'!$M78</f>
        <v>#VALUE!</v>
      </c>
      <c r="BX77" s="78" t="e">
        <f t="shared" si="29"/>
        <v>#VALUE!</v>
      </c>
    </row>
    <row r="78" spans="1:79" ht="15" customHeight="1" x14ac:dyDescent="0.25">
      <c r="A78" s="13" t="str">
        <f>IF('Alternative 3'!F79&gt;0,'Alternative 3'!F79,"x")</f>
        <v>x</v>
      </c>
      <c r="B78" s="13" t="e">
        <f t="shared" si="35"/>
        <v>#VALUE!</v>
      </c>
      <c r="C78" s="13">
        <f t="shared" si="30"/>
        <v>0</v>
      </c>
      <c r="D78" s="13" t="str">
        <f t="shared" si="31"/>
        <v>x</v>
      </c>
      <c r="E78" s="74">
        <f>IF($A78&lt;='Alternative 3'!$B$27, IF($A78='Alternative 3'!$B$27,0,E79+1),0)</f>
        <v>0</v>
      </c>
      <c r="F78" s="74">
        <f>IF($A78&lt;=('Alternative 3'!$B$28), IF($A78=ROUNDDOWN('Alternative 3'!$B$28,0),0,F79+1),0)</f>
        <v>0</v>
      </c>
      <c r="G78" s="74">
        <f>IF($A78&lt;=('Alternative 3'!$B$29), IF($A78=ROUNDDOWN('Alternative 3'!$B$29,0),0,G79+1),0)</f>
        <v>0</v>
      </c>
      <c r="H78" s="13" t="e">
        <f t="shared" si="32"/>
        <v>#VALUE!</v>
      </c>
      <c r="J78" s="77">
        <f t="shared" si="33"/>
        <v>75</v>
      </c>
      <c r="K78" s="77">
        <f t="shared" si="34"/>
        <v>1.3089969389957472</v>
      </c>
      <c r="L78" s="78">
        <f>'Alternative 3'!$B$27*SIN(K78)+'Alternative 3'!$B$28*SIN(K78)+'Alternative 3'!$B$29*SIN(K78)</f>
        <v>65.682956187656643</v>
      </c>
      <c r="M78" s="77">
        <f>(('Alternative 3'!$B$27)*(((('Alternative 3'!$B$28-'Alternative 3'!$B$27)/2)+'Alternative 3'!$B$27)*'Alternative 3'!$B$39)*COS('Alternative 3-Tilt Up'!K78))+(('Alternative 3'!$B$28)*((('Alternative 3'!$B$28-'Alternative 3'!$B$27)/2)+(('Alternative 3'!$B$29-'Alternative 3'!$B$28)/2))*('Alternative 3'!$B$39)*COS('Alternative 3-Tilt Up'!K78))+(('Alternative 3'!$B$29)*((('Alternative 3'!$B$12-'Alternative 3'!$B$29+(('Alternative 3'!$B$29-'Alternative 3'!$B$28)/2)*('Alternative 3'!$B$39)*COS('Alternative 3-Tilt Up'!K78)))))</f>
        <v>1228529.2833927616</v>
      </c>
      <c r="N78" s="77">
        <f t="shared" si="18"/>
        <v>56111.784001446824</v>
      </c>
      <c r="O78" s="77">
        <f>(((('Alternative 3'!$B$28-'Alternative 3'!$B$27)/2)+'Alternative 3'!$B$27)*('Alternative 3'!$B$39)*COS('Alternative 3-Tilt Up'!K78))+(((('Alternative 3'!$B$28-'Alternative 3'!$B$27)/2)+(('Alternative 3'!$B$29-'Alternative 3'!$B$28)/2))*('Alternative 3'!$B$39)*COS('Alternative 3-Tilt Up'!K78))+(((('Alternative 3'!$B$12-'Alternative 3'!$B$29)+(('Alternative 3'!$B$29-'Alternative 3'!$B$28)/2))*('Alternative 3'!$B$39)*COS('Alternative 3-Tilt Up'!K78)))</f>
        <v>79229.661919558304</v>
      </c>
      <c r="P78" s="77">
        <f t="shared" si="19"/>
        <v>14522.798354253368</v>
      </c>
      <c r="R78" s="78" t="e">
        <f>'Alternative 3'!$B$39*$B78*$C78*COS($K$5)-($N$5/3)*$E78*SIN($K$5)-($N$5/3)*$F78*SIN($K$5)-($N$5/3)*$G78*SIN($K$5)</f>
        <v>#VALUE!</v>
      </c>
      <c r="S78" s="79" t="e">
        <f>IF(($A78&lt;'Alternative 3'!$B$27),(($H78*'Alternative 3'!$B$39)+(3*($N$5/3)*COS($K$5))),IF(($A78&lt;'Alternative 3'!$B$28),(($H78*'Alternative 3'!$B$39)+(2*(($N$5/3)*COS($K$5)))),IF(($A78&lt;'Alternative 3'!$B$29),(($H$3*'Alternative 3'!$B$39+(($N$5/3)*COS($K$5)))),($H78*'Alternative 3'!$B$39))))</f>
        <v>#VALUE!</v>
      </c>
      <c r="T78" s="78" t="e">
        <f>R78*'Alternative 3'!$K79/'Alternative 3'!$L79</f>
        <v>#VALUE!</v>
      </c>
      <c r="U78" s="78" t="e">
        <f>S78/'Alternative 3'!$M79</f>
        <v>#VALUE!</v>
      </c>
      <c r="V78" s="78" t="e">
        <f t="shared" si="20"/>
        <v>#VALUE!</v>
      </c>
      <c r="X78" s="78" t="e">
        <f>'Alternative 3'!$B$39*$B78*$C78*COS($K$13)-($N$12/3)*$E78*SIN($K$13)-($N$12/3)*$F78*SIN($K$13)-($N$12/3)*$G78*SIN($K$13)</f>
        <v>#VALUE!</v>
      </c>
      <c r="Y78" s="79" t="e">
        <f>IF(($A78&lt;'Alternative 3'!$B$27),(($H78*'Alternative 3'!$B$39)+(3*($N$12/3)*COS($K$13))),IF(($A78&lt;'Alternative 3'!$B$28),(($H78*'Alternative 3'!$B$39)+(2*(($N$12/3)*COS($K$13)))),IF(($A78&lt;'Alternative 3'!$B$29),(($H$3*'Alternative 3'!$B$39+(($N$12/3)*COS($K$13)))),($H78*'Alternative 3'!$B$39))))</f>
        <v>#VALUE!</v>
      </c>
      <c r="Z78" s="78" t="e">
        <f>X78*'Alternative 3'!$K79/'Alternative 3'!$L79</f>
        <v>#VALUE!</v>
      </c>
      <c r="AA78" s="78" t="e">
        <f>Y78/'Alternative 3'!$M79</f>
        <v>#VALUE!</v>
      </c>
      <c r="AB78" s="78" t="e">
        <f t="shared" si="21"/>
        <v>#VALUE!</v>
      </c>
      <c r="AD78" s="78" t="e">
        <f>'Alternative 3'!$B$39*$B78*$C78*COS($K$23)-($N$22/3)*$E78*SIN($K$23)-($N$22/3)*$F78*SIN($K$23)-($N$22/3)*$G78*SIN($K$23)</f>
        <v>#VALUE!</v>
      </c>
      <c r="AE78" s="79" t="e">
        <f>IF(($A78&lt;'Alternative 3'!$B$27),(($H78*'Alternative 3'!$B$39)+(3*($N$22/3)*COS($K$23))),IF(($A78&lt;'Alternative 3'!$B$28),(($H78*'Alternative 3'!$B$39)+(2*(($N$22/3)*COS($K$23)))),IF(($A78&lt;'Alternative 3'!$B$29),(($H$3*'Alternative 3'!$B$39+(($N$22/3)*COS($K$23)))),($H78*'Alternative 3'!$B$39))))</f>
        <v>#VALUE!</v>
      </c>
      <c r="AF78" s="78" t="e">
        <f>AD78*'Alternative 3'!$K79/'Alternative 3'!$L79</f>
        <v>#VALUE!</v>
      </c>
      <c r="AG78" s="78" t="e">
        <f>AE78/'Alternative 3'!$M79</f>
        <v>#VALUE!</v>
      </c>
      <c r="AH78" s="78" t="e">
        <f t="shared" si="22"/>
        <v>#VALUE!</v>
      </c>
      <c r="AJ78" s="78" t="e">
        <f>'Alternative 3'!$B$39*$B78*$C78*COS($K$33)-($N$32/3)*$E78*SIN($K$33)-($N$32/3)*$F78*SIN($K$33)-($N$32/3)*$G78*SIN($K$33)</f>
        <v>#VALUE!</v>
      </c>
      <c r="AK78" s="79" t="e">
        <f>IF(($A78&lt;'Alternative 3'!$B$27),(($H78*'Alternative 3'!$B$39)+(3*($N$32/3)*COS($K$33))),IF(($A78&lt;'Alternative 3'!$B$28),(($H78*'Alternative 3'!$B$39)+(2*(($N$32/3)*COS($K$33)))),IF(($A78&lt;'Alternative 3'!$B$29),(($H$3*'Alternative 3'!$B$39+(($N$32/3)*COS($K$33)))),($H78*'Alternative 3'!$B$39))))</f>
        <v>#VALUE!</v>
      </c>
      <c r="AL78" s="78" t="e">
        <f>AJ78*'Alternative 3'!$K79/'Alternative 3'!$L79</f>
        <v>#VALUE!</v>
      </c>
      <c r="AM78" s="78" t="e">
        <f>AK78/'Alternative 3'!$M79</f>
        <v>#VALUE!</v>
      </c>
      <c r="AN78" s="78" t="e">
        <f t="shared" si="23"/>
        <v>#VALUE!</v>
      </c>
      <c r="AP78" s="78" t="e">
        <f>'Alternative 3'!$B$39*$B78*$C78*COS($K$43)-($N$42/3)*$E78*SIN($K$43)-($N$42/3)*$F78*SIN($K$43)-($N$42/3)*$G78*SIN($K$43)</f>
        <v>#VALUE!</v>
      </c>
      <c r="AQ78" s="79" t="e">
        <f>IF(($A78&lt;'Alternative 3'!$B$27),(($H78*'Alternative 3'!$B$39)+(3*($N$42/3)*COS($K$43))),IF(($A78&lt;'Alternative 3'!$B$28),(($H78*'Alternative 3'!$B$39)+(2*(($N$42/3)*COS($K$43)))),IF(($A78&lt;'Alternative 3'!$B$29),(($H$3*'Alternative 3'!$B$39+(($N$42/3)*COS($K$43)))),($H78*'Alternative 3'!$B$39))))</f>
        <v>#VALUE!</v>
      </c>
      <c r="AR78" s="78" t="e">
        <f>AP78*'Alternative 3'!$K79/'Alternative 3'!$L79</f>
        <v>#VALUE!</v>
      </c>
      <c r="AS78" s="78" t="e">
        <f>AQ78/'Alternative 3'!$M79</f>
        <v>#VALUE!</v>
      </c>
      <c r="AT78" s="78" t="e">
        <f t="shared" si="24"/>
        <v>#VALUE!</v>
      </c>
      <c r="AV78" s="78" t="e">
        <f>'Alternative 3'!$B$39*$B78*$C78*COS($K$53)-($N$52/3)*$E78*SIN($K$53)-($N$52/3)*$F78*SIN($K$53)-($N$52/3)*$G78*SIN($K$53)</f>
        <v>#VALUE!</v>
      </c>
      <c r="AW78" s="79" t="e">
        <f>IF(($A78&lt;'Alternative 3'!$B$27),(($H78*'Alternative 3'!$B$39)+(3*($N$52/3)*COS($K$53))),IF(($A78&lt;'Alternative 3'!$B$28),(($H78*'Alternative 3'!$B$39)+(2*(($N$52/3)*COS($K$53)))),IF(($A78&lt;'Alternative 3'!$B$29),(($H$3*'Alternative 3'!$B$39+(($N$52/3)*COS($K$53)))),($H78*'Alternative 3'!$B$39))))</f>
        <v>#VALUE!</v>
      </c>
      <c r="AX78" s="78" t="e">
        <f>AV78*'Alternative 3'!$K79/'Alternative 3'!$L79</f>
        <v>#VALUE!</v>
      </c>
      <c r="AY78" s="78" t="e">
        <f>AW78/'Alternative 3'!$M79</f>
        <v>#VALUE!</v>
      </c>
      <c r="AZ78" s="78" t="e">
        <f t="shared" si="25"/>
        <v>#VALUE!</v>
      </c>
      <c r="BB78" s="78" t="e">
        <f>'Alternative 3'!$B$39*$B78*$C78*COS($K$63)-($N$62/3)*$E78*SIN($K$63)-($N$62/3)*$F78*SIN($K$63)-($N$62/3)*$G78*SIN($K$63)</f>
        <v>#VALUE!</v>
      </c>
      <c r="BC78" s="79" t="e">
        <f>IF(($A78&lt;'Alternative 3'!$B$27),(($H78*'Alternative 3'!$B$39)+(3*($N$62/3)*COS($K$63))),IF(($A78&lt;'Alternative 3'!$B$28),(($H78*'Alternative 3'!$B$39)+(2*(($N$62/3)*COS($K$63)))),IF(($A78&lt;'Alternative 3'!$B$29),(($H$3*'Alternative 3'!$B$39+(($N$62/3)*COS($K$63)))),($H78*'Alternative 3'!$B$39))))</f>
        <v>#VALUE!</v>
      </c>
      <c r="BD78" s="78" t="e">
        <f>BB78*'Alternative 3'!$K79/'Alternative 3'!$L79</f>
        <v>#VALUE!</v>
      </c>
      <c r="BE78" s="78" t="e">
        <f>BC78/'Alternative 3'!$M79</f>
        <v>#VALUE!</v>
      </c>
      <c r="BF78" s="78" t="e">
        <f t="shared" si="26"/>
        <v>#VALUE!</v>
      </c>
      <c r="BH78" s="78" t="e">
        <f>'Alternative 3'!$B$39*$B78*$C78*COS($K$73)-($N$72/3)*$E78*SIN($K$73)-($N$72/3)*$F78*SIN($K$73)-($N$72/3)*$G78*SIN($K$73)</f>
        <v>#VALUE!</v>
      </c>
      <c r="BI78" s="79" t="e">
        <f>IF(($A78&lt;'Alternative 3'!$B$27),(($H78*'Alternative 3'!$B$39)+(3*($N$72/3)*COS($K$73))),IF(($A78&lt;'Alternative 3'!$B$28),(($H78*'Alternative 3'!$B$39)+(2*(($N$72/3)*COS($K$73)))),IF(($A78&lt;'Alternative 3'!$B$29),(($H$3*'Alternative 3'!$B$39+(($N$72/3)*COS($K$73)))),($H78*'Alternative 3'!$B$39))))</f>
        <v>#VALUE!</v>
      </c>
      <c r="BJ78" s="78" t="e">
        <f>BH78*'Alternative 3'!$K79/'Alternative 3'!$L79</f>
        <v>#VALUE!</v>
      </c>
      <c r="BK78" s="78" t="e">
        <f>BI78/'Alternative 3'!$M79</f>
        <v>#VALUE!</v>
      </c>
      <c r="BL78" s="78" t="e">
        <f t="shared" si="27"/>
        <v>#VALUE!</v>
      </c>
      <c r="BN78" s="78" t="e">
        <f>'Alternative 3'!$B$39*$B78*$C78*COS($K$83)-($N$82/3)*$E78*SIN($K$83)-($N$82/3)*$F78*SIN($K$83)-($N$82/3)*$G78*SIN($K$83)</f>
        <v>#VALUE!</v>
      </c>
      <c r="BO78" s="79" t="e">
        <f>IF(($A78&lt;'Alternative 3'!$B$27),(($H78*'Alternative 3'!$B$39)+(3*($N$82/3)*COS($K$83))),IF(($A78&lt;'Alternative 3'!$B$28),(($H78*'Alternative 3'!$B$39)+(2*(($N$82/3)*COS($K$83)))),IF(($A78&lt;'Alternative 3'!$B$29),(($H$3*'Alternative 3'!$B$39+(($N$82/3)*COS($K$83)))),($H78*'Alternative 3'!$B$39))))</f>
        <v>#VALUE!</v>
      </c>
      <c r="BP78" s="78" t="e">
        <f>BN78*'Alternative 3'!$K79/'Alternative 3'!$L79</f>
        <v>#VALUE!</v>
      </c>
      <c r="BQ78" s="78" t="e">
        <f>BO78/'Alternative 3'!$M79</f>
        <v>#VALUE!</v>
      </c>
      <c r="BR78" s="78" t="e">
        <f t="shared" si="28"/>
        <v>#VALUE!</v>
      </c>
      <c r="BT78" s="78" t="e">
        <f>'Alternative 3'!$B$39*$B78*$C78*COS($K$93)-($K$92/3)*$E78*SIN($K$93)-($K$92/3)*$F78*SIN($K$93)-($K$92/3)*$G78*SIN($K$93)</f>
        <v>#VALUE!</v>
      </c>
      <c r="BU78" s="79" t="e">
        <f>IF(($A78&lt;'Alternative 3'!$B$27),(($H78*'Alternative 3'!$B$39)+(3*($N$92/3)*COS($K$93))),IF(($A78&lt;'Alternative 3'!$B$28),(($H78*'Alternative 3'!$B$39)+(2*(($N$92/3)*COS($K$93)))),IF(($A78&lt;'Alternative 3'!$B$29),(($H$3*'Alternative 3'!$B$39+(($N$92/3)*COS($K$93)))),($H78*'Alternative 3'!$B$39))))</f>
        <v>#VALUE!</v>
      </c>
      <c r="BV78" s="78" t="e">
        <f>BT78*'Alternative 3'!$K79/'Alternative 3'!$L79</f>
        <v>#VALUE!</v>
      </c>
      <c r="BW78" s="78" t="e">
        <f>BU78/'Alternative 3'!$M79</f>
        <v>#VALUE!</v>
      </c>
      <c r="BX78" s="78" t="e">
        <f t="shared" si="29"/>
        <v>#VALUE!</v>
      </c>
    </row>
    <row r="79" spans="1:79" ht="15" customHeight="1" x14ac:dyDescent="0.25">
      <c r="A79" s="13" t="str">
        <f>IF('Alternative 3'!F80&gt;0,'Alternative 3'!F80,"x")</f>
        <v>x</v>
      </c>
      <c r="B79" s="13" t="e">
        <f t="shared" si="35"/>
        <v>#VALUE!</v>
      </c>
      <c r="C79" s="13">
        <f t="shared" si="30"/>
        <v>0</v>
      </c>
      <c r="D79" s="13" t="str">
        <f t="shared" si="31"/>
        <v>x</v>
      </c>
      <c r="E79" s="74">
        <f>IF($A79&lt;='Alternative 3'!$B$27, IF($A79='Alternative 3'!$B$27,0,E80+1),0)</f>
        <v>0</v>
      </c>
      <c r="F79" s="74">
        <f>IF($A79&lt;=('Alternative 3'!$B$28), IF($A79=ROUNDDOWN('Alternative 3'!$B$28,0),0,F80+1),0)</f>
        <v>0</v>
      </c>
      <c r="G79" s="74">
        <f>IF($A79&lt;=('Alternative 3'!$B$29), IF($A79=ROUNDDOWN('Alternative 3'!$B$29,0),0,G80+1),0)</f>
        <v>0</v>
      </c>
      <c r="H79" s="13" t="e">
        <f t="shared" si="32"/>
        <v>#VALUE!</v>
      </c>
      <c r="J79" s="77">
        <f t="shared" si="33"/>
        <v>76</v>
      </c>
      <c r="K79" s="77">
        <f t="shared" si="34"/>
        <v>1.3264502315156903</v>
      </c>
      <c r="L79" s="78">
        <f>'Alternative 3'!$B$27*SIN(K79)+'Alternative 3'!$B$28*SIN(K79)+'Alternative 3'!$B$29*SIN(K79)</f>
        <v>65.980109386767765</v>
      </c>
      <c r="M79" s="77">
        <f>(('Alternative 3'!$B$27)*(((('Alternative 3'!$B$28-'Alternative 3'!$B$27)/2)+'Alternative 3'!$B$27)*'Alternative 3'!$B$39)*COS('Alternative 3-Tilt Up'!K79))+(('Alternative 3'!$B$28)*((('Alternative 3'!$B$28-'Alternative 3'!$B$27)/2)+(('Alternative 3'!$B$29-'Alternative 3'!$B$28)/2))*('Alternative 3'!$B$39)*COS('Alternative 3-Tilt Up'!K79))+(('Alternative 3'!$B$29)*((('Alternative 3'!$B$12-'Alternative 3'!$B$29+(('Alternative 3'!$B$29-'Alternative 3'!$B$28)/2)*('Alternative 3'!$B$39)*COS('Alternative 3-Tilt Up'!K79)))))</f>
        <v>1148336.8178268885</v>
      </c>
      <c r="N79" s="77">
        <f t="shared" si="18"/>
        <v>52212.863626618331</v>
      </c>
      <c r="O79" s="77">
        <f>(((('Alternative 3'!$B$28-'Alternative 3'!$B$27)/2)+'Alternative 3'!$B$27)*('Alternative 3'!$B$39)*COS('Alternative 3-Tilt Up'!K79))+(((('Alternative 3'!$B$28-'Alternative 3'!$B$27)/2)+(('Alternative 3'!$B$29-'Alternative 3'!$B$28)/2))*('Alternative 3'!$B$39)*COS('Alternative 3-Tilt Up'!K79))+(((('Alternative 3'!$B$12-'Alternative 3'!$B$29)+(('Alternative 3'!$B$29-'Alternative 3'!$B$28)/2))*('Alternative 3'!$B$39)*COS('Alternative 3-Tilt Up'!K79)))</f>
        <v>74057.108091516129</v>
      </c>
      <c r="P79" s="77">
        <f t="shared" si="19"/>
        <v>12631.434943238457</v>
      </c>
      <c r="R79" s="78" t="e">
        <f>'Alternative 3'!$B$39*$B79*$C79*COS($K$5)-($N$5/3)*$E79*SIN($K$5)-($N$5/3)*$F79*SIN($K$5)-($N$5/3)*$G79*SIN($K$5)</f>
        <v>#VALUE!</v>
      </c>
      <c r="S79" s="79" t="e">
        <f>IF(($A79&lt;'Alternative 3'!$B$27),(($H79*'Alternative 3'!$B$39)+(3*($N$5/3)*COS($K$5))),IF(($A79&lt;'Alternative 3'!$B$28),(($H79*'Alternative 3'!$B$39)+(2*(($N$5/3)*COS($K$5)))),IF(($A79&lt;'Alternative 3'!$B$29),(($H$3*'Alternative 3'!$B$39+(($N$5/3)*COS($K$5)))),($H79*'Alternative 3'!$B$39))))</f>
        <v>#VALUE!</v>
      </c>
      <c r="T79" s="78" t="e">
        <f>R79*'Alternative 3'!$K80/'Alternative 3'!$L80</f>
        <v>#VALUE!</v>
      </c>
      <c r="U79" s="78" t="e">
        <f>S79/'Alternative 3'!$M80</f>
        <v>#VALUE!</v>
      </c>
      <c r="V79" s="78" t="e">
        <f t="shared" si="20"/>
        <v>#VALUE!</v>
      </c>
      <c r="X79" s="78" t="e">
        <f>'Alternative 3'!$B$39*$B79*$C79*COS($K$13)-($N$12/3)*$E79*SIN($K$13)-($N$12/3)*$F79*SIN($K$13)-($N$12/3)*$G79*SIN($K$13)</f>
        <v>#VALUE!</v>
      </c>
      <c r="Y79" s="79" t="e">
        <f>IF(($A79&lt;'Alternative 3'!$B$27),(($H79*'Alternative 3'!$B$39)+(3*($N$12/3)*COS($K$13))),IF(($A79&lt;'Alternative 3'!$B$28),(($H79*'Alternative 3'!$B$39)+(2*(($N$12/3)*COS($K$13)))),IF(($A79&lt;'Alternative 3'!$B$29),(($H$3*'Alternative 3'!$B$39+(($N$12/3)*COS($K$13)))),($H79*'Alternative 3'!$B$39))))</f>
        <v>#VALUE!</v>
      </c>
      <c r="Z79" s="78" t="e">
        <f>X79*'Alternative 3'!$K80/'Alternative 3'!$L80</f>
        <v>#VALUE!</v>
      </c>
      <c r="AA79" s="78" t="e">
        <f>Y79/'Alternative 3'!$M80</f>
        <v>#VALUE!</v>
      </c>
      <c r="AB79" s="78" t="e">
        <f t="shared" si="21"/>
        <v>#VALUE!</v>
      </c>
      <c r="AD79" s="78" t="e">
        <f>'Alternative 3'!$B$39*$B79*$C79*COS($K$23)-($N$22/3)*$E79*SIN($K$23)-($N$22/3)*$F79*SIN($K$23)-($N$22/3)*$G79*SIN($K$23)</f>
        <v>#VALUE!</v>
      </c>
      <c r="AE79" s="79" t="e">
        <f>IF(($A79&lt;'Alternative 3'!$B$27),(($H79*'Alternative 3'!$B$39)+(3*($N$22/3)*COS($K$23))),IF(($A79&lt;'Alternative 3'!$B$28),(($H79*'Alternative 3'!$B$39)+(2*(($N$22/3)*COS($K$23)))),IF(($A79&lt;'Alternative 3'!$B$29),(($H$3*'Alternative 3'!$B$39+(($N$22/3)*COS($K$23)))),($H79*'Alternative 3'!$B$39))))</f>
        <v>#VALUE!</v>
      </c>
      <c r="AF79" s="78" t="e">
        <f>AD79*'Alternative 3'!$K80/'Alternative 3'!$L80</f>
        <v>#VALUE!</v>
      </c>
      <c r="AG79" s="78" t="e">
        <f>AE79/'Alternative 3'!$M80</f>
        <v>#VALUE!</v>
      </c>
      <c r="AH79" s="78" t="e">
        <f t="shared" si="22"/>
        <v>#VALUE!</v>
      </c>
      <c r="AJ79" s="78" t="e">
        <f>'Alternative 3'!$B$39*$B79*$C79*COS($K$33)-($N$32/3)*$E79*SIN($K$33)-($N$32/3)*$F79*SIN($K$33)-($N$32/3)*$G79*SIN($K$33)</f>
        <v>#VALUE!</v>
      </c>
      <c r="AK79" s="79" t="e">
        <f>IF(($A79&lt;'Alternative 3'!$B$27),(($H79*'Alternative 3'!$B$39)+(3*($N$32/3)*COS($K$33))),IF(($A79&lt;'Alternative 3'!$B$28),(($H79*'Alternative 3'!$B$39)+(2*(($N$32/3)*COS($K$33)))),IF(($A79&lt;'Alternative 3'!$B$29),(($H$3*'Alternative 3'!$B$39+(($N$32/3)*COS($K$33)))),($H79*'Alternative 3'!$B$39))))</f>
        <v>#VALUE!</v>
      </c>
      <c r="AL79" s="78" t="e">
        <f>AJ79*'Alternative 3'!$K80/'Alternative 3'!$L80</f>
        <v>#VALUE!</v>
      </c>
      <c r="AM79" s="78" t="e">
        <f>AK79/'Alternative 3'!$M80</f>
        <v>#VALUE!</v>
      </c>
      <c r="AN79" s="78" t="e">
        <f t="shared" si="23"/>
        <v>#VALUE!</v>
      </c>
      <c r="AP79" s="78" t="e">
        <f>'Alternative 3'!$B$39*$B79*$C79*COS($K$43)-($N$42/3)*$E79*SIN($K$43)-($N$42/3)*$F79*SIN($K$43)-($N$42/3)*$G79*SIN($K$43)</f>
        <v>#VALUE!</v>
      </c>
      <c r="AQ79" s="79" t="e">
        <f>IF(($A79&lt;'Alternative 3'!$B$27),(($H79*'Alternative 3'!$B$39)+(3*($N$42/3)*COS($K$43))),IF(($A79&lt;'Alternative 3'!$B$28),(($H79*'Alternative 3'!$B$39)+(2*(($N$42/3)*COS($K$43)))),IF(($A79&lt;'Alternative 3'!$B$29),(($H$3*'Alternative 3'!$B$39+(($N$42/3)*COS($K$43)))),($H79*'Alternative 3'!$B$39))))</f>
        <v>#VALUE!</v>
      </c>
      <c r="AR79" s="78" t="e">
        <f>AP79*'Alternative 3'!$K80/'Alternative 3'!$L80</f>
        <v>#VALUE!</v>
      </c>
      <c r="AS79" s="78" t="e">
        <f>AQ79/'Alternative 3'!$M80</f>
        <v>#VALUE!</v>
      </c>
      <c r="AT79" s="78" t="e">
        <f t="shared" si="24"/>
        <v>#VALUE!</v>
      </c>
      <c r="AV79" s="78" t="e">
        <f>'Alternative 3'!$B$39*$B79*$C79*COS($K$53)-($N$52/3)*$E79*SIN($K$53)-($N$52/3)*$F79*SIN($K$53)-($N$52/3)*$G79*SIN($K$53)</f>
        <v>#VALUE!</v>
      </c>
      <c r="AW79" s="79" t="e">
        <f>IF(($A79&lt;'Alternative 3'!$B$27),(($H79*'Alternative 3'!$B$39)+(3*($N$52/3)*COS($K$53))),IF(($A79&lt;'Alternative 3'!$B$28),(($H79*'Alternative 3'!$B$39)+(2*(($N$52/3)*COS($K$53)))),IF(($A79&lt;'Alternative 3'!$B$29),(($H$3*'Alternative 3'!$B$39+(($N$52/3)*COS($K$53)))),($H79*'Alternative 3'!$B$39))))</f>
        <v>#VALUE!</v>
      </c>
      <c r="AX79" s="78" t="e">
        <f>AV79*'Alternative 3'!$K80/'Alternative 3'!$L80</f>
        <v>#VALUE!</v>
      </c>
      <c r="AY79" s="78" t="e">
        <f>AW79/'Alternative 3'!$M80</f>
        <v>#VALUE!</v>
      </c>
      <c r="AZ79" s="78" t="e">
        <f t="shared" si="25"/>
        <v>#VALUE!</v>
      </c>
      <c r="BB79" s="78" t="e">
        <f>'Alternative 3'!$B$39*$B79*$C79*COS($K$63)-($N$62/3)*$E79*SIN($K$63)-($N$62/3)*$F79*SIN($K$63)-($N$62/3)*$G79*SIN($K$63)</f>
        <v>#VALUE!</v>
      </c>
      <c r="BC79" s="79" t="e">
        <f>IF(($A79&lt;'Alternative 3'!$B$27),(($H79*'Alternative 3'!$B$39)+(3*($N$62/3)*COS($K$63))),IF(($A79&lt;'Alternative 3'!$B$28),(($H79*'Alternative 3'!$B$39)+(2*(($N$62/3)*COS($K$63)))),IF(($A79&lt;'Alternative 3'!$B$29),(($H$3*'Alternative 3'!$B$39+(($N$62/3)*COS($K$63)))),($H79*'Alternative 3'!$B$39))))</f>
        <v>#VALUE!</v>
      </c>
      <c r="BD79" s="78" t="e">
        <f>BB79*'Alternative 3'!$K80/'Alternative 3'!$L80</f>
        <v>#VALUE!</v>
      </c>
      <c r="BE79" s="78" t="e">
        <f>BC79/'Alternative 3'!$M80</f>
        <v>#VALUE!</v>
      </c>
      <c r="BF79" s="78" t="e">
        <f t="shared" si="26"/>
        <v>#VALUE!</v>
      </c>
      <c r="BH79" s="78" t="e">
        <f>'Alternative 3'!$B$39*$B79*$C79*COS($K$73)-($N$72/3)*$E79*SIN($K$73)-($N$72/3)*$F79*SIN($K$73)-($N$72/3)*$G79*SIN($K$73)</f>
        <v>#VALUE!</v>
      </c>
      <c r="BI79" s="79" t="e">
        <f>IF(($A79&lt;'Alternative 3'!$B$27),(($H79*'Alternative 3'!$B$39)+(3*($N$72/3)*COS($K$73))),IF(($A79&lt;'Alternative 3'!$B$28),(($H79*'Alternative 3'!$B$39)+(2*(($N$72/3)*COS($K$73)))),IF(($A79&lt;'Alternative 3'!$B$29),(($H$3*'Alternative 3'!$B$39+(($N$72/3)*COS($K$73)))),($H79*'Alternative 3'!$B$39))))</f>
        <v>#VALUE!</v>
      </c>
      <c r="BJ79" s="78" t="e">
        <f>BH79*'Alternative 3'!$K80/'Alternative 3'!$L80</f>
        <v>#VALUE!</v>
      </c>
      <c r="BK79" s="78" t="e">
        <f>BI79/'Alternative 3'!$M80</f>
        <v>#VALUE!</v>
      </c>
      <c r="BL79" s="78" t="e">
        <f t="shared" si="27"/>
        <v>#VALUE!</v>
      </c>
      <c r="BN79" s="78" t="e">
        <f>'Alternative 3'!$B$39*$B79*$C79*COS($K$83)-($N$82/3)*$E79*SIN($K$83)-($N$82/3)*$F79*SIN($K$83)-($N$82/3)*$G79*SIN($K$83)</f>
        <v>#VALUE!</v>
      </c>
      <c r="BO79" s="79" t="e">
        <f>IF(($A79&lt;'Alternative 3'!$B$27),(($H79*'Alternative 3'!$B$39)+(3*($N$82/3)*COS($K$83))),IF(($A79&lt;'Alternative 3'!$B$28),(($H79*'Alternative 3'!$B$39)+(2*(($N$82/3)*COS($K$83)))),IF(($A79&lt;'Alternative 3'!$B$29),(($H$3*'Alternative 3'!$B$39+(($N$82/3)*COS($K$83)))),($H79*'Alternative 3'!$B$39))))</f>
        <v>#VALUE!</v>
      </c>
      <c r="BP79" s="78" t="e">
        <f>BN79*'Alternative 3'!$K80/'Alternative 3'!$L80</f>
        <v>#VALUE!</v>
      </c>
      <c r="BQ79" s="78" t="e">
        <f>BO79/'Alternative 3'!$M80</f>
        <v>#VALUE!</v>
      </c>
      <c r="BR79" s="78" t="e">
        <f t="shared" si="28"/>
        <v>#VALUE!</v>
      </c>
      <c r="BT79" s="78" t="e">
        <f>'Alternative 3'!$B$39*$B79*$C79*COS($K$93)-($K$92/3)*$E79*SIN($K$93)-($K$92/3)*$F79*SIN($K$93)-($K$92/3)*$G79*SIN($K$93)</f>
        <v>#VALUE!</v>
      </c>
      <c r="BU79" s="79" t="e">
        <f>IF(($A79&lt;'Alternative 3'!$B$27),(($H79*'Alternative 3'!$B$39)+(3*($N$92/3)*COS($K$93))),IF(($A79&lt;'Alternative 3'!$B$28),(($H79*'Alternative 3'!$B$39)+(2*(($N$92/3)*COS($K$93)))),IF(($A79&lt;'Alternative 3'!$B$29),(($H$3*'Alternative 3'!$B$39+(($N$92/3)*COS($K$93)))),($H79*'Alternative 3'!$B$39))))</f>
        <v>#VALUE!</v>
      </c>
      <c r="BV79" s="78" t="e">
        <f>BT79*'Alternative 3'!$K80/'Alternative 3'!$L80</f>
        <v>#VALUE!</v>
      </c>
      <c r="BW79" s="78" t="e">
        <f>BU79/'Alternative 3'!$M80</f>
        <v>#VALUE!</v>
      </c>
      <c r="BX79" s="78" t="e">
        <f t="shared" si="29"/>
        <v>#VALUE!</v>
      </c>
    </row>
    <row r="80" spans="1:79" ht="15" customHeight="1" x14ac:dyDescent="0.25">
      <c r="A80" s="13" t="str">
        <f>IF('Alternative 3'!F81&gt;0,'Alternative 3'!F81,"x")</f>
        <v>x</v>
      </c>
      <c r="B80" s="13" t="e">
        <f t="shared" si="35"/>
        <v>#VALUE!</v>
      </c>
      <c r="C80" s="13">
        <f t="shared" si="30"/>
        <v>0</v>
      </c>
      <c r="D80" s="13" t="str">
        <f t="shared" si="31"/>
        <v>x</v>
      </c>
      <c r="E80" s="74">
        <f>IF($A80&lt;='Alternative 3'!$B$27, IF($A80='Alternative 3'!$B$27,0,E81+1),0)</f>
        <v>0</v>
      </c>
      <c r="F80" s="74">
        <f>IF($A80&lt;=('Alternative 3'!$B$28), IF($A80=ROUNDDOWN('Alternative 3'!$B$28,0),0,F81+1),0)</f>
        <v>0</v>
      </c>
      <c r="G80" s="74">
        <f>IF($A80&lt;=('Alternative 3'!$B$29), IF($A80=ROUNDDOWN('Alternative 3'!$B$29,0),0,G81+1),0)</f>
        <v>0</v>
      </c>
      <c r="H80" s="13" t="e">
        <f t="shared" si="32"/>
        <v>#VALUE!</v>
      </c>
      <c r="J80" s="77">
        <f t="shared" si="33"/>
        <v>77</v>
      </c>
      <c r="K80" s="77">
        <f t="shared" si="34"/>
        <v>1.3439035240356338</v>
      </c>
      <c r="L80" s="78">
        <f>'Alternative 3'!$B$27*SIN(K80)+'Alternative 3'!$B$28*SIN(K80)+'Alternative 3'!$B$29*SIN(K80)</f>
        <v>66.257164405395997</v>
      </c>
      <c r="M80" s="77">
        <f>(('Alternative 3'!$B$27)*(((('Alternative 3'!$B$28-'Alternative 3'!$B$27)/2)+'Alternative 3'!$B$27)*'Alternative 3'!$B$39)*COS('Alternative 3-Tilt Up'!K80))+(('Alternative 3'!$B$28)*((('Alternative 3'!$B$28-'Alternative 3'!$B$27)/2)+(('Alternative 3'!$B$29-'Alternative 3'!$B$28)/2))*('Alternative 3'!$B$39)*COS('Alternative 3-Tilt Up'!K80))+(('Alternative 3'!$B$29)*((('Alternative 3'!$B$12-'Alternative 3'!$B$29+(('Alternative 3'!$B$29-'Alternative 3'!$B$28)/2)*('Alternative 3'!$B$39)*COS('Alternative 3-Tilt Up'!K80)))))</f>
        <v>1067794.6173332427</v>
      </c>
      <c r="N80" s="77">
        <f t="shared" si="18"/>
        <v>48347.73538450498</v>
      </c>
      <c r="O80" s="77">
        <f>(((('Alternative 3'!$B$28-'Alternative 3'!$B$27)/2)+'Alternative 3'!$B$27)*('Alternative 3'!$B$39)*COS('Alternative 3-Tilt Up'!K80))+(((('Alternative 3'!$B$28-'Alternative 3'!$B$27)/2)+(('Alternative 3'!$B$29-'Alternative 3'!$B$28)/2))*('Alternative 3'!$B$39)*COS('Alternative 3-Tilt Up'!K80))+(((('Alternative 3'!$B$12-'Alternative 3'!$B$29)+(('Alternative 3'!$B$29-'Alternative 3'!$B$28)/2))*('Alternative 3'!$B$39)*COS('Alternative 3-Tilt Up'!K80)))</f>
        <v>68861.995750941831</v>
      </c>
      <c r="P80" s="77">
        <f t="shared" si="19"/>
        <v>10875.874049882581</v>
      </c>
      <c r="R80" s="78" t="e">
        <f>'Alternative 3'!$B$39*$B80*$C80*COS($K$5)-($N$5/3)*$E80*SIN($K$5)-($N$5/3)*$F80*SIN($K$5)-($N$5/3)*$G80*SIN($K$5)</f>
        <v>#VALUE!</v>
      </c>
      <c r="S80" s="79" t="e">
        <f>IF(($A80&lt;'Alternative 3'!$B$27),(($H80*'Alternative 3'!$B$39)+(3*($N$5/3)*COS($K$5))),IF(($A80&lt;'Alternative 3'!$B$28),(($H80*'Alternative 3'!$B$39)+(2*(($N$5/3)*COS($K$5)))),IF(($A80&lt;'Alternative 3'!$B$29),(($H$3*'Alternative 3'!$B$39+(($N$5/3)*COS($K$5)))),($H80*'Alternative 3'!$B$39))))</f>
        <v>#VALUE!</v>
      </c>
      <c r="T80" s="78" t="e">
        <f>R80*'Alternative 3'!$K81/'Alternative 3'!$L81</f>
        <v>#VALUE!</v>
      </c>
      <c r="U80" s="78" t="e">
        <f>S80/'Alternative 3'!$M81</f>
        <v>#VALUE!</v>
      </c>
      <c r="V80" s="78" t="e">
        <f t="shared" si="20"/>
        <v>#VALUE!</v>
      </c>
      <c r="X80" s="78" t="e">
        <f>'Alternative 3'!$B$39*$B80*$C80*COS($K$13)-($N$12/3)*$E80*SIN($K$13)-($N$12/3)*$F80*SIN($K$13)-($N$12/3)*$G80*SIN($K$13)</f>
        <v>#VALUE!</v>
      </c>
      <c r="Y80" s="79" t="e">
        <f>IF(($A80&lt;'Alternative 3'!$B$27),(($H80*'Alternative 3'!$B$39)+(3*($N$12/3)*COS($K$13))),IF(($A80&lt;'Alternative 3'!$B$28),(($H80*'Alternative 3'!$B$39)+(2*(($N$12/3)*COS($K$13)))),IF(($A80&lt;'Alternative 3'!$B$29),(($H$3*'Alternative 3'!$B$39+(($N$12/3)*COS($K$13)))),($H80*'Alternative 3'!$B$39))))</f>
        <v>#VALUE!</v>
      </c>
      <c r="Z80" s="78" t="e">
        <f>X80*'Alternative 3'!$K81/'Alternative 3'!$L81</f>
        <v>#VALUE!</v>
      </c>
      <c r="AA80" s="78" t="e">
        <f>Y80/'Alternative 3'!$M81</f>
        <v>#VALUE!</v>
      </c>
      <c r="AB80" s="78" t="e">
        <f t="shared" si="21"/>
        <v>#VALUE!</v>
      </c>
      <c r="AD80" s="78" t="e">
        <f>'Alternative 3'!$B$39*$B80*$C80*COS($K$23)-($N$22/3)*$E80*SIN($K$23)-($N$22/3)*$F80*SIN($K$23)-($N$22/3)*$G80*SIN($K$23)</f>
        <v>#VALUE!</v>
      </c>
      <c r="AE80" s="79" t="e">
        <f>IF(($A80&lt;'Alternative 3'!$B$27),(($H80*'Alternative 3'!$B$39)+(3*($N$22/3)*COS($K$23))),IF(($A80&lt;'Alternative 3'!$B$28),(($H80*'Alternative 3'!$B$39)+(2*(($N$22/3)*COS($K$23)))),IF(($A80&lt;'Alternative 3'!$B$29),(($H$3*'Alternative 3'!$B$39+(($N$22/3)*COS($K$23)))),($H80*'Alternative 3'!$B$39))))</f>
        <v>#VALUE!</v>
      </c>
      <c r="AF80" s="78" t="e">
        <f>AD80*'Alternative 3'!$K81/'Alternative 3'!$L81</f>
        <v>#VALUE!</v>
      </c>
      <c r="AG80" s="78" t="e">
        <f>AE80/'Alternative 3'!$M81</f>
        <v>#VALUE!</v>
      </c>
      <c r="AH80" s="78" t="e">
        <f t="shared" si="22"/>
        <v>#VALUE!</v>
      </c>
      <c r="AJ80" s="78" t="e">
        <f>'Alternative 3'!$B$39*$B80*$C80*COS($K$33)-($N$32/3)*$E80*SIN($K$33)-($N$32/3)*$F80*SIN($K$33)-($N$32/3)*$G80*SIN($K$33)</f>
        <v>#VALUE!</v>
      </c>
      <c r="AK80" s="79" t="e">
        <f>IF(($A80&lt;'Alternative 3'!$B$27),(($H80*'Alternative 3'!$B$39)+(3*($N$32/3)*COS($K$33))),IF(($A80&lt;'Alternative 3'!$B$28),(($H80*'Alternative 3'!$B$39)+(2*(($N$32/3)*COS($K$33)))),IF(($A80&lt;'Alternative 3'!$B$29),(($H$3*'Alternative 3'!$B$39+(($N$32/3)*COS($K$33)))),($H80*'Alternative 3'!$B$39))))</f>
        <v>#VALUE!</v>
      </c>
      <c r="AL80" s="78" t="e">
        <f>AJ80*'Alternative 3'!$K81/'Alternative 3'!$L81</f>
        <v>#VALUE!</v>
      </c>
      <c r="AM80" s="78" t="e">
        <f>AK80/'Alternative 3'!$M81</f>
        <v>#VALUE!</v>
      </c>
      <c r="AN80" s="78" t="e">
        <f t="shared" si="23"/>
        <v>#VALUE!</v>
      </c>
      <c r="AP80" s="78" t="e">
        <f>'Alternative 3'!$B$39*$B80*$C80*COS($K$43)-($N$42/3)*$E80*SIN($K$43)-($N$42/3)*$F80*SIN($K$43)-($N$42/3)*$G80*SIN($K$43)</f>
        <v>#VALUE!</v>
      </c>
      <c r="AQ80" s="79" t="e">
        <f>IF(($A80&lt;'Alternative 3'!$B$27),(($H80*'Alternative 3'!$B$39)+(3*($N$42/3)*COS($K$43))),IF(($A80&lt;'Alternative 3'!$B$28),(($H80*'Alternative 3'!$B$39)+(2*(($N$42/3)*COS($K$43)))),IF(($A80&lt;'Alternative 3'!$B$29),(($H$3*'Alternative 3'!$B$39+(($N$42/3)*COS($K$43)))),($H80*'Alternative 3'!$B$39))))</f>
        <v>#VALUE!</v>
      </c>
      <c r="AR80" s="78" t="e">
        <f>AP80*'Alternative 3'!$K81/'Alternative 3'!$L81</f>
        <v>#VALUE!</v>
      </c>
      <c r="AS80" s="78" t="e">
        <f>AQ80/'Alternative 3'!$M81</f>
        <v>#VALUE!</v>
      </c>
      <c r="AT80" s="78" t="e">
        <f t="shared" si="24"/>
        <v>#VALUE!</v>
      </c>
      <c r="AV80" s="78" t="e">
        <f>'Alternative 3'!$B$39*$B80*$C80*COS($K$53)-($N$52/3)*$E80*SIN($K$53)-($N$52/3)*$F80*SIN($K$53)-($N$52/3)*$G80*SIN($K$53)</f>
        <v>#VALUE!</v>
      </c>
      <c r="AW80" s="79" t="e">
        <f>IF(($A80&lt;'Alternative 3'!$B$27),(($H80*'Alternative 3'!$B$39)+(3*($N$52/3)*COS($K$53))),IF(($A80&lt;'Alternative 3'!$B$28),(($H80*'Alternative 3'!$B$39)+(2*(($N$52/3)*COS($K$53)))),IF(($A80&lt;'Alternative 3'!$B$29),(($H$3*'Alternative 3'!$B$39+(($N$52/3)*COS($K$53)))),($H80*'Alternative 3'!$B$39))))</f>
        <v>#VALUE!</v>
      </c>
      <c r="AX80" s="78" t="e">
        <f>AV80*'Alternative 3'!$K81/'Alternative 3'!$L81</f>
        <v>#VALUE!</v>
      </c>
      <c r="AY80" s="78" t="e">
        <f>AW80/'Alternative 3'!$M81</f>
        <v>#VALUE!</v>
      </c>
      <c r="AZ80" s="78" t="e">
        <f t="shared" si="25"/>
        <v>#VALUE!</v>
      </c>
      <c r="BB80" s="78" t="e">
        <f>'Alternative 3'!$B$39*$B80*$C80*COS($K$63)-($N$62/3)*$E80*SIN($K$63)-($N$62/3)*$F80*SIN($K$63)-($N$62/3)*$G80*SIN($K$63)</f>
        <v>#VALUE!</v>
      </c>
      <c r="BC80" s="79" t="e">
        <f>IF(($A80&lt;'Alternative 3'!$B$27),(($H80*'Alternative 3'!$B$39)+(3*($N$62/3)*COS($K$63))),IF(($A80&lt;'Alternative 3'!$B$28),(($H80*'Alternative 3'!$B$39)+(2*(($N$62/3)*COS($K$63)))),IF(($A80&lt;'Alternative 3'!$B$29),(($H$3*'Alternative 3'!$B$39+(($N$62/3)*COS($K$63)))),($H80*'Alternative 3'!$B$39))))</f>
        <v>#VALUE!</v>
      </c>
      <c r="BD80" s="78" t="e">
        <f>BB80*'Alternative 3'!$K81/'Alternative 3'!$L81</f>
        <v>#VALUE!</v>
      </c>
      <c r="BE80" s="78" t="e">
        <f>BC80/'Alternative 3'!$M81</f>
        <v>#VALUE!</v>
      </c>
      <c r="BF80" s="78" t="e">
        <f t="shared" si="26"/>
        <v>#VALUE!</v>
      </c>
      <c r="BH80" s="78" t="e">
        <f>'Alternative 3'!$B$39*$B80*$C80*COS($K$73)-($N$72/3)*$E80*SIN($K$73)-($N$72/3)*$F80*SIN($K$73)-($N$72/3)*$G80*SIN($K$73)</f>
        <v>#VALUE!</v>
      </c>
      <c r="BI80" s="79" t="e">
        <f>IF(($A80&lt;'Alternative 3'!$B$27),(($H80*'Alternative 3'!$B$39)+(3*($N$72/3)*COS($K$73))),IF(($A80&lt;'Alternative 3'!$B$28),(($H80*'Alternative 3'!$B$39)+(2*(($N$72/3)*COS($K$73)))),IF(($A80&lt;'Alternative 3'!$B$29),(($H$3*'Alternative 3'!$B$39+(($N$72/3)*COS($K$73)))),($H80*'Alternative 3'!$B$39))))</f>
        <v>#VALUE!</v>
      </c>
      <c r="BJ80" s="78" t="e">
        <f>BH80*'Alternative 3'!$K81/'Alternative 3'!$L81</f>
        <v>#VALUE!</v>
      </c>
      <c r="BK80" s="78" t="e">
        <f>BI80/'Alternative 3'!$M81</f>
        <v>#VALUE!</v>
      </c>
      <c r="BL80" s="78" t="e">
        <f t="shared" si="27"/>
        <v>#VALUE!</v>
      </c>
      <c r="BN80" s="78" t="e">
        <f>'Alternative 3'!$B$39*$B80*$C80*COS($K$83)-($N$82/3)*$E80*SIN($K$83)-($N$82/3)*$F80*SIN($K$83)-($N$82/3)*$G80*SIN($K$83)</f>
        <v>#VALUE!</v>
      </c>
      <c r="BO80" s="79" t="e">
        <f>IF(($A80&lt;'Alternative 3'!$B$27),(($H80*'Alternative 3'!$B$39)+(3*($N$82/3)*COS($K$83))),IF(($A80&lt;'Alternative 3'!$B$28),(($H80*'Alternative 3'!$B$39)+(2*(($N$82/3)*COS($K$83)))),IF(($A80&lt;'Alternative 3'!$B$29),(($H$3*'Alternative 3'!$B$39+(($N$82/3)*COS($K$83)))),($H80*'Alternative 3'!$B$39))))</f>
        <v>#VALUE!</v>
      </c>
      <c r="BP80" s="78" t="e">
        <f>BN80*'Alternative 3'!$K81/'Alternative 3'!$L81</f>
        <v>#VALUE!</v>
      </c>
      <c r="BQ80" s="78" t="e">
        <f>BO80/'Alternative 3'!$M81</f>
        <v>#VALUE!</v>
      </c>
      <c r="BR80" s="78" t="e">
        <f t="shared" si="28"/>
        <v>#VALUE!</v>
      </c>
      <c r="BT80" s="78" t="e">
        <f>'Alternative 3'!$B$39*$B80*$C80*COS($K$93)-($K$92/3)*$E80*SIN($K$93)-($K$92/3)*$F80*SIN($K$93)-($K$92/3)*$G80*SIN($K$93)</f>
        <v>#VALUE!</v>
      </c>
      <c r="BU80" s="79" t="e">
        <f>IF(($A80&lt;'Alternative 3'!$B$27),(($H80*'Alternative 3'!$B$39)+(3*($N$92/3)*COS($K$93))),IF(($A80&lt;'Alternative 3'!$B$28),(($H80*'Alternative 3'!$B$39)+(2*(($N$92/3)*COS($K$93)))),IF(($A80&lt;'Alternative 3'!$B$29),(($H$3*'Alternative 3'!$B$39+(($N$92/3)*COS($K$93)))),($H80*'Alternative 3'!$B$39))))</f>
        <v>#VALUE!</v>
      </c>
      <c r="BV80" s="78" t="e">
        <f>BT80*'Alternative 3'!$K81/'Alternative 3'!$L81</f>
        <v>#VALUE!</v>
      </c>
      <c r="BW80" s="78" t="e">
        <f>BU80/'Alternative 3'!$M81</f>
        <v>#VALUE!</v>
      </c>
      <c r="BX80" s="78" t="e">
        <f t="shared" si="29"/>
        <v>#VALUE!</v>
      </c>
    </row>
    <row r="81" spans="1:76" ht="15" customHeight="1" x14ac:dyDescent="0.25">
      <c r="A81" s="13" t="str">
        <f>IF('Alternative 3'!F82&gt;0,'Alternative 3'!F82,"x")</f>
        <v>x</v>
      </c>
      <c r="B81" s="13" t="e">
        <f t="shared" si="35"/>
        <v>#VALUE!</v>
      </c>
      <c r="C81" s="13">
        <f t="shared" si="30"/>
        <v>0</v>
      </c>
      <c r="D81" s="13" t="str">
        <f t="shared" si="31"/>
        <v>x</v>
      </c>
      <c r="E81" s="74">
        <f>IF($A81&lt;='Alternative 3'!$B$27, IF($A81='Alternative 3'!$B$27,0,E82+1),0)</f>
        <v>0</v>
      </c>
      <c r="F81" s="74">
        <f>IF($A81&lt;=('Alternative 3'!$B$28), IF($A81=ROUNDDOWN('Alternative 3'!$B$28,0),0,F82+1),0)</f>
        <v>0</v>
      </c>
      <c r="G81" s="74">
        <f>IF($A81&lt;=('Alternative 3'!$B$29), IF($A81=ROUNDDOWN('Alternative 3'!$B$29,0),0,G82+1),0)</f>
        <v>0</v>
      </c>
      <c r="H81" s="13" t="e">
        <f t="shared" si="32"/>
        <v>#VALUE!</v>
      </c>
      <c r="J81" s="77">
        <f t="shared" si="33"/>
        <v>78</v>
      </c>
      <c r="K81" s="77">
        <f t="shared" si="34"/>
        <v>1.3613568165555769</v>
      </c>
      <c r="L81" s="78">
        <f>'Alternative 3'!$B$27*SIN(K81)+'Alternative 3'!$B$28*SIN(K81)+'Alternative 3'!$B$29*SIN(K81)</f>
        <v>66.514036849898787</v>
      </c>
      <c r="M81" s="77">
        <f>(('Alternative 3'!$B$27)*(((('Alternative 3'!$B$28-'Alternative 3'!$B$27)/2)+'Alternative 3'!$B$27)*'Alternative 3'!$B$39)*COS('Alternative 3-Tilt Up'!K81))+(('Alternative 3'!$B$28)*((('Alternative 3'!$B$28-'Alternative 3'!$B$27)/2)+(('Alternative 3'!$B$29-'Alternative 3'!$B$28)/2))*('Alternative 3'!$B$39)*COS('Alternative 3-Tilt Up'!K81))+(('Alternative 3'!$B$29)*((('Alternative 3'!$B$12-'Alternative 3'!$B$29+(('Alternative 3'!$B$29-'Alternative 3'!$B$28)/2)*('Alternative 3'!$B$39)*COS('Alternative 3-Tilt Up'!K81)))))</f>
        <v>986927.21584632911</v>
      </c>
      <c r="N81" s="77">
        <f t="shared" si="18"/>
        <v>44513.636335448085</v>
      </c>
      <c r="O81" s="77">
        <f>(((('Alternative 3'!$B$28-'Alternative 3'!$B$27)/2)+'Alternative 3'!$B$27)*('Alternative 3'!$B$39)*COS('Alternative 3-Tilt Up'!K81))+(((('Alternative 3'!$B$28-'Alternative 3'!$B$27)/2)+(('Alternative 3'!$B$29-'Alternative 3'!$B$28)/2))*('Alternative 3'!$B$39)*COS('Alternative 3-Tilt Up'!K81))+(((('Alternative 3'!$B$12-'Alternative 3'!$B$29)+(('Alternative 3'!$B$29-'Alternative 3'!$B$28)/2))*('Alternative 3'!$B$39)*COS('Alternative 3-Tilt Up'!K81)))</f>
        <v>63645.907379380806</v>
      </c>
      <c r="P81" s="77">
        <f t="shared" si="19"/>
        <v>9254.9053949498648</v>
      </c>
      <c r="R81" s="78" t="e">
        <f>'Alternative 3'!$B$39*$B81*$C81*COS($K$5)-($N$5/3)*$E81*SIN($K$5)-($N$5/3)*$F81*SIN($K$5)-($N$5/3)*$G81*SIN($K$5)</f>
        <v>#VALUE!</v>
      </c>
      <c r="S81" s="79" t="e">
        <f>IF(($A81&lt;'Alternative 3'!$B$27),(($H81*'Alternative 3'!$B$39)+(3*($N$5/3)*COS($K$5))),IF(($A81&lt;'Alternative 3'!$B$28),(($H81*'Alternative 3'!$B$39)+(2*(($N$5/3)*COS($K$5)))),IF(($A81&lt;'Alternative 3'!$B$29),(($H$3*'Alternative 3'!$B$39+(($N$5/3)*COS($K$5)))),($H81*'Alternative 3'!$B$39))))</f>
        <v>#VALUE!</v>
      </c>
      <c r="T81" s="78" t="e">
        <f>R81*'Alternative 3'!$K82/'Alternative 3'!$L82</f>
        <v>#VALUE!</v>
      </c>
      <c r="U81" s="78" t="e">
        <f>S81/'Alternative 3'!$M82</f>
        <v>#VALUE!</v>
      </c>
      <c r="V81" s="78" t="e">
        <f t="shared" si="20"/>
        <v>#VALUE!</v>
      </c>
      <c r="X81" s="78" t="e">
        <f>'Alternative 3'!$B$39*$B81*$C81*COS($K$13)-($N$12/3)*$E81*SIN($K$13)-($N$12/3)*$F81*SIN($K$13)-($N$12/3)*$G81*SIN($K$13)</f>
        <v>#VALUE!</v>
      </c>
      <c r="Y81" s="79" t="e">
        <f>IF(($A81&lt;'Alternative 3'!$B$27),(($H81*'Alternative 3'!$B$39)+(3*($N$12/3)*COS($K$13))),IF(($A81&lt;'Alternative 3'!$B$28),(($H81*'Alternative 3'!$B$39)+(2*(($N$12/3)*COS($K$13)))),IF(($A81&lt;'Alternative 3'!$B$29),(($H$3*'Alternative 3'!$B$39+(($N$12/3)*COS($K$13)))),($H81*'Alternative 3'!$B$39))))</f>
        <v>#VALUE!</v>
      </c>
      <c r="Z81" s="78" t="e">
        <f>X81*'Alternative 3'!$K82/'Alternative 3'!$L82</f>
        <v>#VALUE!</v>
      </c>
      <c r="AA81" s="78" t="e">
        <f>Y81/'Alternative 3'!$M82</f>
        <v>#VALUE!</v>
      </c>
      <c r="AB81" s="78" t="e">
        <f t="shared" si="21"/>
        <v>#VALUE!</v>
      </c>
      <c r="AD81" s="78" t="e">
        <f>'Alternative 3'!$B$39*$B81*$C81*COS($K$23)-($N$22/3)*$E81*SIN($K$23)-($N$22/3)*$F81*SIN($K$23)-($N$22/3)*$G81*SIN($K$23)</f>
        <v>#VALUE!</v>
      </c>
      <c r="AE81" s="79" t="e">
        <f>IF(($A81&lt;'Alternative 3'!$B$27),(($H81*'Alternative 3'!$B$39)+(3*($N$22/3)*COS($K$23))),IF(($A81&lt;'Alternative 3'!$B$28),(($H81*'Alternative 3'!$B$39)+(2*(($N$22/3)*COS($K$23)))),IF(($A81&lt;'Alternative 3'!$B$29),(($H$3*'Alternative 3'!$B$39+(($N$22/3)*COS($K$23)))),($H81*'Alternative 3'!$B$39))))</f>
        <v>#VALUE!</v>
      </c>
      <c r="AF81" s="78" t="e">
        <f>AD81*'Alternative 3'!$K82/'Alternative 3'!$L82</f>
        <v>#VALUE!</v>
      </c>
      <c r="AG81" s="78" t="e">
        <f>AE81/'Alternative 3'!$M82</f>
        <v>#VALUE!</v>
      </c>
      <c r="AH81" s="78" t="e">
        <f t="shared" si="22"/>
        <v>#VALUE!</v>
      </c>
      <c r="AJ81" s="78" t="e">
        <f>'Alternative 3'!$B$39*$B81*$C81*COS($K$33)-($N$32/3)*$E81*SIN($K$33)-($N$32/3)*$F81*SIN($K$33)-($N$32/3)*$G81*SIN($K$33)</f>
        <v>#VALUE!</v>
      </c>
      <c r="AK81" s="79" t="e">
        <f>IF(($A81&lt;'Alternative 3'!$B$27),(($H81*'Alternative 3'!$B$39)+(3*($N$32/3)*COS($K$33))),IF(($A81&lt;'Alternative 3'!$B$28),(($H81*'Alternative 3'!$B$39)+(2*(($N$32/3)*COS($K$33)))),IF(($A81&lt;'Alternative 3'!$B$29),(($H$3*'Alternative 3'!$B$39+(($N$32/3)*COS($K$33)))),($H81*'Alternative 3'!$B$39))))</f>
        <v>#VALUE!</v>
      </c>
      <c r="AL81" s="78" t="e">
        <f>AJ81*'Alternative 3'!$K82/'Alternative 3'!$L82</f>
        <v>#VALUE!</v>
      </c>
      <c r="AM81" s="78" t="e">
        <f>AK81/'Alternative 3'!$M82</f>
        <v>#VALUE!</v>
      </c>
      <c r="AN81" s="78" t="e">
        <f t="shared" si="23"/>
        <v>#VALUE!</v>
      </c>
      <c r="AP81" s="78" t="e">
        <f>'Alternative 3'!$B$39*$B81*$C81*COS($K$43)-($N$42/3)*$E81*SIN($K$43)-($N$42/3)*$F81*SIN($K$43)-($N$42/3)*$G81*SIN($K$43)</f>
        <v>#VALUE!</v>
      </c>
      <c r="AQ81" s="79" t="e">
        <f>IF(($A81&lt;'Alternative 3'!$B$27),(($H81*'Alternative 3'!$B$39)+(3*($N$42/3)*COS($K$43))),IF(($A81&lt;'Alternative 3'!$B$28),(($H81*'Alternative 3'!$B$39)+(2*(($N$42/3)*COS($K$43)))),IF(($A81&lt;'Alternative 3'!$B$29),(($H$3*'Alternative 3'!$B$39+(($N$42/3)*COS($K$43)))),($H81*'Alternative 3'!$B$39))))</f>
        <v>#VALUE!</v>
      </c>
      <c r="AR81" s="78" t="e">
        <f>AP81*'Alternative 3'!$K82/'Alternative 3'!$L82</f>
        <v>#VALUE!</v>
      </c>
      <c r="AS81" s="78" t="e">
        <f>AQ81/'Alternative 3'!$M82</f>
        <v>#VALUE!</v>
      </c>
      <c r="AT81" s="78" t="e">
        <f t="shared" si="24"/>
        <v>#VALUE!</v>
      </c>
      <c r="AV81" s="78" t="e">
        <f>'Alternative 3'!$B$39*$B81*$C81*COS($K$53)-($N$52/3)*$E81*SIN($K$53)-($N$52/3)*$F81*SIN($K$53)-($N$52/3)*$G81*SIN($K$53)</f>
        <v>#VALUE!</v>
      </c>
      <c r="AW81" s="79" t="e">
        <f>IF(($A81&lt;'Alternative 3'!$B$27),(($H81*'Alternative 3'!$B$39)+(3*($N$52/3)*COS($K$53))),IF(($A81&lt;'Alternative 3'!$B$28),(($H81*'Alternative 3'!$B$39)+(2*(($N$52/3)*COS($K$53)))),IF(($A81&lt;'Alternative 3'!$B$29),(($H$3*'Alternative 3'!$B$39+(($N$52/3)*COS($K$53)))),($H81*'Alternative 3'!$B$39))))</f>
        <v>#VALUE!</v>
      </c>
      <c r="AX81" s="78" t="e">
        <f>AV81*'Alternative 3'!$K82/'Alternative 3'!$L82</f>
        <v>#VALUE!</v>
      </c>
      <c r="AY81" s="78" t="e">
        <f>AW81/'Alternative 3'!$M82</f>
        <v>#VALUE!</v>
      </c>
      <c r="AZ81" s="78" t="e">
        <f t="shared" si="25"/>
        <v>#VALUE!</v>
      </c>
      <c r="BB81" s="78" t="e">
        <f>'Alternative 3'!$B$39*$B81*$C81*COS($K$63)-($N$62/3)*$E81*SIN($K$63)-($N$62/3)*$F81*SIN($K$63)-($N$62/3)*$G81*SIN($K$63)</f>
        <v>#VALUE!</v>
      </c>
      <c r="BC81" s="79" t="e">
        <f>IF(($A81&lt;'Alternative 3'!$B$27),(($H81*'Alternative 3'!$B$39)+(3*($N$62/3)*COS($K$63))),IF(($A81&lt;'Alternative 3'!$B$28),(($H81*'Alternative 3'!$B$39)+(2*(($N$62/3)*COS($K$63)))),IF(($A81&lt;'Alternative 3'!$B$29),(($H$3*'Alternative 3'!$B$39+(($N$62/3)*COS($K$63)))),($H81*'Alternative 3'!$B$39))))</f>
        <v>#VALUE!</v>
      </c>
      <c r="BD81" s="78" t="e">
        <f>BB81*'Alternative 3'!$K82/'Alternative 3'!$L82</f>
        <v>#VALUE!</v>
      </c>
      <c r="BE81" s="78" t="e">
        <f>BC81/'Alternative 3'!$M82</f>
        <v>#VALUE!</v>
      </c>
      <c r="BF81" s="78" t="e">
        <f t="shared" si="26"/>
        <v>#VALUE!</v>
      </c>
      <c r="BH81" s="78" t="e">
        <f>'Alternative 3'!$B$39*$B81*$C81*COS($K$73)-($N$72/3)*$E81*SIN($K$73)-($N$72/3)*$F81*SIN($K$73)-($N$72/3)*$G81*SIN($K$73)</f>
        <v>#VALUE!</v>
      </c>
      <c r="BI81" s="79" t="e">
        <f>IF(($A81&lt;'Alternative 3'!$B$27),(($H81*'Alternative 3'!$B$39)+(3*($N$72/3)*COS($K$73))),IF(($A81&lt;'Alternative 3'!$B$28),(($H81*'Alternative 3'!$B$39)+(2*(($N$72/3)*COS($K$73)))),IF(($A81&lt;'Alternative 3'!$B$29),(($H$3*'Alternative 3'!$B$39+(($N$72/3)*COS($K$73)))),($H81*'Alternative 3'!$B$39))))</f>
        <v>#VALUE!</v>
      </c>
      <c r="BJ81" s="78" t="e">
        <f>BH81*'Alternative 3'!$K82/'Alternative 3'!$L82</f>
        <v>#VALUE!</v>
      </c>
      <c r="BK81" s="78" t="e">
        <f>BI81/'Alternative 3'!$M82</f>
        <v>#VALUE!</v>
      </c>
      <c r="BL81" s="78" t="e">
        <f t="shared" si="27"/>
        <v>#VALUE!</v>
      </c>
      <c r="BN81" s="78" t="e">
        <f>'Alternative 3'!$B$39*$B81*$C81*COS($K$83)-($N$82/3)*$E81*SIN($K$83)-($N$82/3)*$F81*SIN($K$83)-($N$82/3)*$G81*SIN($K$83)</f>
        <v>#VALUE!</v>
      </c>
      <c r="BO81" s="79" t="e">
        <f>IF(($A81&lt;'Alternative 3'!$B$27),(($H81*'Alternative 3'!$B$39)+(3*($N$82/3)*COS($K$83))),IF(($A81&lt;'Alternative 3'!$B$28),(($H81*'Alternative 3'!$B$39)+(2*(($N$82/3)*COS($K$83)))),IF(($A81&lt;'Alternative 3'!$B$29),(($H$3*'Alternative 3'!$B$39+(($N$82/3)*COS($K$83)))),($H81*'Alternative 3'!$B$39))))</f>
        <v>#VALUE!</v>
      </c>
      <c r="BP81" s="78" t="e">
        <f>BN81*'Alternative 3'!$K82/'Alternative 3'!$L82</f>
        <v>#VALUE!</v>
      </c>
      <c r="BQ81" s="78" t="e">
        <f>BO81/'Alternative 3'!$M82</f>
        <v>#VALUE!</v>
      </c>
      <c r="BR81" s="78" t="e">
        <f t="shared" si="28"/>
        <v>#VALUE!</v>
      </c>
      <c r="BT81" s="78" t="e">
        <f>'Alternative 3'!$B$39*$B81*$C81*COS($K$93)-($K$92/3)*$E81*SIN($K$93)-($K$92/3)*$F81*SIN($K$93)-($K$92/3)*$G81*SIN($K$93)</f>
        <v>#VALUE!</v>
      </c>
      <c r="BU81" s="79" t="e">
        <f>IF(($A81&lt;'Alternative 3'!$B$27),(($H81*'Alternative 3'!$B$39)+(3*($N$92/3)*COS($K$93))),IF(($A81&lt;'Alternative 3'!$B$28),(($H81*'Alternative 3'!$B$39)+(2*(($N$92/3)*COS($K$93)))),IF(($A81&lt;'Alternative 3'!$B$29),(($H$3*'Alternative 3'!$B$39+(($N$92/3)*COS($K$93)))),($H81*'Alternative 3'!$B$39))))</f>
        <v>#VALUE!</v>
      </c>
      <c r="BV81" s="78" t="e">
        <f>BT81*'Alternative 3'!$K82/'Alternative 3'!$L82</f>
        <v>#VALUE!</v>
      </c>
      <c r="BW81" s="78" t="e">
        <f>BU81/'Alternative 3'!$M82</f>
        <v>#VALUE!</v>
      </c>
      <c r="BX81" s="78" t="e">
        <f t="shared" si="29"/>
        <v>#VALUE!</v>
      </c>
    </row>
    <row r="82" spans="1:76" ht="15" customHeight="1" x14ac:dyDescent="0.25">
      <c r="A82" s="13" t="str">
        <f>IF('Alternative 3'!F83&gt;0,'Alternative 3'!F83,"x")</f>
        <v>x</v>
      </c>
      <c r="B82" s="13" t="e">
        <f t="shared" si="35"/>
        <v>#VALUE!</v>
      </c>
      <c r="C82" s="13">
        <f t="shared" si="30"/>
        <v>0</v>
      </c>
      <c r="D82" s="13" t="str">
        <f t="shared" si="31"/>
        <v>x</v>
      </c>
      <c r="E82" s="74">
        <f>IF($A82&lt;='Alternative 3'!$B$27, IF($A82='Alternative 3'!$B$27,0,E83+1),0)</f>
        <v>0</v>
      </c>
      <c r="F82" s="74">
        <f>IF($A82&lt;=('Alternative 3'!$B$28), IF($A82=ROUNDDOWN('Alternative 3'!$B$28,0),0,F83+1),0)</f>
        <v>0</v>
      </c>
      <c r="G82" s="74">
        <f>IF($A82&lt;=('Alternative 3'!$B$29), IF($A82=ROUNDDOWN('Alternative 3'!$B$29,0),0,G83+1),0)</f>
        <v>0</v>
      </c>
      <c r="H82" s="13" t="e">
        <f t="shared" si="32"/>
        <v>#VALUE!</v>
      </c>
      <c r="J82" s="77">
        <f t="shared" si="33"/>
        <v>79</v>
      </c>
      <c r="K82" s="77">
        <f t="shared" si="34"/>
        <v>1.3788101090755203</v>
      </c>
      <c r="L82" s="78">
        <f>'Alternative 3'!$B$27*SIN(K82)+'Alternative 3'!$B$28*SIN(K82)+'Alternative 3'!$B$29*SIN(K82)</f>
        <v>66.750648474441149</v>
      </c>
      <c r="M82" s="77">
        <f>(('Alternative 3'!$B$27)*(((('Alternative 3'!$B$28-'Alternative 3'!$B$27)/2)+'Alternative 3'!$B$27)*'Alternative 3'!$B$39)*COS('Alternative 3-Tilt Up'!K82))+(('Alternative 3'!$B$28)*((('Alternative 3'!$B$28-'Alternative 3'!$B$27)/2)+(('Alternative 3'!$B$29-'Alternative 3'!$B$28)/2))*('Alternative 3'!$B$39)*COS('Alternative 3-Tilt Up'!K82))+(('Alternative 3'!$B$29)*((('Alternative 3'!$B$12-'Alternative 3'!$B$29+(('Alternative 3'!$B$29-'Alternative 3'!$B$28)/2)*('Alternative 3'!$B$39)*COS('Alternative 3-Tilt Up'!K82)))))</f>
        <v>905759.24636001699</v>
      </c>
      <c r="N82" s="82">
        <f t="shared" si="18"/>
        <v>40707.885259279508</v>
      </c>
      <c r="O82" s="77">
        <f>(((('Alternative 3'!$B$28-'Alternative 3'!$B$27)/2)+'Alternative 3'!$B$27)*('Alternative 3'!$B$39)*COS('Alternative 3-Tilt Up'!K82))+(((('Alternative 3'!$B$28-'Alternative 3'!$B$27)/2)+(('Alternative 3'!$B$29-'Alternative 3'!$B$28)/2))*('Alternative 3'!$B$39)*COS('Alternative 3-Tilt Up'!K82))+(((('Alternative 3'!$B$12-'Alternative 3'!$B$29)+(('Alternative 3'!$B$29-'Alternative 3'!$B$28)/2))*('Alternative 3'!$B$39)*COS('Alternative 3-Tilt Up'!K82)))</f>
        <v>58410.431847880187</v>
      </c>
      <c r="P82" s="80">
        <f t="shared" si="19"/>
        <v>7767.4306902267845</v>
      </c>
      <c r="R82" s="78" t="e">
        <f>'Alternative 3'!$B$39*$B82*$C82*COS($K$5)-($N$5/3)*$E82*SIN($K$5)-($N$5/3)*$F82*SIN($K$5)-($N$5/3)*$G82*SIN($K$5)</f>
        <v>#VALUE!</v>
      </c>
      <c r="S82" s="79" t="e">
        <f>IF(($A82&lt;'Alternative 3'!$B$27),(($H82*'Alternative 3'!$B$39)+(3*($N$5/3)*COS($K$5))),IF(($A82&lt;'Alternative 3'!$B$28),(($H82*'Alternative 3'!$B$39)+(2*(($N$5/3)*COS($K$5)))),IF(($A82&lt;'Alternative 3'!$B$29),(($H$3*'Alternative 3'!$B$39+(($N$5/3)*COS($K$5)))),($H82*'Alternative 3'!$B$39))))</f>
        <v>#VALUE!</v>
      </c>
      <c r="T82" s="78" t="e">
        <f>R82*'Alternative 3'!$K83/'Alternative 3'!$L83</f>
        <v>#VALUE!</v>
      </c>
      <c r="U82" s="78" t="e">
        <f>S82/'Alternative 3'!$M83</f>
        <v>#VALUE!</v>
      </c>
      <c r="V82" s="78" t="e">
        <f t="shared" si="20"/>
        <v>#VALUE!</v>
      </c>
      <c r="X82" s="78" t="e">
        <f>'Alternative 3'!$B$39*$B82*$C82*COS($K$13)-($N$12/3)*$E82*SIN($K$13)-($N$12/3)*$F82*SIN($K$13)-($N$12/3)*$G82*SIN($K$13)</f>
        <v>#VALUE!</v>
      </c>
      <c r="Y82" s="79" t="e">
        <f>IF(($A82&lt;'Alternative 3'!$B$27),(($H82*'Alternative 3'!$B$39)+(3*($N$12/3)*COS($K$13))),IF(($A82&lt;'Alternative 3'!$B$28),(($H82*'Alternative 3'!$B$39)+(2*(($N$12/3)*COS($K$13)))),IF(($A82&lt;'Alternative 3'!$B$29),(($H$3*'Alternative 3'!$B$39+(($N$12/3)*COS($K$13)))),($H82*'Alternative 3'!$B$39))))</f>
        <v>#VALUE!</v>
      </c>
      <c r="Z82" s="78" t="e">
        <f>X82*'Alternative 3'!$K83/'Alternative 3'!$L83</f>
        <v>#VALUE!</v>
      </c>
      <c r="AA82" s="78" t="e">
        <f>Y82/'Alternative 3'!$M83</f>
        <v>#VALUE!</v>
      </c>
      <c r="AB82" s="78" t="e">
        <f t="shared" si="21"/>
        <v>#VALUE!</v>
      </c>
      <c r="AD82" s="78" t="e">
        <f>'Alternative 3'!$B$39*$B82*$C82*COS($K$23)-($N$22/3)*$E82*SIN($K$23)-($N$22/3)*$F82*SIN($K$23)-($N$22/3)*$G82*SIN($K$23)</f>
        <v>#VALUE!</v>
      </c>
      <c r="AE82" s="79" t="e">
        <f>IF(($A82&lt;'Alternative 3'!$B$27),(($H82*'Alternative 3'!$B$39)+(3*($N$22/3)*COS($K$23))),IF(($A82&lt;'Alternative 3'!$B$28),(($H82*'Alternative 3'!$B$39)+(2*(($N$22/3)*COS($K$23)))),IF(($A82&lt;'Alternative 3'!$B$29),(($H$3*'Alternative 3'!$B$39+(($N$22/3)*COS($K$23)))),($H82*'Alternative 3'!$B$39))))</f>
        <v>#VALUE!</v>
      </c>
      <c r="AF82" s="78" t="e">
        <f>AD82*'Alternative 3'!$K83/'Alternative 3'!$L83</f>
        <v>#VALUE!</v>
      </c>
      <c r="AG82" s="78" t="e">
        <f>AE82/'Alternative 3'!$M83</f>
        <v>#VALUE!</v>
      </c>
      <c r="AH82" s="78" t="e">
        <f t="shared" si="22"/>
        <v>#VALUE!</v>
      </c>
      <c r="AJ82" s="78" t="e">
        <f>'Alternative 3'!$B$39*$B82*$C82*COS($K$33)-($N$32/3)*$E82*SIN($K$33)-($N$32/3)*$F82*SIN($K$33)-($N$32/3)*$G82*SIN($K$33)</f>
        <v>#VALUE!</v>
      </c>
      <c r="AK82" s="79" t="e">
        <f>IF(($A82&lt;'Alternative 3'!$B$27),(($H82*'Alternative 3'!$B$39)+(3*($N$32/3)*COS($K$33))),IF(($A82&lt;'Alternative 3'!$B$28),(($H82*'Alternative 3'!$B$39)+(2*(($N$32/3)*COS($K$33)))),IF(($A82&lt;'Alternative 3'!$B$29),(($H$3*'Alternative 3'!$B$39+(($N$32/3)*COS($K$33)))),($H82*'Alternative 3'!$B$39))))</f>
        <v>#VALUE!</v>
      </c>
      <c r="AL82" s="78" t="e">
        <f>AJ82*'Alternative 3'!$K83/'Alternative 3'!$L83</f>
        <v>#VALUE!</v>
      </c>
      <c r="AM82" s="78" t="e">
        <f>AK82/'Alternative 3'!$M83</f>
        <v>#VALUE!</v>
      </c>
      <c r="AN82" s="78" t="e">
        <f t="shared" si="23"/>
        <v>#VALUE!</v>
      </c>
      <c r="AP82" s="78" t="e">
        <f>'Alternative 3'!$B$39*$B82*$C82*COS($K$43)-($N$42/3)*$E82*SIN($K$43)-($N$42/3)*$F82*SIN($K$43)-($N$42/3)*$G82*SIN($K$43)</f>
        <v>#VALUE!</v>
      </c>
      <c r="AQ82" s="79" t="e">
        <f>IF(($A82&lt;'Alternative 3'!$B$27),(($H82*'Alternative 3'!$B$39)+(3*($N$42/3)*COS($K$43))),IF(($A82&lt;'Alternative 3'!$B$28),(($H82*'Alternative 3'!$B$39)+(2*(($N$42/3)*COS($K$43)))),IF(($A82&lt;'Alternative 3'!$B$29),(($H$3*'Alternative 3'!$B$39+(($N$42/3)*COS($K$43)))),($H82*'Alternative 3'!$B$39))))</f>
        <v>#VALUE!</v>
      </c>
      <c r="AR82" s="78" t="e">
        <f>AP82*'Alternative 3'!$K83/'Alternative 3'!$L83</f>
        <v>#VALUE!</v>
      </c>
      <c r="AS82" s="78" t="e">
        <f>AQ82/'Alternative 3'!$M83</f>
        <v>#VALUE!</v>
      </c>
      <c r="AT82" s="78" t="e">
        <f t="shared" si="24"/>
        <v>#VALUE!</v>
      </c>
      <c r="AV82" s="78" t="e">
        <f>'Alternative 3'!$B$39*$B82*$C82*COS($K$53)-($N$52/3)*$E82*SIN($K$53)-($N$52/3)*$F82*SIN($K$53)-($N$52/3)*$G82*SIN($K$53)</f>
        <v>#VALUE!</v>
      </c>
      <c r="AW82" s="79" t="e">
        <f>IF(($A82&lt;'Alternative 3'!$B$27),(($H82*'Alternative 3'!$B$39)+(3*($N$52/3)*COS($K$53))),IF(($A82&lt;'Alternative 3'!$B$28),(($H82*'Alternative 3'!$B$39)+(2*(($N$52/3)*COS($K$53)))),IF(($A82&lt;'Alternative 3'!$B$29),(($H$3*'Alternative 3'!$B$39+(($N$52/3)*COS($K$53)))),($H82*'Alternative 3'!$B$39))))</f>
        <v>#VALUE!</v>
      </c>
      <c r="AX82" s="78" t="e">
        <f>AV82*'Alternative 3'!$K83/'Alternative 3'!$L83</f>
        <v>#VALUE!</v>
      </c>
      <c r="AY82" s="78" t="e">
        <f>AW82/'Alternative 3'!$M83</f>
        <v>#VALUE!</v>
      </c>
      <c r="AZ82" s="78" t="e">
        <f t="shared" si="25"/>
        <v>#VALUE!</v>
      </c>
      <c r="BB82" s="78" t="e">
        <f>'Alternative 3'!$B$39*$B82*$C82*COS($K$63)-($N$62/3)*$E82*SIN($K$63)-($N$62/3)*$F82*SIN($K$63)-($N$62/3)*$G82*SIN($K$63)</f>
        <v>#VALUE!</v>
      </c>
      <c r="BC82" s="79" t="e">
        <f>IF(($A82&lt;'Alternative 3'!$B$27),(($H82*'Alternative 3'!$B$39)+(3*($N$62/3)*COS($K$63))),IF(($A82&lt;'Alternative 3'!$B$28),(($H82*'Alternative 3'!$B$39)+(2*(($N$62/3)*COS($K$63)))),IF(($A82&lt;'Alternative 3'!$B$29),(($H$3*'Alternative 3'!$B$39+(($N$62/3)*COS($K$63)))),($H82*'Alternative 3'!$B$39))))</f>
        <v>#VALUE!</v>
      </c>
      <c r="BD82" s="78" t="e">
        <f>BB82*'Alternative 3'!$K83/'Alternative 3'!$L83</f>
        <v>#VALUE!</v>
      </c>
      <c r="BE82" s="78" t="e">
        <f>BC82/'Alternative 3'!$M83</f>
        <v>#VALUE!</v>
      </c>
      <c r="BF82" s="78" t="e">
        <f t="shared" si="26"/>
        <v>#VALUE!</v>
      </c>
      <c r="BH82" s="78" t="e">
        <f>'Alternative 3'!$B$39*$B82*$C82*COS($K$73)-($N$72/3)*$E82*SIN($K$73)-($N$72/3)*$F82*SIN($K$73)-($N$72/3)*$G82*SIN($K$73)</f>
        <v>#VALUE!</v>
      </c>
      <c r="BI82" s="79" t="e">
        <f>IF(($A82&lt;'Alternative 3'!$B$27),(($H82*'Alternative 3'!$B$39)+(3*($N$72/3)*COS($K$73))),IF(($A82&lt;'Alternative 3'!$B$28),(($H82*'Alternative 3'!$B$39)+(2*(($N$72/3)*COS($K$73)))),IF(($A82&lt;'Alternative 3'!$B$29),(($H$3*'Alternative 3'!$B$39+(($N$72/3)*COS($K$73)))),($H82*'Alternative 3'!$B$39))))</f>
        <v>#VALUE!</v>
      </c>
      <c r="BJ82" s="78" t="e">
        <f>BH82*'Alternative 3'!$K83/'Alternative 3'!$L83</f>
        <v>#VALUE!</v>
      </c>
      <c r="BK82" s="78" t="e">
        <f>BI82/'Alternative 3'!$M83</f>
        <v>#VALUE!</v>
      </c>
      <c r="BL82" s="78" t="e">
        <f t="shared" si="27"/>
        <v>#VALUE!</v>
      </c>
      <c r="BN82" s="78" t="e">
        <f>'Alternative 3'!$B$39*$B82*$C82*COS($K$83)-($N$82/3)*$E82*SIN($K$83)-($N$82/3)*$F82*SIN($K$83)-($N$82/3)*$G82*SIN($K$83)</f>
        <v>#VALUE!</v>
      </c>
      <c r="BO82" s="79" t="e">
        <f>IF(($A82&lt;'Alternative 3'!$B$27),(($H82*'Alternative 3'!$B$39)+(3*($N$82/3)*COS($K$83))),IF(($A82&lt;'Alternative 3'!$B$28),(($H82*'Alternative 3'!$B$39)+(2*(($N$82/3)*COS($K$83)))),IF(($A82&lt;'Alternative 3'!$B$29),(($H$3*'Alternative 3'!$B$39+(($N$82/3)*COS($K$83)))),($H82*'Alternative 3'!$B$39))))</f>
        <v>#VALUE!</v>
      </c>
      <c r="BP82" s="78" t="e">
        <f>BN82*'Alternative 3'!$K83/'Alternative 3'!$L83</f>
        <v>#VALUE!</v>
      </c>
      <c r="BQ82" s="78" t="e">
        <f>BO82/'Alternative 3'!$M83</f>
        <v>#VALUE!</v>
      </c>
      <c r="BR82" s="78" t="e">
        <f t="shared" si="28"/>
        <v>#VALUE!</v>
      </c>
      <c r="BT82" s="78" t="e">
        <f>'Alternative 3'!$B$39*$B82*$C82*COS($K$93)-($K$92/3)*$E82*SIN($K$93)-($K$92/3)*$F82*SIN($K$93)-($K$92/3)*$G82*SIN($K$93)</f>
        <v>#VALUE!</v>
      </c>
      <c r="BU82" s="79" t="e">
        <f>IF(($A82&lt;'Alternative 3'!$B$27),(($H82*'Alternative 3'!$B$39)+(3*($N$92/3)*COS($K$93))),IF(($A82&lt;'Alternative 3'!$B$28),(($H82*'Alternative 3'!$B$39)+(2*(($N$92/3)*COS($K$93)))),IF(($A82&lt;'Alternative 3'!$B$29),(($H$3*'Alternative 3'!$B$39+(($N$92/3)*COS($K$93)))),($H82*'Alternative 3'!$B$39))))</f>
        <v>#VALUE!</v>
      </c>
      <c r="BV82" s="78" t="e">
        <f>BT82*'Alternative 3'!$K83/'Alternative 3'!$L83</f>
        <v>#VALUE!</v>
      </c>
      <c r="BW82" s="78" t="e">
        <f>BU82/'Alternative 3'!$M83</f>
        <v>#VALUE!</v>
      </c>
      <c r="BX82" s="78" t="e">
        <f t="shared" si="29"/>
        <v>#VALUE!</v>
      </c>
    </row>
    <row r="83" spans="1:76" ht="15" customHeight="1" x14ac:dyDescent="0.25">
      <c r="A83" s="13" t="str">
        <f>IF('Alternative 3'!F84&gt;0,'Alternative 3'!F84,"x")</f>
        <v>x</v>
      </c>
      <c r="B83" s="13" t="e">
        <f t="shared" si="35"/>
        <v>#VALUE!</v>
      </c>
      <c r="C83" s="13">
        <f t="shared" si="30"/>
        <v>0</v>
      </c>
      <c r="D83" s="13" t="str">
        <f t="shared" si="31"/>
        <v>x</v>
      </c>
      <c r="E83" s="74">
        <f>IF($A83&lt;='Alternative 3'!$B$27, IF($A83='Alternative 3'!$B$27,0,E84+1),0)</f>
        <v>0</v>
      </c>
      <c r="F83" s="74">
        <f>IF($A83&lt;=('Alternative 3'!$B$28), IF($A83=ROUNDDOWN('Alternative 3'!$B$28,0),0,F84+1),0)</f>
        <v>0</v>
      </c>
      <c r="G83" s="74">
        <f>IF($A83&lt;=('Alternative 3'!$B$29), IF($A83=ROUNDDOWN('Alternative 3'!$B$29,0),0,G84+1),0)</f>
        <v>0</v>
      </c>
      <c r="H83" s="13" t="e">
        <f t="shared" si="32"/>
        <v>#VALUE!</v>
      </c>
      <c r="J83" s="77">
        <f t="shared" si="33"/>
        <v>80</v>
      </c>
      <c r="K83" s="82">
        <f t="shared" si="34"/>
        <v>1.3962634015954636</v>
      </c>
      <c r="L83" s="78">
        <f>'Alternative 3'!$B$27*SIN(K83)+'Alternative 3'!$B$28*SIN(K83)+'Alternative 3'!$B$29*SIN(K83)</f>
        <v>66.966927204830142</v>
      </c>
      <c r="M83" s="77">
        <f>(('Alternative 3'!$B$27)*(((('Alternative 3'!$B$28-'Alternative 3'!$B$27)/2)+'Alternative 3'!$B$27)*'Alternative 3'!$B$39)*COS('Alternative 3-Tilt Up'!K83))+(('Alternative 3'!$B$28)*((('Alternative 3'!$B$28-'Alternative 3'!$B$27)/2)+(('Alternative 3'!$B$29-'Alternative 3'!$B$28)/2))*('Alternative 3'!$B$39)*COS('Alternative 3-Tilt Up'!K83))+(('Alternative 3'!$B$29)*((('Alternative 3'!$B$12-'Alternative 3'!$B$29+(('Alternative 3'!$B$29-'Alternative 3'!$B$28)/2)*('Alternative 3'!$B$39)*COS('Alternative 3-Tilt Up'!K83)))))</f>
        <v>824315.43342410494</v>
      </c>
      <c r="N83" s="77">
        <f t="shared" si="18"/>
        <v>36927.874750895659</v>
      </c>
      <c r="O83" s="77">
        <f>(((('Alternative 3'!$B$28-'Alternative 3'!$B$27)/2)+'Alternative 3'!$B$27)*('Alternative 3'!$B$39)*COS('Alternative 3-Tilt Up'!K83))+(((('Alternative 3'!$B$28-'Alternative 3'!$B$27)/2)+(('Alternative 3'!$B$29-'Alternative 3'!$B$28)/2))*('Alternative 3'!$B$39)*COS('Alternative 3-Tilt Up'!K83))+(((('Alternative 3'!$B$12-'Alternative 3'!$B$29)+(('Alternative 3'!$B$29-'Alternative 3'!$B$28)/2))*('Alternative 3'!$B$39)*COS('Alternative 3-Tilt Up'!K83)))</f>
        <v>53157.163933004151</v>
      </c>
      <c r="P83" s="82">
        <f t="shared" si="19"/>
        <v>6412.4581556056828</v>
      </c>
      <c r="R83" s="78" t="e">
        <f>'Alternative 3'!$B$39*$B83*$C83*COS($K$5)-($N$5/3)*$E83*SIN($K$5)-($N$5/3)*$F83*SIN($K$5)-($N$5/3)*$G83*SIN($K$5)</f>
        <v>#VALUE!</v>
      </c>
      <c r="S83" s="79" t="e">
        <f>IF(($A83&lt;'Alternative 3'!$B$27),(($H83*'Alternative 3'!$B$39)+(3*($N$5/3)*COS($K$5))),IF(($A83&lt;'Alternative 3'!$B$28),(($H83*'Alternative 3'!$B$39)+(2*(($N$5/3)*COS($K$5)))),IF(($A83&lt;'Alternative 3'!$B$29),(($H$3*'Alternative 3'!$B$39+(($N$5/3)*COS($K$5)))),($H83*'Alternative 3'!$B$39))))</f>
        <v>#VALUE!</v>
      </c>
      <c r="T83" s="78" t="e">
        <f>R83*'Alternative 3'!$K84/'Alternative 3'!$L84</f>
        <v>#VALUE!</v>
      </c>
      <c r="U83" s="78" t="e">
        <f>S83/'Alternative 3'!$M84</f>
        <v>#VALUE!</v>
      </c>
      <c r="V83" s="78" t="e">
        <f t="shared" si="20"/>
        <v>#VALUE!</v>
      </c>
      <c r="X83" s="78" t="e">
        <f>'Alternative 3'!$B$39*$B83*$C83*COS($K$13)-($N$12/3)*$E83*SIN($K$13)-($N$12/3)*$F83*SIN($K$13)-($N$12/3)*$G83*SIN($K$13)</f>
        <v>#VALUE!</v>
      </c>
      <c r="Y83" s="79" t="e">
        <f>IF(($A83&lt;'Alternative 3'!$B$27),(($H83*'Alternative 3'!$B$39)+(3*($N$12/3)*COS($K$13))),IF(($A83&lt;'Alternative 3'!$B$28),(($H83*'Alternative 3'!$B$39)+(2*(($N$12/3)*COS($K$13)))),IF(($A83&lt;'Alternative 3'!$B$29),(($H$3*'Alternative 3'!$B$39+(($N$12/3)*COS($K$13)))),($H83*'Alternative 3'!$B$39))))</f>
        <v>#VALUE!</v>
      </c>
      <c r="Z83" s="78" t="e">
        <f>X83*'Alternative 3'!$K84/'Alternative 3'!$L84</f>
        <v>#VALUE!</v>
      </c>
      <c r="AA83" s="78" t="e">
        <f>Y83/'Alternative 3'!$M84</f>
        <v>#VALUE!</v>
      </c>
      <c r="AB83" s="78" t="e">
        <f t="shared" si="21"/>
        <v>#VALUE!</v>
      </c>
      <c r="AD83" s="78" t="e">
        <f>'Alternative 3'!$B$39*$B83*$C83*COS($K$23)-($N$22/3)*$E83*SIN($K$23)-($N$22/3)*$F83*SIN($K$23)-($N$22/3)*$G83*SIN($K$23)</f>
        <v>#VALUE!</v>
      </c>
      <c r="AE83" s="79" t="e">
        <f>IF(($A83&lt;'Alternative 3'!$B$27),(($H83*'Alternative 3'!$B$39)+(3*($N$22/3)*COS($K$23))),IF(($A83&lt;'Alternative 3'!$B$28),(($H83*'Alternative 3'!$B$39)+(2*(($N$22/3)*COS($K$23)))),IF(($A83&lt;'Alternative 3'!$B$29),(($H$3*'Alternative 3'!$B$39+(($N$22/3)*COS($K$23)))),($H83*'Alternative 3'!$B$39))))</f>
        <v>#VALUE!</v>
      </c>
      <c r="AF83" s="78" t="e">
        <f>AD83*'Alternative 3'!$K84/'Alternative 3'!$L84</f>
        <v>#VALUE!</v>
      </c>
      <c r="AG83" s="78" t="e">
        <f>AE83/'Alternative 3'!$M84</f>
        <v>#VALUE!</v>
      </c>
      <c r="AH83" s="78" t="e">
        <f t="shared" si="22"/>
        <v>#VALUE!</v>
      </c>
      <c r="AJ83" s="78" t="e">
        <f>'Alternative 3'!$B$39*$B83*$C83*COS($K$33)-($N$32/3)*$E83*SIN($K$33)-($N$32/3)*$F83*SIN($K$33)-($N$32/3)*$G83*SIN($K$33)</f>
        <v>#VALUE!</v>
      </c>
      <c r="AK83" s="79" t="e">
        <f>IF(($A83&lt;'Alternative 3'!$B$27),(($H83*'Alternative 3'!$B$39)+(3*($N$32/3)*COS($K$33))),IF(($A83&lt;'Alternative 3'!$B$28),(($H83*'Alternative 3'!$B$39)+(2*(($N$32/3)*COS($K$33)))),IF(($A83&lt;'Alternative 3'!$B$29),(($H$3*'Alternative 3'!$B$39+(($N$32/3)*COS($K$33)))),($H83*'Alternative 3'!$B$39))))</f>
        <v>#VALUE!</v>
      </c>
      <c r="AL83" s="78" t="e">
        <f>AJ83*'Alternative 3'!$K84/'Alternative 3'!$L84</f>
        <v>#VALUE!</v>
      </c>
      <c r="AM83" s="78" t="e">
        <f>AK83/'Alternative 3'!$M84</f>
        <v>#VALUE!</v>
      </c>
      <c r="AN83" s="78" t="e">
        <f t="shared" si="23"/>
        <v>#VALUE!</v>
      </c>
      <c r="AP83" s="78" t="e">
        <f>'Alternative 3'!$B$39*$B83*$C83*COS($K$43)-($N$42/3)*$E83*SIN($K$43)-($N$42/3)*$F83*SIN($K$43)-($N$42/3)*$G83*SIN($K$43)</f>
        <v>#VALUE!</v>
      </c>
      <c r="AQ83" s="79" t="e">
        <f>IF(($A83&lt;'Alternative 3'!$B$27),(($H83*'Alternative 3'!$B$39)+(3*($N$42/3)*COS($K$43))),IF(($A83&lt;'Alternative 3'!$B$28),(($H83*'Alternative 3'!$B$39)+(2*(($N$42/3)*COS($K$43)))),IF(($A83&lt;'Alternative 3'!$B$29),(($H$3*'Alternative 3'!$B$39+(($N$42/3)*COS($K$43)))),($H83*'Alternative 3'!$B$39))))</f>
        <v>#VALUE!</v>
      </c>
      <c r="AR83" s="78" t="e">
        <f>AP83*'Alternative 3'!$K84/'Alternative 3'!$L84</f>
        <v>#VALUE!</v>
      </c>
      <c r="AS83" s="78" t="e">
        <f>AQ83/'Alternative 3'!$M84</f>
        <v>#VALUE!</v>
      </c>
      <c r="AT83" s="78" t="e">
        <f t="shared" si="24"/>
        <v>#VALUE!</v>
      </c>
      <c r="AV83" s="78" t="e">
        <f>'Alternative 3'!$B$39*$B83*$C83*COS($K$53)-($N$52/3)*$E83*SIN($K$53)-($N$52/3)*$F83*SIN($K$53)-($N$52/3)*$G83*SIN($K$53)</f>
        <v>#VALUE!</v>
      </c>
      <c r="AW83" s="79" t="e">
        <f>IF(($A83&lt;'Alternative 3'!$B$27),(($H83*'Alternative 3'!$B$39)+(3*($N$52/3)*COS($K$53))),IF(($A83&lt;'Alternative 3'!$B$28),(($H83*'Alternative 3'!$B$39)+(2*(($N$52/3)*COS($K$53)))),IF(($A83&lt;'Alternative 3'!$B$29),(($H$3*'Alternative 3'!$B$39+(($N$52/3)*COS($K$53)))),($H83*'Alternative 3'!$B$39))))</f>
        <v>#VALUE!</v>
      </c>
      <c r="AX83" s="78" t="e">
        <f>AV83*'Alternative 3'!$K84/'Alternative 3'!$L84</f>
        <v>#VALUE!</v>
      </c>
      <c r="AY83" s="78" t="e">
        <f>AW83/'Alternative 3'!$M84</f>
        <v>#VALUE!</v>
      </c>
      <c r="AZ83" s="78" t="e">
        <f t="shared" si="25"/>
        <v>#VALUE!</v>
      </c>
      <c r="BB83" s="78" t="e">
        <f>'Alternative 3'!$B$39*$B83*$C83*COS($K$63)-($N$62/3)*$E83*SIN($K$63)-($N$62/3)*$F83*SIN($K$63)-($N$62/3)*$G83*SIN($K$63)</f>
        <v>#VALUE!</v>
      </c>
      <c r="BC83" s="79" t="e">
        <f>IF(($A83&lt;'Alternative 3'!$B$27),(($H83*'Alternative 3'!$B$39)+(3*($N$62/3)*COS($K$63))),IF(($A83&lt;'Alternative 3'!$B$28),(($H83*'Alternative 3'!$B$39)+(2*(($N$62/3)*COS($K$63)))),IF(($A83&lt;'Alternative 3'!$B$29),(($H$3*'Alternative 3'!$B$39+(($N$62/3)*COS($K$63)))),($H83*'Alternative 3'!$B$39))))</f>
        <v>#VALUE!</v>
      </c>
      <c r="BD83" s="78" t="e">
        <f>BB83*'Alternative 3'!$K84/'Alternative 3'!$L84</f>
        <v>#VALUE!</v>
      </c>
      <c r="BE83" s="78" t="e">
        <f>BC83/'Alternative 3'!$M84</f>
        <v>#VALUE!</v>
      </c>
      <c r="BF83" s="78" t="e">
        <f t="shared" si="26"/>
        <v>#VALUE!</v>
      </c>
      <c r="BH83" s="78" t="e">
        <f>'Alternative 3'!$B$39*$B83*$C83*COS($K$73)-($N$72/3)*$E83*SIN($K$73)-($N$72/3)*$F83*SIN($K$73)-($N$72/3)*$G83*SIN($K$73)</f>
        <v>#VALUE!</v>
      </c>
      <c r="BI83" s="79" t="e">
        <f>IF(($A83&lt;'Alternative 3'!$B$27),(($H83*'Alternative 3'!$B$39)+(3*($N$72/3)*COS($K$73))),IF(($A83&lt;'Alternative 3'!$B$28),(($H83*'Alternative 3'!$B$39)+(2*(($N$72/3)*COS($K$73)))),IF(($A83&lt;'Alternative 3'!$B$29),(($H$3*'Alternative 3'!$B$39+(($N$72/3)*COS($K$73)))),($H83*'Alternative 3'!$B$39))))</f>
        <v>#VALUE!</v>
      </c>
      <c r="BJ83" s="78" t="e">
        <f>BH83*'Alternative 3'!$K84/'Alternative 3'!$L84</f>
        <v>#VALUE!</v>
      </c>
      <c r="BK83" s="78" t="e">
        <f>BI83/'Alternative 3'!$M84</f>
        <v>#VALUE!</v>
      </c>
      <c r="BL83" s="78" t="e">
        <f t="shared" si="27"/>
        <v>#VALUE!</v>
      </c>
      <c r="BN83" s="78" t="e">
        <f>'Alternative 3'!$B$39*$B83*$C83*COS($K$83)-($N$82/3)*$E83*SIN($K$83)-($N$82/3)*$F83*SIN($K$83)-($N$82/3)*$G83*SIN($K$83)</f>
        <v>#VALUE!</v>
      </c>
      <c r="BO83" s="79" t="e">
        <f>IF(($A83&lt;'Alternative 3'!$B$27),(($H83*'Alternative 3'!$B$39)+(3*($N$82/3)*COS($K$83))),IF(($A83&lt;'Alternative 3'!$B$28),(($H83*'Alternative 3'!$B$39)+(2*(($N$82/3)*COS($K$83)))),IF(($A83&lt;'Alternative 3'!$B$29),(($H$3*'Alternative 3'!$B$39+(($N$82/3)*COS($K$83)))),($H83*'Alternative 3'!$B$39))))</f>
        <v>#VALUE!</v>
      </c>
      <c r="BP83" s="78" t="e">
        <f>BN83*'Alternative 3'!$K84/'Alternative 3'!$L84</f>
        <v>#VALUE!</v>
      </c>
      <c r="BQ83" s="78" t="e">
        <f>BO83/'Alternative 3'!$M84</f>
        <v>#VALUE!</v>
      </c>
      <c r="BR83" s="78" t="e">
        <f t="shared" si="28"/>
        <v>#VALUE!</v>
      </c>
      <c r="BT83" s="78" t="e">
        <f>'Alternative 3'!$B$39*$B83*$C83*COS($K$93)-($K$92/3)*$E83*SIN($K$93)-($K$92/3)*$F83*SIN($K$93)-($K$92/3)*$G83*SIN($K$93)</f>
        <v>#VALUE!</v>
      </c>
      <c r="BU83" s="79" t="e">
        <f>IF(($A83&lt;'Alternative 3'!$B$27),(($H83*'Alternative 3'!$B$39)+(3*($N$92/3)*COS($K$93))),IF(($A83&lt;'Alternative 3'!$B$28),(($H83*'Alternative 3'!$B$39)+(2*(($N$92/3)*COS($K$93)))),IF(($A83&lt;'Alternative 3'!$B$29),(($H$3*'Alternative 3'!$B$39+(($N$92/3)*COS($K$93)))),($H83*'Alternative 3'!$B$39))))</f>
        <v>#VALUE!</v>
      </c>
      <c r="BV83" s="78" t="e">
        <f>BT83*'Alternative 3'!$K84/'Alternative 3'!$L84</f>
        <v>#VALUE!</v>
      </c>
      <c r="BW83" s="78" t="e">
        <f>BU83/'Alternative 3'!$M84</f>
        <v>#VALUE!</v>
      </c>
      <c r="BX83" s="78" t="e">
        <f t="shared" si="29"/>
        <v>#VALUE!</v>
      </c>
    </row>
    <row r="84" spans="1:76" ht="15" customHeight="1" x14ac:dyDescent="0.25">
      <c r="A84" s="13" t="str">
        <f>IF('Alternative 3'!F85&gt;0,'Alternative 3'!F85,"x")</f>
        <v>x</v>
      </c>
      <c r="B84" s="13" t="e">
        <f t="shared" si="35"/>
        <v>#VALUE!</v>
      </c>
      <c r="C84" s="13">
        <f t="shared" si="30"/>
        <v>0</v>
      </c>
      <c r="D84" s="13" t="str">
        <f t="shared" si="31"/>
        <v>x</v>
      </c>
      <c r="E84" s="74">
        <f>IF($A84&lt;='Alternative 3'!$B$27, IF($A84='Alternative 3'!$B$27,0,E85+1),0)</f>
        <v>0</v>
      </c>
      <c r="F84" s="74">
        <f>IF($A84&lt;=('Alternative 3'!$B$28), IF($A84=ROUNDDOWN('Alternative 3'!$B$28,0),0,F85+1),0)</f>
        <v>0</v>
      </c>
      <c r="G84" s="74">
        <f>IF($A84&lt;=('Alternative 3'!$B$29), IF($A84=ROUNDDOWN('Alternative 3'!$B$29,0),0,G85+1),0)</f>
        <v>0</v>
      </c>
      <c r="H84" s="13" t="e">
        <f t="shared" si="32"/>
        <v>#VALUE!</v>
      </c>
      <c r="J84" s="77">
        <f t="shared" si="33"/>
        <v>81</v>
      </c>
      <c r="K84" s="77">
        <f t="shared" si="34"/>
        <v>1.4137166941154069</v>
      </c>
      <c r="L84" s="78">
        <f>'Alternative 3'!$B$27*SIN(K84)+'Alternative 3'!$B$28*SIN(K84)+'Alternative 3'!$B$29*SIN(K84)</f>
        <v>67.16280716046937</v>
      </c>
      <c r="M84" s="77">
        <f>(('Alternative 3'!$B$27)*(((('Alternative 3'!$B$28-'Alternative 3'!$B$27)/2)+'Alternative 3'!$B$27)*'Alternative 3'!$B$39)*COS('Alternative 3-Tilt Up'!K84))+(('Alternative 3'!$B$28)*((('Alternative 3'!$B$28-'Alternative 3'!$B$27)/2)+(('Alternative 3'!$B$29-'Alternative 3'!$B$28)/2))*('Alternative 3'!$B$39)*COS('Alternative 3-Tilt Up'!K84))+(('Alternative 3'!$B$29)*((('Alternative 3'!$B$12-'Alternative 3'!$B$29+(('Alternative 3'!$B$29-'Alternative 3'!$B$28)/2)*('Alternative 3'!$B$39)*COS('Alternative 3-Tilt Up'!K84)))))</f>
        <v>742620.58561297739</v>
      </c>
      <c r="N84" s="77">
        <f t="shared" si="18"/>
        <v>33171.063733473682</v>
      </c>
      <c r="O84" s="77">
        <f>(((('Alternative 3'!$B$28-'Alternative 3'!$B$27)/2)+'Alternative 3'!$B$27)*('Alternative 3'!$B$39)*COS('Alternative 3-Tilt Up'!K84))+(((('Alternative 3'!$B$28-'Alternative 3'!$B$27)/2)+(('Alternative 3'!$B$29-'Alternative 3'!$B$28)/2))*('Alternative 3'!$B$39)*COS('Alternative 3-Tilt Up'!K84))+(((('Alternative 3'!$B$12-'Alternative 3'!$B$29)+(('Alternative 3'!$B$29-'Alternative 3'!$B$28)/2))*('Alternative 3'!$B$39)*COS('Alternative 3-Tilt Up'!K84)))</f>
        <v>47887.703831049119</v>
      </c>
      <c r="P84" s="77">
        <f t="shared" si="19"/>
        <v>5189.0976099613608</v>
      </c>
      <c r="R84" s="78" t="e">
        <f>'Alternative 3'!$B$39*$B84*$C84*COS($K$5)-($N$5/3)*$E84*SIN($K$5)-($N$5/3)*$F84*SIN($K$5)-($N$5/3)*$G84*SIN($K$5)</f>
        <v>#VALUE!</v>
      </c>
      <c r="S84" s="79" t="e">
        <f>IF(($A84&lt;'Alternative 3'!$B$27),(($H84*'Alternative 3'!$B$39)+(3*($N$5/3)*COS($K$5))),IF(($A84&lt;'Alternative 3'!$B$28),(($H84*'Alternative 3'!$B$39)+(2*(($N$5/3)*COS($K$5)))),IF(($A84&lt;'Alternative 3'!$B$29),(($H$3*'Alternative 3'!$B$39+(($N$5/3)*COS($K$5)))),($H84*'Alternative 3'!$B$39))))</f>
        <v>#VALUE!</v>
      </c>
      <c r="T84" s="78" t="e">
        <f>R84*'Alternative 3'!$K85/'Alternative 3'!$L85</f>
        <v>#VALUE!</v>
      </c>
      <c r="U84" s="78" t="e">
        <f>S84/'Alternative 3'!$M85</f>
        <v>#VALUE!</v>
      </c>
      <c r="V84" s="78" t="e">
        <f t="shared" si="20"/>
        <v>#VALUE!</v>
      </c>
      <c r="X84" s="78" t="e">
        <f>'Alternative 3'!$B$39*$B84*$C84*COS($K$13)-($N$12/3)*$E84*SIN($K$13)-($N$12/3)*$F84*SIN($K$13)-($N$12/3)*$G84*SIN($K$13)</f>
        <v>#VALUE!</v>
      </c>
      <c r="Y84" s="79" t="e">
        <f>IF(($A84&lt;'Alternative 3'!$B$27),(($H84*'Alternative 3'!$B$39)+(3*($N$12/3)*COS($K$13))),IF(($A84&lt;'Alternative 3'!$B$28),(($H84*'Alternative 3'!$B$39)+(2*(($N$12/3)*COS($K$13)))),IF(($A84&lt;'Alternative 3'!$B$29),(($H$3*'Alternative 3'!$B$39+(($N$12/3)*COS($K$13)))),($H84*'Alternative 3'!$B$39))))</f>
        <v>#VALUE!</v>
      </c>
      <c r="Z84" s="78" t="e">
        <f>X84*'Alternative 3'!$K85/'Alternative 3'!$L85</f>
        <v>#VALUE!</v>
      </c>
      <c r="AA84" s="78" t="e">
        <f>Y84/'Alternative 3'!$M85</f>
        <v>#VALUE!</v>
      </c>
      <c r="AB84" s="78" t="e">
        <f t="shared" si="21"/>
        <v>#VALUE!</v>
      </c>
      <c r="AD84" s="78" t="e">
        <f>'Alternative 3'!$B$39*$B84*$C84*COS($K$23)-($N$22/3)*$E84*SIN($K$23)-($N$22/3)*$F84*SIN($K$23)-($N$22/3)*$G84*SIN($K$23)</f>
        <v>#VALUE!</v>
      </c>
      <c r="AE84" s="79" t="e">
        <f>IF(($A84&lt;'Alternative 3'!$B$27),(($H84*'Alternative 3'!$B$39)+(3*($N$22/3)*COS($K$23))),IF(($A84&lt;'Alternative 3'!$B$28),(($H84*'Alternative 3'!$B$39)+(2*(($N$22/3)*COS($K$23)))),IF(($A84&lt;'Alternative 3'!$B$29),(($H$3*'Alternative 3'!$B$39+(($N$22/3)*COS($K$23)))),($H84*'Alternative 3'!$B$39))))</f>
        <v>#VALUE!</v>
      </c>
      <c r="AF84" s="78" t="e">
        <f>AD84*'Alternative 3'!$K85/'Alternative 3'!$L85</f>
        <v>#VALUE!</v>
      </c>
      <c r="AG84" s="78" t="e">
        <f>AE84/'Alternative 3'!$M85</f>
        <v>#VALUE!</v>
      </c>
      <c r="AH84" s="78" t="e">
        <f t="shared" si="22"/>
        <v>#VALUE!</v>
      </c>
      <c r="AJ84" s="78" t="e">
        <f>'Alternative 3'!$B$39*$B84*$C84*COS($K$33)-($N$32/3)*$E84*SIN($K$33)-($N$32/3)*$F84*SIN($K$33)-($N$32/3)*$G84*SIN($K$33)</f>
        <v>#VALUE!</v>
      </c>
      <c r="AK84" s="79" t="e">
        <f>IF(($A84&lt;'Alternative 3'!$B$27),(($H84*'Alternative 3'!$B$39)+(3*($N$32/3)*COS($K$33))),IF(($A84&lt;'Alternative 3'!$B$28),(($H84*'Alternative 3'!$B$39)+(2*(($N$32/3)*COS($K$33)))),IF(($A84&lt;'Alternative 3'!$B$29),(($H$3*'Alternative 3'!$B$39+(($N$32/3)*COS($K$33)))),($H84*'Alternative 3'!$B$39))))</f>
        <v>#VALUE!</v>
      </c>
      <c r="AL84" s="78" t="e">
        <f>AJ84*'Alternative 3'!$K85/'Alternative 3'!$L85</f>
        <v>#VALUE!</v>
      </c>
      <c r="AM84" s="78" t="e">
        <f>AK84/'Alternative 3'!$M85</f>
        <v>#VALUE!</v>
      </c>
      <c r="AN84" s="78" t="e">
        <f t="shared" si="23"/>
        <v>#VALUE!</v>
      </c>
      <c r="AP84" s="78" t="e">
        <f>'Alternative 3'!$B$39*$B84*$C84*COS($K$43)-($N$42/3)*$E84*SIN($K$43)-($N$42/3)*$F84*SIN($K$43)-($N$42/3)*$G84*SIN($K$43)</f>
        <v>#VALUE!</v>
      </c>
      <c r="AQ84" s="79" t="e">
        <f>IF(($A84&lt;'Alternative 3'!$B$27),(($H84*'Alternative 3'!$B$39)+(3*($N$42/3)*COS($K$43))),IF(($A84&lt;'Alternative 3'!$B$28),(($H84*'Alternative 3'!$B$39)+(2*(($N$42/3)*COS($K$43)))),IF(($A84&lt;'Alternative 3'!$B$29),(($H$3*'Alternative 3'!$B$39+(($N$42/3)*COS($K$43)))),($H84*'Alternative 3'!$B$39))))</f>
        <v>#VALUE!</v>
      </c>
      <c r="AR84" s="78" t="e">
        <f>AP84*'Alternative 3'!$K85/'Alternative 3'!$L85</f>
        <v>#VALUE!</v>
      </c>
      <c r="AS84" s="78" t="e">
        <f>AQ84/'Alternative 3'!$M85</f>
        <v>#VALUE!</v>
      </c>
      <c r="AT84" s="78" t="e">
        <f t="shared" si="24"/>
        <v>#VALUE!</v>
      </c>
      <c r="AV84" s="78" t="e">
        <f>'Alternative 3'!$B$39*$B84*$C84*COS($K$53)-($N$52/3)*$E84*SIN($K$53)-($N$52/3)*$F84*SIN($K$53)-($N$52/3)*$G84*SIN($K$53)</f>
        <v>#VALUE!</v>
      </c>
      <c r="AW84" s="79" t="e">
        <f>IF(($A84&lt;'Alternative 3'!$B$27),(($H84*'Alternative 3'!$B$39)+(3*($N$52/3)*COS($K$53))),IF(($A84&lt;'Alternative 3'!$B$28),(($H84*'Alternative 3'!$B$39)+(2*(($N$52/3)*COS($K$53)))),IF(($A84&lt;'Alternative 3'!$B$29),(($H$3*'Alternative 3'!$B$39+(($N$52/3)*COS($K$53)))),($H84*'Alternative 3'!$B$39))))</f>
        <v>#VALUE!</v>
      </c>
      <c r="AX84" s="78" t="e">
        <f>AV84*'Alternative 3'!$K85/'Alternative 3'!$L85</f>
        <v>#VALUE!</v>
      </c>
      <c r="AY84" s="78" t="e">
        <f>AW84/'Alternative 3'!$M85</f>
        <v>#VALUE!</v>
      </c>
      <c r="AZ84" s="78" t="e">
        <f t="shared" si="25"/>
        <v>#VALUE!</v>
      </c>
      <c r="BB84" s="78" t="e">
        <f>'Alternative 3'!$B$39*$B84*$C84*COS($K$63)-($N$62/3)*$E84*SIN($K$63)-($N$62/3)*$F84*SIN($K$63)-($N$62/3)*$G84*SIN($K$63)</f>
        <v>#VALUE!</v>
      </c>
      <c r="BC84" s="79" t="e">
        <f>IF(($A84&lt;'Alternative 3'!$B$27),(($H84*'Alternative 3'!$B$39)+(3*($N$62/3)*COS($K$63))),IF(($A84&lt;'Alternative 3'!$B$28),(($H84*'Alternative 3'!$B$39)+(2*(($N$62/3)*COS($K$63)))),IF(($A84&lt;'Alternative 3'!$B$29),(($H$3*'Alternative 3'!$B$39+(($N$62/3)*COS($K$63)))),($H84*'Alternative 3'!$B$39))))</f>
        <v>#VALUE!</v>
      </c>
      <c r="BD84" s="78" t="e">
        <f>BB84*'Alternative 3'!$K85/'Alternative 3'!$L85</f>
        <v>#VALUE!</v>
      </c>
      <c r="BE84" s="78" t="e">
        <f>BC84/'Alternative 3'!$M85</f>
        <v>#VALUE!</v>
      </c>
      <c r="BF84" s="78" t="e">
        <f t="shared" si="26"/>
        <v>#VALUE!</v>
      </c>
      <c r="BH84" s="78" t="e">
        <f>'Alternative 3'!$B$39*$B84*$C84*COS($K$73)-($N$72/3)*$E84*SIN($K$73)-($N$72/3)*$F84*SIN($K$73)-($N$72/3)*$G84*SIN($K$73)</f>
        <v>#VALUE!</v>
      </c>
      <c r="BI84" s="79" t="e">
        <f>IF(($A84&lt;'Alternative 3'!$B$27),(($H84*'Alternative 3'!$B$39)+(3*($N$72/3)*COS($K$73))),IF(($A84&lt;'Alternative 3'!$B$28),(($H84*'Alternative 3'!$B$39)+(2*(($N$72/3)*COS($K$73)))),IF(($A84&lt;'Alternative 3'!$B$29),(($H$3*'Alternative 3'!$B$39+(($N$72/3)*COS($K$73)))),($H84*'Alternative 3'!$B$39))))</f>
        <v>#VALUE!</v>
      </c>
      <c r="BJ84" s="78" t="e">
        <f>BH84*'Alternative 3'!$K85/'Alternative 3'!$L85</f>
        <v>#VALUE!</v>
      </c>
      <c r="BK84" s="78" t="e">
        <f>BI84/'Alternative 3'!$M85</f>
        <v>#VALUE!</v>
      </c>
      <c r="BL84" s="78" t="e">
        <f t="shared" si="27"/>
        <v>#VALUE!</v>
      </c>
      <c r="BN84" s="78" t="e">
        <f>'Alternative 3'!$B$39*$B84*$C84*COS($K$83)-($N$82/3)*$E84*SIN($K$83)-($N$82/3)*$F84*SIN($K$83)-($N$82/3)*$G84*SIN($K$83)</f>
        <v>#VALUE!</v>
      </c>
      <c r="BO84" s="79" t="e">
        <f>IF(($A84&lt;'Alternative 3'!$B$27),(($H84*'Alternative 3'!$B$39)+(3*($N$82/3)*COS($K$83))),IF(($A84&lt;'Alternative 3'!$B$28),(($H84*'Alternative 3'!$B$39)+(2*(($N$82/3)*COS($K$83)))),IF(($A84&lt;'Alternative 3'!$B$29),(($H$3*'Alternative 3'!$B$39+(($N$82/3)*COS($K$83)))),($H84*'Alternative 3'!$B$39))))</f>
        <v>#VALUE!</v>
      </c>
      <c r="BP84" s="78" t="e">
        <f>BN84*'Alternative 3'!$K85/'Alternative 3'!$L85</f>
        <v>#VALUE!</v>
      </c>
      <c r="BQ84" s="78" t="e">
        <f>BO84/'Alternative 3'!$M85</f>
        <v>#VALUE!</v>
      </c>
      <c r="BR84" s="78" t="e">
        <f t="shared" si="28"/>
        <v>#VALUE!</v>
      </c>
      <c r="BT84" s="78" t="e">
        <f>'Alternative 3'!$B$39*$B84*$C84*COS($K$93)-($K$92/3)*$E84*SIN($K$93)-($K$92/3)*$F84*SIN($K$93)-($K$92/3)*$G84*SIN($K$93)</f>
        <v>#VALUE!</v>
      </c>
      <c r="BU84" s="79" t="e">
        <f>IF(($A84&lt;'Alternative 3'!$B$27),(($H84*'Alternative 3'!$B$39)+(3*($N$92/3)*COS($K$93))),IF(($A84&lt;'Alternative 3'!$B$28),(($H84*'Alternative 3'!$B$39)+(2*(($N$92/3)*COS($K$93)))),IF(($A84&lt;'Alternative 3'!$B$29),(($H$3*'Alternative 3'!$B$39+(($N$92/3)*COS($K$93)))),($H84*'Alternative 3'!$B$39))))</f>
        <v>#VALUE!</v>
      </c>
      <c r="BV84" s="78" t="e">
        <f>BT84*'Alternative 3'!$K85/'Alternative 3'!$L85</f>
        <v>#VALUE!</v>
      </c>
      <c r="BW84" s="78" t="e">
        <f>BU84/'Alternative 3'!$M85</f>
        <v>#VALUE!</v>
      </c>
      <c r="BX84" s="78" t="e">
        <f t="shared" si="29"/>
        <v>#VALUE!</v>
      </c>
    </row>
    <row r="85" spans="1:76" ht="15" customHeight="1" x14ac:dyDescent="0.25">
      <c r="A85" s="13" t="str">
        <f>IF('Alternative 3'!F86&gt;0,'Alternative 3'!F86,"x")</f>
        <v>x</v>
      </c>
      <c r="B85" s="13" t="e">
        <f t="shared" si="35"/>
        <v>#VALUE!</v>
      </c>
      <c r="C85" s="13">
        <f t="shared" si="30"/>
        <v>0</v>
      </c>
      <c r="D85" s="13" t="str">
        <f t="shared" si="31"/>
        <v>x</v>
      </c>
      <c r="E85" s="74">
        <f>IF($A85&lt;='Alternative 3'!$B$27, IF($A85='Alternative 3'!$B$27,0,E86+1),0)</f>
        <v>0</v>
      </c>
      <c r="F85" s="74">
        <f>IF($A85&lt;=('Alternative 3'!$B$28), IF($A85=ROUNDDOWN('Alternative 3'!$B$28,0),0,F86+1),0)</f>
        <v>0</v>
      </c>
      <c r="G85" s="74">
        <f>IF($A85&lt;=('Alternative 3'!$B$29), IF($A85=ROUNDDOWN('Alternative 3'!$B$29,0),0,G86+1),0)</f>
        <v>0</v>
      </c>
      <c r="H85" s="13" t="e">
        <f t="shared" si="32"/>
        <v>#VALUE!</v>
      </c>
      <c r="J85" s="77">
        <f t="shared" si="33"/>
        <v>82</v>
      </c>
      <c r="K85" s="77">
        <f t="shared" si="34"/>
        <v>1.43116998663535</v>
      </c>
      <c r="L85" s="78">
        <f>'Alternative 3'!$B$27*SIN(K85)+'Alternative 3'!$B$28*SIN(K85)+'Alternative 3'!$B$29*SIN(K85)</f>
        <v>67.338228674426773</v>
      </c>
      <c r="M85" s="77">
        <f>(('Alternative 3'!$B$27)*(((('Alternative 3'!$B$28-'Alternative 3'!$B$27)/2)+'Alternative 3'!$B$27)*'Alternative 3'!$B$39)*COS('Alternative 3-Tilt Up'!K85))+(('Alternative 3'!$B$28)*((('Alternative 3'!$B$28-'Alternative 3'!$B$27)/2)+(('Alternative 3'!$B$29-'Alternative 3'!$B$28)/2))*('Alternative 3'!$B$39)*COS('Alternative 3-Tilt Up'!K85))+(('Alternative 3'!$B$29)*((('Alternative 3'!$B$12-'Alternative 3'!$B$29+(('Alternative 3'!$B$29-'Alternative 3'!$B$28)/2)*('Alternative 3'!$B$39)*COS('Alternative 3-Tilt Up'!K85)))))</f>
        <v>660699.58796867402</v>
      </c>
      <c r="N85" s="77">
        <f t="shared" si="18"/>
        <v>29434.970341873119</v>
      </c>
      <c r="O85" s="77">
        <f>(((('Alternative 3'!$B$28-'Alternative 3'!$B$27)/2)+'Alternative 3'!$B$27)*('Alternative 3'!$B$39)*COS('Alternative 3-Tilt Up'!K85))+(((('Alternative 3'!$B$28-'Alternative 3'!$B$27)/2)+(('Alternative 3'!$B$29-'Alternative 3'!$B$28)/2))*('Alternative 3'!$B$39)*COS('Alternative 3-Tilt Up'!K85))+(((('Alternative 3'!$B$12-'Alternative 3'!$B$29)+(('Alternative 3'!$B$29-'Alternative 3'!$B$28)/2))*('Alternative 3'!$B$39)*COS('Alternative 3-Tilt Up'!K85)))</f>
        <v>42603.656670608616</v>
      </c>
      <c r="P85" s="77">
        <f t="shared" si="19"/>
        <v>4096.556099146047</v>
      </c>
      <c r="R85" s="78" t="e">
        <f>'Alternative 3'!$B$39*$B85*$C85*COS($K$5)-($N$5/3)*$E85*SIN($K$5)-($N$5/3)*$F85*SIN($K$5)-($N$5/3)*$G85*SIN($K$5)</f>
        <v>#VALUE!</v>
      </c>
      <c r="S85" s="79" t="e">
        <f>IF(($A85&lt;'Alternative 3'!$B$27),(($H85*'Alternative 3'!$B$39)+(3*($N$5/3)*COS($K$5))),IF(($A85&lt;'Alternative 3'!$B$28),(($H85*'Alternative 3'!$B$39)+(2*(($N$5/3)*COS($K$5)))),IF(($A85&lt;'Alternative 3'!$B$29),(($H$3*'Alternative 3'!$B$39+(($N$5/3)*COS($K$5)))),($H85*'Alternative 3'!$B$39))))</f>
        <v>#VALUE!</v>
      </c>
      <c r="T85" s="78" t="e">
        <f>R85*'Alternative 3'!$K86/'Alternative 3'!$L86</f>
        <v>#VALUE!</v>
      </c>
      <c r="U85" s="78" t="e">
        <f>S85/'Alternative 3'!$M86</f>
        <v>#VALUE!</v>
      </c>
      <c r="V85" s="78" t="e">
        <f t="shared" si="20"/>
        <v>#VALUE!</v>
      </c>
      <c r="X85" s="78" t="e">
        <f>'Alternative 3'!$B$39*$B85*$C85*COS($K$13)-($N$12/3)*$E85*SIN($K$13)-($N$12/3)*$F85*SIN($K$13)-($N$12/3)*$G85*SIN($K$13)</f>
        <v>#VALUE!</v>
      </c>
      <c r="Y85" s="79" t="e">
        <f>IF(($A85&lt;'Alternative 3'!$B$27),(($H85*'Alternative 3'!$B$39)+(3*($N$12/3)*COS($K$13))),IF(($A85&lt;'Alternative 3'!$B$28),(($H85*'Alternative 3'!$B$39)+(2*(($N$12/3)*COS($K$13)))),IF(($A85&lt;'Alternative 3'!$B$29),(($H$3*'Alternative 3'!$B$39+(($N$12/3)*COS($K$13)))),($H85*'Alternative 3'!$B$39))))</f>
        <v>#VALUE!</v>
      </c>
      <c r="Z85" s="78" t="e">
        <f>X85*'Alternative 3'!$K86/'Alternative 3'!$L86</f>
        <v>#VALUE!</v>
      </c>
      <c r="AA85" s="78" t="e">
        <f>Y85/'Alternative 3'!$M86</f>
        <v>#VALUE!</v>
      </c>
      <c r="AB85" s="78" t="e">
        <f t="shared" si="21"/>
        <v>#VALUE!</v>
      </c>
      <c r="AD85" s="78" t="e">
        <f>'Alternative 3'!$B$39*$B85*$C85*COS($K$23)-($N$22/3)*$E85*SIN($K$23)-($N$22/3)*$F85*SIN($K$23)-($N$22/3)*$G85*SIN($K$23)</f>
        <v>#VALUE!</v>
      </c>
      <c r="AE85" s="79" t="e">
        <f>IF(($A85&lt;'Alternative 3'!$B$27),(($H85*'Alternative 3'!$B$39)+(3*($N$22/3)*COS($K$23))),IF(($A85&lt;'Alternative 3'!$B$28),(($H85*'Alternative 3'!$B$39)+(2*(($N$22/3)*COS($K$23)))),IF(($A85&lt;'Alternative 3'!$B$29),(($H$3*'Alternative 3'!$B$39+(($N$22/3)*COS($K$23)))),($H85*'Alternative 3'!$B$39))))</f>
        <v>#VALUE!</v>
      </c>
      <c r="AF85" s="78" t="e">
        <f>AD85*'Alternative 3'!$K86/'Alternative 3'!$L86</f>
        <v>#VALUE!</v>
      </c>
      <c r="AG85" s="78" t="e">
        <f>AE85/'Alternative 3'!$M86</f>
        <v>#VALUE!</v>
      </c>
      <c r="AH85" s="78" t="e">
        <f t="shared" si="22"/>
        <v>#VALUE!</v>
      </c>
      <c r="AJ85" s="78" t="e">
        <f>'Alternative 3'!$B$39*$B85*$C85*COS($K$33)-($N$32/3)*$E85*SIN($K$33)-($N$32/3)*$F85*SIN($K$33)-($N$32/3)*$G85*SIN($K$33)</f>
        <v>#VALUE!</v>
      </c>
      <c r="AK85" s="79" t="e">
        <f>IF(($A85&lt;'Alternative 3'!$B$27),(($H85*'Alternative 3'!$B$39)+(3*($N$32/3)*COS($K$33))),IF(($A85&lt;'Alternative 3'!$B$28),(($H85*'Alternative 3'!$B$39)+(2*(($N$32/3)*COS($K$33)))),IF(($A85&lt;'Alternative 3'!$B$29),(($H$3*'Alternative 3'!$B$39+(($N$32/3)*COS($K$33)))),($H85*'Alternative 3'!$B$39))))</f>
        <v>#VALUE!</v>
      </c>
      <c r="AL85" s="78" t="e">
        <f>AJ85*'Alternative 3'!$K86/'Alternative 3'!$L86</f>
        <v>#VALUE!</v>
      </c>
      <c r="AM85" s="78" t="e">
        <f>AK85/'Alternative 3'!$M86</f>
        <v>#VALUE!</v>
      </c>
      <c r="AN85" s="78" t="e">
        <f t="shared" si="23"/>
        <v>#VALUE!</v>
      </c>
      <c r="AP85" s="78" t="e">
        <f>'Alternative 3'!$B$39*$B85*$C85*COS($K$43)-($N$42/3)*$E85*SIN($K$43)-($N$42/3)*$F85*SIN($K$43)-($N$42/3)*$G85*SIN($K$43)</f>
        <v>#VALUE!</v>
      </c>
      <c r="AQ85" s="79" t="e">
        <f>IF(($A85&lt;'Alternative 3'!$B$27),(($H85*'Alternative 3'!$B$39)+(3*($N$42/3)*COS($K$43))),IF(($A85&lt;'Alternative 3'!$B$28),(($H85*'Alternative 3'!$B$39)+(2*(($N$42/3)*COS($K$43)))),IF(($A85&lt;'Alternative 3'!$B$29),(($H$3*'Alternative 3'!$B$39+(($N$42/3)*COS($K$43)))),($H85*'Alternative 3'!$B$39))))</f>
        <v>#VALUE!</v>
      </c>
      <c r="AR85" s="78" t="e">
        <f>AP85*'Alternative 3'!$K86/'Alternative 3'!$L86</f>
        <v>#VALUE!</v>
      </c>
      <c r="AS85" s="78" t="e">
        <f>AQ85/'Alternative 3'!$M86</f>
        <v>#VALUE!</v>
      </c>
      <c r="AT85" s="78" t="e">
        <f t="shared" si="24"/>
        <v>#VALUE!</v>
      </c>
      <c r="AV85" s="78" t="e">
        <f>'Alternative 3'!$B$39*$B85*$C85*COS($K$53)-($N$52/3)*$E85*SIN($K$53)-($N$52/3)*$F85*SIN($K$53)-($N$52/3)*$G85*SIN($K$53)</f>
        <v>#VALUE!</v>
      </c>
      <c r="AW85" s="79" t="e">
        <f>IF(($A85&lt;'Alternative 3'!$B$27),(($H85*'Alternative 3'!$B$39)+(3*($N$52/3)*COS($K$53))),IF(($A85&lt;'Alternative 3'!$B$28),(($H85*'Alternative 3'!$B$39)+(2*(($N$52/3)*COS($K$53)))),IF(($A85&lt;'Alternative 3'!$B$29),(($H$3*'Alternative 3'!$B$39+(($N$52/3)*COS($K$53)))),($H85*'Alternative 3'!$B$39))))</f>
        <v>#VALUE!</v>
      </c>
      <c r="AX85" s="78" t="e">
        <f>AV85*'Alternative 3'!$K86/'Alternative 3'!$L86</f>
        <v>#VALUE!</v>
      </c>
      <c r="AY85" s="78" t="e">
        <f>AW85/'Alternative 3'!$M86</f>
        <v>#VALUE!</v>
      </c>
      <c r="AZ85" s="78" t="e">
        <f t="shared" si="25"/>
        <v>#VALUE!</v>
      </c>
      <c r="BB85" s="78" t="e">
        <f>'Alternative 3'!$B$39*$B85*$C85*COS($K$63)-($N$62/3)*$E85*SIN($K$63)-($N$62/3)*$F85*SIN($K$63)-($N$62/3)*$G85*SIN($K$63)</f>
        <v>#VALUE!</v>
      </c>
      <c r="BC85" s="79" t="e">
        <f>IF(($A85&lt;'Alternative 3'!$B$27),(($H85*'Alternative 3'!$B$39)+(3*($N$62/3)*COS($K$63))),IF(($A85&lt;'Alternative 3'!$B$28),(($H85*'Alternative 3'!$B$39)+(2*(($N$62/3)*COS($K$63)))),IF(($A85&lt;'Alternative 3'!$B$29),(($H$3*'Alternative 3'!$B$39+(($N$62/3)*COS($K$63)))),($H85*'Alternative 3'!$B$39))))</f>
        <v>#VALUE!</v>
      </c>
      <c r="BD85" s="78" t="e">
        <f>BB85*'Alternative 3'!$K86/'Alternative 3'!$L86</f>
        <v>#VALUE!</v>
      </c>
      <c r="BE85" s="78" t="e">
        <f>BC85/'Alternative 3'!$M86</f>
        <v>#VALUE!</v>
      </c>
      <c r="BF85" s="78" t="e">
        <f t="shared" si="26"/>
        <v>#VALUE!</v>
      </c>
      <c r="BH85" s="78" t="e">
        <f>'Alternative 3'!$B$39*$B85*$C85*COS($K$73)-($N$72/3)*$E85*SIN($K$73)-($N$72/3)*$F85*SIN($K$73)-($N$72/3)*$G85*SIN($K$73)</f>
        <v>#VALUE!</v>
      </c>
      <c r="BI85" s="79" t="e">
        <f>IF(($A85&lt;'Alternative 3'!$B$27),(($H85*'Alternative 3'!$B$39)+(3*($N$72/3)*COS($K$73))),IF(($A85&lt;'Alternative 3'!$B$28),(($H85*'Alternative 3'!$B$39)+(2*(($N$72/3)*COS($K$73)))),IF(($A85&lt;'Alternative 3'!$B$29),(($H$3*'Alternative 3'!$B$39+(($N$72/3)*COS($K$73)))),($H85*'Alternative 3'!$B$39))))</f>
        <v>#VALUE!</v>
      </c>
      <c r="BJ85" s="78" t="e">
        <f>BH85*'Alternative 3'!$K86/'Alternative 3'!$L86</f>
        <v>#VALUE!</v>
      </c>
      <c r="BK85" s="78" t="e">
        <f>BI85/'Alternative 3'!$M86</f>
        <v>#VALUE!</v>
      </c>
      <c r="BL85" s="78" t="e">
        <f t="shared" si="27"/>
        <v>#VALUE!</v>
      </c>
      <c r="BN85" s="78" t="e">
        <f>'Alternative 3'!$B$39*$B85*$C85*COS($K$83)-($N$82/3)*$E85*SIN($K$83)-($N$82/3)*$F85*SIN($K$83)-($N$82/3)*$G85*SIN($K$83)</f>
        <v>#VALUE!</v>
      </c>
      <c r="BO85" s="79" t="e">
        <f>IF(($A85&lt;'Alternative 3'!$B$27),(($H85*'Alternative 3'!$B$39)+(3*($N$82/3)*COS($K$83))),IF(($A85&lt;'Alternative 3'!$B$28),(($H85*'Alternative 3'!$B$39)+(2*(($N$82/3)*COS($K$83)))),IF(($A85&lt;'Alternative 3'!$B$29),(($H$3*'Alternative 3'!$B$39+(($N$82/3)*COS($K$83)))),($H85*'Alternative 3'!$B$39))))</f>
        <v>#VALUE!</v>
      </c>
      <c r="BP85" s="78" t="e">
        <f>BN85*'Alternative 3'!$K86/'Alternative 3'!$L86</f>
        <v>#VALUE!</v>
      </c>
      <c r="BQ85" s="78" t="e">
        <f>BO85/'Alternative 3'!$M86</f>
        <v>#VALUE!</v>
      </c>
      <c r="BR85" s="78" t="e">
        <f t="shared" si="28"/>
        <v>#VALUE!</v>
      </c>
      <c r="BT85" s="78" t="e">
        <f>'Alternative 3'!$B$39*$B85*$C85*COS($K$93)-($K$92/3)*$E85*SIN($K$93)-($K$92/3)*$F85*SIN($K$93)-($K$92/3)*$G85*SIN($K$93)</f>
        <v>#VALUE!</v>
      </c>
      <c r="BU85" s="79" t="e">
        <f>IF(($A85&lt;'Alternative 3'!$B$27),(($H85*'Alternative 3'!$B$39)+(3*($N$92/3)*COS($K$93))),IF(($A85&lt;'Alternative 3'!$B$28),(($H85*'Alternative 3'!$B$39)+(2*(($N$92/3)*COS($K$93)))),IF(($A85&lt;'Alternative 3'!$B$29),(($H$3*'Alternative 3'!$B$39+(($N$92/3)*COS($K$93)))),($H85*'Alternative 3'!$B$39))))</f>
        <v>#VALUE!</v>
      </c>
      <c r="BV85" s="78" t="e">
        <f>BT85*'Alternative 3'!$K86/'Alternative 3'!$L86</f>
        <v>#VALUE!</v>
      </c>
      <c r="BW85" s="78" t="e">
        <f>BU85/'Alternative 3'!$M86</f>
        <v>#VALUE!</v>
      </c>
      <c r="BX85" s="78" t="e">
        <f t="shared" si="29"/>
        <v>#VALUE!</v>
      </c>
    </row>
    <row r="86" spans="1:76" ht="15" customHeight="1" x14ac:dyDescent="0.25">
      <c r="A86" s="13" t="str">
        <f>IF('Alternative 3'!F87&gt;0,'Alternative 3'!F87,"x")</f>
        <v>x</v>
      </c>
      <c r="B86" s="13" t="e">
        <f t="shared" si="35"/>
        <v>#VALUE!</v>
      </c>
      <c r="C86" s="13">
        <f t="shared" si="30"/>
        <v>0</v>
      </c>
      <c r="D86" s="13" t="str">
        <f t="shared" si="31"/>
        <v>x</v>
      </c>
      <c r="E86" s="74">
        <f>IF($A86&lt;='Alternative 3'!$B$27, IF($A86='Alternative 3'!$B$27,0,E87+1),0)</f>
        <v>0</v>
      </c>
      <c r="F86" s="74">
        <f>IF($A86&lt;=('Alternative 3'!$B$28), IF($A86=ROUNDDOWN('Alternative 3'!$B$28,0),0,F87+1),0)</f>
        <v>0</v>
      </c>
      <c r="G86" s="74">
        <f>IF($A86&lt;=('Alternative 3'!$B$29), IF($A86=ROUNDDOWN('Alternative 3'!$B$29,0),0,G87+1),0)</f>
        <v>0</v>
      </c>
      <c r="H86" s="13" t="e">
        <f t="shared" si="32"/>
        <v>#VALUE!</v>
      </c>
      <c r="J86" s="77">
        <f t="shared" si="33"/>
        <v>83</v>
      </c>
      <c r="K86" s="77">
        <f t="shared" si="34"/>
        <v>1.4486232791552935</v>
      </c>
      <c r="L86" s="78">
        <f>'Alternative 3'!$B$27*SIN(K86)+'Alternative 3'!$B$28*SIN(K86)+'Alternative 3'!$B$29*SIN(K86)</f>
        <v>67.493138311609897</v>
      </c>
      <c r="M86" s="77">
        <f>(('Alternative 3'!$B$27)*(((('Alternative 3'!$B$28-'Alternative 3'!$B$27)/2)+'Alternative 3'!$B$27)*'Alternative 3'!$B$39)*COS('Alternative 3-Tilt Up'!K86))+(('Alternative 3'!$B$28)*((('Alternative 3'!$B$28-'Alternative 3'!$B$27)/2)+(('Alternative 3'!$B$29-'Alternative 3'!$B$28)/2))*('Alternative 3'!$B$39)*COS('Alternative 3-Tilt Up'!K86))+(('Alternative 3'!$B$29)*((('Alternative 3'!$B$12-'Alternative 3'!$B$29+(('Alternative 3'!$B$29-'Alternative 3'!$B$28)/2)*('Alternative 3'!$B$39)*COS('Alternative 3-Tilt Up'!K86)))))</f>
        <v>578577.3944206608</v>
      </c>
      <c r="N86" s="77">
        <f t="shared" si="18"/>
        <v>25717.16513237626</v>
      </c>
      <c r="O86" s="77">
        <f>(((('Alternative 3'!$B$28-'Alternative 3'!$B$27)/2)+'Alternative 3'!$B$27)*('Alternative 3'!$B$39)*COS('Alternative 3-Tilt Up'!K86))+(((('Alternative 3'!$B$28-'Alternative 3'!$B$27)/2)+(('Alternative 3'!$B$29-'Alternative 3'!$B$28)/2))*('Alternative 3'!$B$39)*COS('Alternative 3-Tilt Up'!K86))+(((('Alternative 3'!$B$12-'Alternative 3'!$B$29)+(('Alternative 3'!$B$29-'Alternative 3'!$B$28)/2))*('Alternative 3'!$B$39)*COS('Alternative 3-Tilt Up'!K86)))</f>
        <v>37306.632023635219</v>
      </c>
      <c r="P86" s="77">
        <f t="shared" si="19"/>
        <v>3134.1340289244476</v>
      </c>
      <c r="R86" s="78" t="e">
        <f>'Alternative 3'!$B$39*$B86*$C86*COS($K$5)-($N$5/3)*$E86*SIN($K$5)-($N$5/3)*$F86*SIN($K$5)-($N$5/3)*$G86*SIN($K$5)</f>
        <v>#VALUE!</v>
      </c>
      <c r="S86" s="79" t="e">
        <f>IF(($A86&lt;'Alternative 3'!$B$27),(($H86*'Alternative 3'!$B$39)+(3*($N$5/3)*COS($K$5))),IF(($A86&lt;'Alternative 3'!$B$28),(($H86*'Alternative 3'!$B$39)+(2*(($N$5/3)*COS($K$5)))),IF(($A86&lt;'Alternative 3'!$B$29),(($H$3*'Alternative 3'!$B$39+(($N$5/3)*COS($K$5)))),($H86*'Alternative 3'!$B$39))))</f>
        <v>#VALUE!</v>
      </c>
      <c r="T86" s="78" t="e">
        <f>R86*'Alternative 3'!$K87/'Alternative 3'!$L87</f>
        <v>#VALUE!</v>
      </c>
      <c r="U86" s="78" t="e">
        <f>S86/'Alternative 3'!$M87</f>
        <v>#VALUE!</v>
      </c>
      <c r="V86" s="78" t="e">
        <f t="shared" si="20"/>
        <v>#VALUE!</v>
      </c>
      <c r="X86" s="78" t="e">
        <f>'Alternative 3'!$B$39*$B86*$C86*COS($K$13)-($N$12/3)*$E86*SIN($K$13)-($N$12/3)*$F86*SIN($K$13)-($N$12/3)*$G86*SIN($K$13)</f>
        <v>#VALUE!</v>
      </c>
      <c r="Y86" s="79" t="e">
        <f>IF(($A86&lt;'Alternative 3'!$B$27),(($H86*'Alternative 3'!$B$39)+(3*($N$12/3)*COS($K$13))),IF(($A86&lt;'Alternative 3'!$B$28),(($H86*'Alternative 3'!$B$39)+(2*(($N$12/3)*COS($K$13)))),IF(($A86&lt;'Alternative 3'!$B$29),(($H$3*'Alternative 3'!$B$39+(($N$12/3)*COS($K$13)))),($H86*'Alternative 3'!$B$39))))</f>
        <v>#VALUE!</v>
      </c>
      <c r="Z86" s="78" t="e">
        <f>X86*'Alternative 3'!$K87/'Alternative 3'!$L87</f>
        <v>#VALUE!</v>
      </c>
      <c r="AA86" s="78" t="e">
        <f>Y86/'Alternative 3'!$M87</f>
        <v>#VALUE!</v>
      </c>
      <c r="AB86" s="78" t="e">
        <f t="shared" si="21"/>
        <v>#VALUE!</v>
      </c>
      <c r="AD86" s="78" t="e">
        <f>'Alternative 3'!$B$39*$B86*$C86*COS($K$23)-($N$22/3)*$E86*SIN($K$23)-($N$22/3)*$F86*SIN($K$23)-($N$22/3)*$G86*SIN($K$23)</f>
        <v>#VALUE!</v>
      </c>
      <c r="AE86" s="79" t="e">
        <f>IF(($A86&lt;'Alternative 3'!$B$27),(($H86*'Alternative 3'!$B$39)+(3*($N$22/3)*COS($K$23))),IF(($A86&lt;'Alternative 3'!$B$28),(($H86*'Alternative 3'!$B$39)+(2*(($N$22/3)*COS($K$23)))),IF(($A86&lt;'Alternative 3'!$B$29),(($H$3*'Alternative 3'!$B$39+(($N$22/3)*COS($K$23)))),($H86*'Alternative 3'!$B$39))))</f>
        <v>#VALUE!</v>
      </c>
      <c r="AF86" s="78" t="e">
        <f>AD86*'Alternative 3'!$K87/'Alternative 3'!$L87</f>
        <v>#VALUE!</v>
      </c>
      <c r="AG86" s="78" t="e">
        <f>AE86/'Alternative 3'!$M87</f>
        <v>#VALUE!</v>
      </c>
      <c r="AH86" s="78" t="e">
        <f t="shared" si="22"/>
        <v>#VALUE!</v>
      </c>
      <c r="AJ86" s="78" t="e">
        <f>'Alternative 3'!$B$39*$B86*$C86*COS($K$33)-($N$32/3)*$E86*SIN($K$33)-($N$32/3)*$F86*SIN($K$33)-($N$32/3)*$G86*SIN($K$33)</f>
        <v>#VALUE!</v>
      </c>
      <c r="AK86" s="79" t="e">
        <f>IF(($A86&lt;'Alternative 3'!$B$27),(($H86*'Alternative 3'!$B$39)+(3*($N$32/3)*COS($K$33))),IF(($A86&lt;'Alternative 3'!$B$28),(($H86*'Alternative 3'!$B$39)+(2*(($N$32/3)*COS($K$33)))),IF(($A86&lt;'Alternative 3'!$B$29),(($H$3*'Alternative 3'!$B$39+(($N$32/3)*COS($K$33)))),($H86*'Alternative 3'!$B$39))))</f>
        <v>#VALUE!</v>
      </c>
      <c r="AL86" s="78" t="e">
        <f>AJ86*'Alternative 3'!$K87/'Alternative 3'!$L87</f>
        <v>#VALUE!</v>
      </c>
      <c r="AM86" s="78" t="e">
        <f>AK86/'Alternative 3'!$M87</f>
        <v>#VALUE!</v>
      </c>
      <c r="AN86" s="78" t="e">
        <f t="shared" si="23"/>
        <v>#VALUE!</v>
      </c>
      <c r="AP86" s="78" t="e">
        <f>'Alternative 3'!$B$39*$B86*$C86*COS($K$43)-($N$42/3)*$E86*SIN($K$43)-($N$42/3)*$F86*SIN($K$43)-($N$42/3)*$G86*SIN($K$43)</f>
        <v>#VALUE!</v>
      </c>
      <c r="AQ86" s="79" t="e">
        <f>IF(($A86&lt;'Alternative 3'!$B$27),(($H86*'Alternative 3'!$B$39)+(3*($N$42/3)*COS($K$43))),IF(($A86&lt;'Alternative 3'!$B$28),(($H86*'Alternative 3'!$B$39)+(2*(($N$42/3)*COS($K$43)))),IF(($A86&lt;'Alternative 3'!$B$29),(($H$3*'Alternative 3'!$B$39+(($N$42/3)*COS($K$43)))),($H86*'Alternative 3'!$B$39))))</f>
        <v>#VALUE!</v>
      </c>
      <c r="AR86" s="78" t="e">
        <f>AP86*'Alternative 3'!$K87/'Alternative 3'!$L87</f>
        <v>#VALUE!</v>
      </c>
      <c r="AS86" s="78" t="e">
        <f>AQ86/'Alternative 3'!$M87</f>
        <v>#VALUE!</v>
      </c>
      <c r="AT86" s="78" t="e">
        <f t="shared" si="24"/>
        <v>#VALUE!</v>
      </c>
      <c r="AV86" s="78" t="e">
        <f>'Alternative 3'!$B$39*$B86*$C86*COS($K$53)-($N$52/3)*$E86*SIN($K$53)-($N$52/3)*$F86*SIN($K$53)-($N$52/3)*$G86*SIN($K$53)</f>
        <v>#VALUE!</v>
      </c>
      <c r="AW86" s="79" t="e">
        <f>IF(($A86&lt;'Alternative 3'!$B$27),(($H86*'Alternative 3'!$B$39)+(3*($N$52/3)*COS($K$53))),IF(($A86&lt;'Alternative 3'!$B$28),(($H86*'Alternative 3'!$B$39)+(2*(($N$52/3)*COS($K$53)))),IF(($A86&lt;'Alternative 3'!$B$29),(($H$3*'Alternative 3'!$B$39+(($N$52/3)*COS($K$53)))),($H86*'Alternative 3'!$B$39))))</f>
        <v>#VALUE!</v>
      </c>
      <c r="AX86" s="78" t="e">
        <f>AV86*'Alternative 3'!$K87/'Alternative 3'!$L87</f>
        <v>#VALUE!</v>
      </c>
      <c r="AY86" s="78" t="e">
        <f>AW86/'Alternative 3'!$M87</f>
        <v>#VALUE!</v>
      </c>
      <c r="AZ86" s="78" t="e">
        <f t="shared" si="25"/>
        <v>#VALUE!</v>
      </c>
      <c r="BB86" s="78" t="e">
        <f>'Alternative 3'!$B$39*$B86*$C86*COS($K$63)-($N$62/3)*$E86*SIN($K$63)-($N$62/3)*$F86*SIN($K$63)-($N$62/3)*$G86*SIN($K$63)</f>
        <v>#VALUE!</v>
      </c>
      <c r="BC86" s="79" t="e">
        <f>IF(($A86&lt;'Alternative 3'!$B$27),(($H86*'Alternative 3'!$B$39)+(3*($N$62/3)*COS($K$63))),IF(($A86&lt;'Alternative 3'!$B$28),(($H86*'Alternative 3'!$B$39)+(2*(($N$62/3)*COS($K$63)))),IF(($A86&lt;'Alternative 3'!$B$29),(($H$3*'Alternative 3'!$B$39+(($N$62/3)*COS($K$63)))),($H86*'Alternative 3'!$B$39))))</f>
        <v>#VALUE!</v>
      </c>
      <c r="BD86" s="78" t="e">
        <f>BB86*'Alternative 3'!$K87/'Alternative 3'!$L87</f>
        <v>#VALUE!</v>
      </c>
      <c r="BE86" s="78" t="e">
        <f>BC86/'Alternative 3'!$M87</f>
        <v>#VALUE!</v>
      </c>
      <c r="BF86" s="78" t="e">
        <f t="shared" si="26"/>
        <v>#VALUE!</v>
      </c>
      <c r="BH86" s="78" t="e">
        <f>'Alternative 3'!$B$39*$B86*$C86*COS($K$73)-($N$72/3)*$E86*SIN($K$73)-($N$72/3)*$F86*SIN($K$73)-($N$72/3)*$G86*SIN($K$73)</f>
        <v>#VALUE!</v>
      </c>
      <c r="BI86" s="79" t="e">
        <f>IF(($A86&lt;'Alternative 3'!$B$27),(($H86*'Alternative 3'!$B$39)+(3*($N$72/3)*COS($K$73))),IF(($A86&lt;'Alternative 3'!$B$28),(($H86*'Alternative 3'!$B$39)+(2*(($N$72/3)*COS($K$73)))),IF(($A86&lt;'Alternative 3'!$B$29),(($H$3*'Alternative 3'!$B$39+(($N$72/3)*COS($K$73)))),($H86*'Alternative 3'!$B$39))))</f>
        <v>#VALUE!</v>
      </c>
      <c r="BJ86" s="78" t="e">
        <f>BH86*'Alternative 3'!$K87/'Alternative 3'!$L87</f>
        <v>#VALUE!</v>
      </c>
      <c r="BK86" s="78" t="e">
        <f>BI86/'Alternative 3'!$M87</f>
        <v>#VALUE!</v>
      </c>
      <c r="BL86" s="78" t="e">
        <f t="shared" si="27"/>
        <v>#VALUE!</v>
      </c>
      <c r="BN86" s="78" t="e">
        <f>'Alternative 3'!$B$39*$B86*$C86*COS($K$83)-($N$82/3)*$E86*SIN($K$83)-($N$82/3)*$F86*SIN($K$83)-($N$82/3)*$G86*SIN($K$83)</f>
        <v>#VALUE!</v>
      </c>
      <c r="BO86" s="79" t="e">
        <f>IF(($A86&lt;'Alternative 3'!$B$27),(($H86*'Alternative 3'!$B$39)+(3*($N$82/3)*COS($K$83))),IF(($A86&lt;'Alternative 3'!$B$28),(($H86*'Alternative 3'!$B$39)+(2*(($N$82/3)*COS($K$83)))),IF(($A86&lt;'Alternative 3'!$B$29),(($H$3*'Alternative 3'!$B$39+(($N$82/3)*COS($K$83)))),($H86*'Alternative 3'!$B$39))))</f>
        <v>#VALUE!</v>
      </c>
      <c r="BP86" s="78" t="e">
        <f>BN86*'Alternative 3'!$K87/'Alternative 3'!$L87</f>
        <v>#VALUE!</v>
      </c>
      <c r="BQ86" s="78" t="e">
        <f>BO86/'Alternative 3'!$M87</f>
        <v>#VALUE!</v>
      </c>
      <c r="BR86" s="78" t="e">
        <f t="shared" si="28"/>
        <v>#VALUE!</v>
      </c>
      <c r="BT86" s="78" t="e">
        <f>'Alternative 3'!$B$39*$B86*$C86*COS($K$93)-($K$92/3)*$E86*SIN($K$93)-($K$92/3)*$F86*SIN($K$93)-($K$92/3)*$G86*SIN($K$93)</f>
        <v>#VALUE!</v>
      </c>
      <c r="BU86" s="79" t="e">
        <f>IF(($A86&lt;'Alternative 3'!$B$27),(($H86*'Alternative 3'!$B$39)+(3*($N$92/3)*COS($K$93))),IF(($A86&lt;'Alternative 3'!$B$28),(($H86*'Alternative 3'!$B$39)+(2*(($N$92/3)*COS($K$93)))),IF(($A86&lt;'Alternative 3'!$B$29),(($H$3*'Alternative 3'!$B$39+(($N$92/3)*COS($K$93)))),($H86*'Alternative 3'!$B$39))))</f>
        <v>#VALUE!</v>
      </c>
      <c r="BV86" s="78" t="e">
        <f>BT86*'Alternative 3'!$K87/'Alternative 3'!$L87</f>
        <v>#VALUE!</v>
      </c>
      <c r="BW86" s="78" t="e">
        <f>BU86/'Alternative 3'!$M87</f>
        <v>#VALUE!</v>
      </c>
      <c r="BX86" s="78" t="e">
        <f t="shared" si="29"/>
        <v>#VALUE!</v>
      </c>
    </row>
    <row r="87" spans="1:76" ht="15" customHeight="1" x14ac:dyDescent="0.25">
      <c r="A87" s="13" t="str">
        <f>IF('Alternative 3'!F88&gt;0,'Alternative 3'!F88,"x")</f>
        <v>x</v>
      </c>
      <c r="B87" s="13" t="e">
        <f t="shared" si="35"/>
        <v>#VALUE!</v>
      </c>
      <c r="C87" s="13">
        <f t="shared" si="30"/>
        <v>0</v>
      </c>
      <c r="D87" s="13" t="str">
        <f t="shared" si="31"/>
        <v>x</v>
      </c>
      <c r="E87" s="74">
        <f>IF($A87&lt;='Alternative 3'!$B$27, IF($A87='Alternative 3'!$B$27,0,E88+1),0)</f>
        <v>0</v>
      </c>
      <c r="F87" s="74">
        <f>IF($A87&lt;=('Alternative 3'!$B$28), IF($A87=ROUNDDOWN('Alternative 3'!$B$28,0),0,F88+1),0)</f>
        <v>0</v>
      </c>
      <c r="G87" s="74">
        <f>IF($A87&lt;=('Alternative 3'!$B$29), IF($A87=ROUNDDOWN('Alternative 3'!$B$29,0),0,G88+1),0)</f>
        <v>0</v>
      </c>
      <c r="H87" s="13" t="e">
        <f t="shared" si="32"/>
        <v>#VALUE!</v>
      </c>
      <c r="J87" s="77">
        <f t="shared" si="33"/>
        <v>84</v>
      </c>
      <c r="K87" s="77">
        <f t="shared" si="34"/>
        <v>1.4660765716752369</v>
      </c>
      <c r="L87" s="78">
        <f>'Alternative 3'!$B$27*SIN(K87)+'Alternative 3'!$B$28*SIN(K87)+'Alternative 3'!$B$29*SIN(K87)</f>
        <v>67.627488885042581</v>
      </c>
      <c r="M87" s="77">
        <f>(('Alternative 3'!$B$27)*(((('Alternative 3'!$B$28-'Alternative 3'!$B$27)/2)+'Alternative 3'!$B$27)*'Alternative 3'!$B$39)*COS('Alternative 3-Tilt Up'!K87))+(('Alternative 3'!$B$28)*((('Alternative 3'!$B$28-'Alternative 3'!$B$27)/2)+(('Alternative 3'!$B$29-'Alternative 3'!$B$28)/2))*('Alternative 3'!$B$39)*COS('Alternative 3-Tilt Up'!K87))+(('Alternative 3'!$B$29)*((('Alternative 3'!$B$12-'Alternative 3'!$B$29+(('Alternative 3'!$B$29-'Alternative 3'!$B$28)/2)*('Alternative 3'!$B$39)*COS('Alternative 3-Tilt Up'!K87)))))</f>
        <v>496279.02018463134</v>
      </c>
      <c r="N87" s="77">
        <f t="shared" si="18"/>
        <v>22015.264578058071</v>
      </c>
      <c r="O87" s="77">
        <f>(((('Alternative 3'!$B$28-'Alternative 3'!$B$27)/2)+'Alternative 3'!$B$27)*('Alternative 3'!$B$39)*COS('Alternative 3-Tilt Up'!K87))+(((('Alternative 3'!$B$28-'Alternative 3'!$B$27)/2)+(('Alternative 3'!$B$29-'Alternative 3'!$B$28)/2))*('Alternative 3'!$B$39)*COS('Alternative 3-Tilt Up'!K87))+(((('Alternative 3'!$B$12-'Alternative 3'!$B$29)+(('Alternative 3'!$B$29-'Alternative 3'!$B$28)/2))*('Alternative 3'!$B$39)*COS('Alternative 3-Tilt Up'!K87)))</f>
        <v>31998.243415150027</v>
      </c>
      <c r="P87" s="77">
        <f t="shared" si="19"/>
        <v>2301.2217747752156</v>
      </c>
      <c r="R87" s="78" t="e">
        <f>'Alternative 3'!$B$39*$B87*$C87*COS($K$5)-($N$5/3)*$E87*SIN($K$5)-($N$5/3)*$F87*SIN($K$5)-($N$5/3)*$G87*SIN($K$5)</f>
        <v>#VALUE!</v>
      </c>
      <c r="S87" s="79" t="e">
        <f>IF(($A87&lt;'Alternative 3'!$B$27),(($H87*'Alternative 3'!$B$39)+(3*($N$5/3)*COS($K$5))),IF(($A87&lt;'Alternative 3'!$B$28),(($H87*'Alternative 3'!$B$39)+(2*(($N$5/3)*COS($K$5)))),IF(($A87&lt;'Alternative 3'!$B$29),(($H$3*'Alternative 3'!$B$39+(($N$5/3)*COS($K$5)))),($H87*'Alternative 3'!$B$39))))</f>
        <v>#VALUE!</v>
      </c>
      <c r="T87" s="78" t="e">
        <f>R87*'Alternative 3'!$K88/'Alternative 3'!$L88</f>
        <v>#VALUE!</v>
      </c>
      <c r="U87" s="78" t="e">
        <f>S87/'Alternative 3'!$M88</f>
        <v>#VALUE!</v>
      </c>
      <c r="V87" s="78" t="e">
        <f t="shared" si="20"/>
        <v>#VALUE!</v>
      </c>
      <c r="X87" s="78" t="e">
        <f>'Alternative 3'!$B$39*$B87*$C87*COS($K$13)-($N$12/3)*$E87*SIN($K$13)-($N$12/3)*$F87*SIN($K$13)-($N$12/3)*$G87*SIN($K$13)</f>
        <v>#VALUE!</v>
      </c>
      <c r="Y87" s="79" t="e">
        <f>IF(($A87&lt;'Alternative 3'!$B$27),(($H87*'Alternative 3'!$B$39)+(3*($N$12/3)*COS($K$13))),IF(($A87&lt;'Alternative 3'!$B$28),(($H87*'Alternative 3'!$B$39)+(2*(($N$12/3)*COS($K$13)))),IF(($A87&lt;'Alternative 3'!$B$29),(($H$3*'Alternative 3'!$B$39+(($N$12/3)*COS($K$13)))),($H87*'Alternative 3'!$B$39))))</f>
        <v>#VALUE!</v>
      </c>
      <c r="Z87" s="78" t="e">
        <f>X87*'Alternative 3'!$K88/'Alternative 3'!$L88</f>
        <v>#VALUE!</v>
      </c>
      <c r="AA87" s="78" t="e">
        <f>Y87/'Alternative 3'!$M88</f>
        <v>#VALUE!</v>
      </c>
      <c r="AB87" s="78" t="e">
        <f t="shared" si="21"/>
        <v>#VALUE!</v>
      </c>
      <c r="AD87" s="78" t="e">
        <f>'Alternative 3'!$B$39*$B87*$C87*COS($K$23)-($N$22/3)*$E87*SIN($K$23)-($N$22/3)*$F87*SIN($K$23)-($N$22/3)*$G87*SIN($K$23)</f>
        <v>#VALUE!</v>
      </c>
      <c r="AE87" s="79" t="e">
        <f>IF(($A87&lt;'Alternative 3'!$B$27),(($H87*'Alternative 3'!$B$39)+(3*($N$22/3)*COS($K$23))),IF(($A87&lt;'Alternative 3'!$B$28),(($H87*'Alternative 3'!$B$39)+(2*(($N$22/3)*COS($K$23)))),IF(($A87&lt;'Alternative 3'!$B$29),(($H$3*'Alternative 3'!$B$39+(($N$22/3)*COS($K$23)))),($H87*'Alternative 3'!$B$39))))</f>
        <v>#VALUE!</v>
      </c>
      <c r="AF87" s="78" t="e">
        <f>AD87*'Alternative 3'!$K88/'Alternative 3'!$L88</f>
        <v>#VALUE!</v>
      </c>
      <c r="AG87" s="78" t="e">
        <f>AE87/'Alternative 3'!$M88</f>
        <v>#VALUE!</v>
      </c>
      <c r="AH87" s="78" t="e">
        <f t="shared" si="22"/>
        <v>#VALUE!</v>
      </c>
      <c r="AJ87" s="78" t="e">
        <f>'Alternative 3'!$B$39*$B87*$C87*COS($K$33)-($N$32/3)*$E87*SIN($K$33)-($N$32/3)*$F87*SIN($K$33)-($N$32/3)*$G87*SIN($K$33)</f>
        <v>#VALUE!</v>
      </c>
      <c r="AK87" s="79" t="e">
        <f>IF(($A87&lt;'Alternative 3'!$B$27),(($H87*'Alternative 3'!$B$39)+(3*($N$32/3)*COS($K$33))),IF(($A87&lt;'Alternative 3'!$B$28),(($H87*'Alternative 3'!$B$39)+(2*(($N$32/3)*COS($K$33)))),IF(($A87&lt;'Alternative 3'!$B$29),(($H$3*'Alternative 3'!$B$39+(($N$32/3)*COS($K$33)))),($H87*'Alternative 3'!$B$39))))</f>
        <v>#VALUE!</v>
      </c>
      <c r="AL87" s="78" t="e">
        <f>AJ87*'Alternative 3'!$K88/'Alternative 3'!$L88</f>
        <v>#VALUE!</v>
      </c>
      <c r="AM87" s="78" t="e">
        <f>AK87/'Alternative 3'!$M88</f>
        <v>#VALUE!</v>
      </c>
      <c r="AN87" s="78" t="e">
        <f t="shared" si="23"/>
        <v>#VALUE!</v>
      </c>
      <c r="AP87" s="78" t="e">
        <f>'Alternative 3'!$B$39*$B87*$C87*COS($K$43)-($N$42/3)*$E87*SIN($K$43)-($N$42/3)*$F87*SIN($K$43)-($N$42/3)*$G87*SIN($K$43)</f>
        <v>#VALUE!</v>
      </c>
      <c r="AQ87" s="79" t="e">
        <f>IF(($A87&lt;'Alternative 3'!$B$27),(($H87*'Alternative 3'!$B$39)+(3*($N$42/3)*COS($K$43))),IF(($A87&lt;'Alternative 3'!$B$28),(($H87*'Alternative 3'!$B$39)+(2*(($N$42/3)*COS($K$43)))),IF(($A87&lt;'Alternative 3'!$B$29),(($H$3*'Alternative 3'!$B$39+(($N$42/3)*COS($K$43)))),($H87*'Alternative 3'!$B$39))))</f>
        <v>#VALUE!</v>
      </c>
      <c r="AR87" s="78" t="e">
        <f>AP87*'Alternative 3'!$K88/'Alternative 3'!$L88</f>
        <v>#VALUE!</v>
      </c>
      <c r="AS87" s="78" t="e">
        <f>AQ87/'Alternative 3'!$M88</f>
        <v>#VALUE!</v>
      </c>
      <c r="AT87" s="78" t="e">
        <f t="shared" si="24"/>
        <v>#VALUE!</v>
      </c>
      <c r="AV87" s="78" t="e">
        <f>'Alternative 3'!$B$39*$B87*$C87*COS($K$53)-($N$52/3)*$E87*SIN($K$53)-($N$52/3)*$F87*SIN($K$53)-($N$52/3)*$G87*SIN($K$53)</f>
        <v>#VALUE!</v>
      </c>
      <c r="AW87" s="79" t="e">
        <f>IF(($A87&lt;'Alternative 3'!$B$27),(($H87*'Alternative 3'!$B$39)+(3*($N$52/3)*COS($K$53))),IF(($A87&lt;'Alternative 3'!$B$28),(($H87*'Alternative 3'!$B$39)+(2*(($N$52/3)*COS($K$53)))),IF(($A87&lt;'Alternative 3'!$B$29),(($H$3*'Alternative 3'!$B$39+(($N$52/3)*COS($K$53)))),($H87*'Alternative 3'!$B$39))))</f>
        <v>#VALUE!</v>
      </c>
      <c r="AX87" s="78" t="e">
        <f>AV87*'Alternative 3'!$K88/'Alternative 3'!$L88</f>
        <v>#VALUE!</v>
      </c>
      <c r="AY87" s="78" t="e">
        <f>AW87/'Alternative 3'!$M88</f>
        <v>#VALUE!</v>
      </c>
      <c r="AZ87" s="78" t="e">
        <f t="shared" si="25"/>
        <v>#VALUE!</v>
      </c>
      <c r="BB87" s="78" t="e">
        <f>'Alternative 3'!$B$39*$B87*$C87*COS($K$63)-($N$62/3)*$E87*SIN($K$63)-($N$62/3)*$F87*SIN($K$63)-($N$62/3)*$G87*SIN($K$63)</f>
        <v>#VALUE!</v>
      </c>
      <c r="BC87" s="79" t="e">
        <f>IF(($A87&lt;'Alternative 3'!$B$27),(($H87*'Alternative 3'!$B$39)+(3*($N$62/3)*COS($K$63))),IF(($A87&lt;'Alternative 3'!$B$28),(($H87*'Alternative 3'!$B$39)+(2*(($N$62/3)*COS($K$63)))),IF(($A87&lt;'Alternative 3'!$B$29),(($H$3*'Alternative 3'!$B$39+(($N$62/3)*COS($K$63)))),($H87*'Alternative 3'!$B$39))))</f>
        <v>#VALUE!</v>
      </c>
      <c r="BD87" s="78" t="e">
        <f>BB87*'Alternative 3'!$K88/'Alternative 3'!$L88</f>
        <v>#VALUE!</v>
      </c>
      <c r="BE87" s="78" t="e">
        <f>BC87/'Alternative 3'!$M88</f>
        <v>#VALUE!</v>
      </c>
      <c r="BF87" s="78" t="e">
        <f t="shared" si="26"/>
        <v>#VALUE!</v>
      </c>
      <c r="BH87" s="78" t="e">
        <f>'Alternative 3'!$B$39*$B87*$C87*COS($K$73)-($N$72/3)*$E87*SIN($K$73)-($N$72/3)*$F87*SIN($K$73)-($N$72/3)*$G87*SIN($K$73)</f>
        <v>#VALUE!</v>
      </c>
      <c r="BI87" s="79" t="e">
        <f>IF(($A87&lt;'Alternative 3'!$B$27),(($H87*'Alternative 3'!$B$39)+(3*($N$72/3)*COS($K$73))),IF(($A87&lt;'Alternative 3'!$B$28),(($H87*'Alternative 3'!$B$39)+(2*(($N$72/3)*COS($K$73)))),IF(($A87&lt;'Alternative 3'!$B$29),(($H$3*'Alternative 3'!$B$39+(($N$72/3)*COS($K$73)))),($H87*'Alternative 3'!$B$39))))</f>
        <v>#VALUE!</v>
      </c>
      <c r="BJ87" s="78" t="e">
        <f>BH87*'Alternative 3'!$K88/'Alternative 3'!$L88</f>
        <v>#VALUE!</v>
      </c>
      <c r="BK87" s="78" t="e">
        <f>BI87/'Alternative 3'!$M88</f>
        <v>#VALUE!</v>
      </c>
      <c r="BL87" s="78" t="e">
        <f t="shared" si="27"/>
        <v>#VALUE!</v>
      </c>
      <c r="BN87" s="78" t="e">
        <f>'Alternative 3'!$B$39*$B87*$C87*COS($K$83)-($N$82/3)*$E87*SIN($K$83)-($N$82/3)*$F87*SIN($K$83)-($N$82/3)*$G87*SIN($K$83)</f>
        <v>#VALUE!</v>
      </c>
      <c r="BO87" s="79" t="e">
        <f>IF(($A87&lt;'Alternative 3'!$B$27),(($H87*'Alternative 3'!$B$39)+(3*($N$82/3)*COS($K$83))),IF(($A87&lt;'Alternative 3'!$B$28),(($H87*'Alternative 3'!$B$39)+(2*(($N$82/3)*COS($K$83)))),IF(($A87&lt;'Alternative 3'!$B$29),(($H$3*'Alternative 3'!$B$39+(($N$82/3)*COS($K$83)))),($H87*'Alternative 3'!$B$39))))</f>
        <v>#VALUE!</v>
      </c>
      <c r="BP87" s="78" t="e">
        <f>BN87*'Alternative 3'!$K88/'Alternative 3'!$L88</f>
        <v>#VALUE!</v>
      </c>
      <c r="BQ87" s="78" t="e">
        <f>BO87/'Alternative 3'!$M88</f>
        <v>#VALUE!</v>
      </c>
      <c r="BR87" s="78" t="e">
        <f t="shared" si="28"/>
        <v>#VALUE!</v>
      </c>
      <c r="BT87" s="78" t="e">
        <f>'Alternative 3'!$B$39*$B87*$C87*COS($K$93)-($K$92/3)*$E87*SIN($K$93)-($K$92/3)*$F87*SIN($K$93)-($K$92/3)*$G87*SIN($K$93)</f>
        <v>#VALUE!</v>
      </c>
      <c r="BU87" s="79" t="e">
        <f>IF(($A87&lt;'Alternative 3'!$B$27),(($H87*'Alternative 3'!$B$39)+(3*($N$92/3)*COS($K$93))),IF(($A87&lt;'Alternative 3'!$B$28),(($H87*'Alternative 3'!$B$39)+(2*(($N$92/3)*COS($K$93)))),IF(($A87&lt;'Alternative 3'!$B$29),(($H$3*'Alternative 3'!$B$39+(($N$92/3)*COS($K$93)))),($H87*'Alternative 3'!$B$39))))</f>
        <v>#VALUE!</v>
      </c>
      <c r="BV87" s="78" t="e">
        <f>BT87*'Alternative 3'!$K88/'Alternative 3'!$L88</f>
        <v>#VALUE!</v>
      </c>
      <c r="BW87" s="78" t="e">
        <f>BU87/'Alternative 3'!$M88</f>
        <v>#VALUE!</v>
      </c>
      <c r="BX87" s="78" t="e">
        <f t="shared" si="29"/>
        <v>#VALUE!</v>
      </c>
    </row>
    <row r="88" spans="1:76" ht="15" customHeight="1" x14ac:dyDescent="0.25">
      <c r="A88" s="13" t="str">
        <f>IF('Alternative 3'!F89&gt;0,'Alternative 3'!F89,"x")</f>
        <v>x</v>
      </c>
      <c r="B88" s="13" t="e">
        <f t="shared" si="35"/>
        <v>#VALUE!</v>
      </c>
      <c r="C88" s="13">
        <f t="shared" si="30"/>
        <v>0</v>
      </c>
      <c r="D88" s="13" t="str">
        <f t="shared" si="31"/>
        <v>x</v>
      </c>
      <c r="E88" s="74">
        <f>IF($A88&lt;='Alternative 3'!$B$27, IF($A88='Alternative 3'!$B$27,0,E89+1),0)</f>
        <v>0</v>
      </c>
      <c r="F88" s="74">
        <f>IF($A88&lt;=('Alternative 3'!$B$28), IF($A88=ROUNDDOWN('Alternative 3'!$B$28,0),0,F89+1),0)</f>
        <v>0</v>
      </c>
      <c r="G88" s="74">
        <f>IF($A88&lt;=('Alternative 3'!$B$29), IF($A88=ROUNDDOWN('Alternative 3'!$B$29,0),0,G89+1),0)</f>
        <v>0</v>
      </c>
      <c r="H88" s="13" t="e">
        <f t="shared" si="32"/>
        <v>#VALUE!</v>
      </c>
      <c r="J88" s="77">
        <f t="shared" si="33"/>
        <v>85</v>
      </c>
      <c r="K88" s="77">
        <f t="shared" si="34"/>
        <v>1.4835298641951802</v>
      </c>
      <c r="L88" s="78">
        <f>'Alternative 3'!$B$27*SIN(K88)+'Alternative 3'!$B$28*SIN(K88)+'Alternative 3'!$B$29*SIN(K88)</f>
        <v>67.741239470238696</v>
      </c>
      <c r="M88" s="77">
        <f>(('Alternative 3'!$B$27)*(((('Alternative 3'!$B$28-'Alternative 3'!$B$27)/2)+'Alternative 3'!$B$27)*'Alternative 3'!$B$39)*COS('Alternative 3-Tilt Up'!K88))+(('Alternative 3'!$B$28)*((('Alternative 3'!$B$28-'Alternative 3'!$B$27)/2)+(('Alternative 3'!$B$29-'Alternative 3'!$B$28)/2))*('Alternative 3'!$B$39)*COS('Alternative 3-Tilt Up'!K88))+(('Alternative 3'!$B$29)*((('Alternative 3'!$B$12-'Alternative 3'!$B$29+(('Alternative 3'!$B$29-'Alternative 3'!$B$28)/2)*('Alternative 3'!$B$39)*COS('Alternative 3-Tilt Up'!K88)))))</f>
        <v>413829.534142619</v>
      </c>
      <c r="N88" s="77">
        <f t="shared" si="18"/>
        <v>18326.924811780129</v>
      </c>
      <c r="O88" s="77">
        <f>(((('Alternative 3'!$B$28-'Alternative 3'!$B$27)/2)+'Alternative 3'!$B$27)*('Alternative 3'!$B$39)*COS('Alternative 3-Tilt Up'!K88))+(((('Alternative 3'!$B$28-'Alternative 3'!$B$27)/2)+(('Alternative 3'!$B$29-'Alternative 3'!$B$28)/2))*('Alternative 3'!$B$39)*COS('Alternative 3-Tilt Up'!K88))+(((('Alternative 3'!$B$12-'Alternative 3'!$B$29)+(('Alternative 3'!$B$29-'Alternative 3'!$B$28)/2))*('Alternative 3'!$B$39)*COS('Alternative 3-Tilt Up'!K88)))</f>
        <v>26680.107831746638</v>
      </c>
      <c r="P88" s="77">
        <f t="shared" si="19"/>
        <v>1597.296744251182</v>
      </c>
      <c r="R88" s="78" t="e">
        <f>'Alternative 3'!$B$39*$B88*$C88*COS($K$5)-($N$5/3)*$E88*SIN($K$5)-($N$5/3)*$F88*SIN($K$5)-($N$5/3)*$G88*SIN($K$5)</f>
        <v>#VALUE!</v>
      </c>
      <c r="S88" s="79" t="e">
        <f>IF(($A88&lt;'Alternative 3'!$B$27),(($H88*'Alternative 3'!$B$39)+(3*($N$5/3)*COS($K$5))),IF(($A88&lt;'Alternative 3'!$B$28),(($H88*'Alternative 3'!$B$39)+(2*(($N$5/3)*COS($K$5)))),IF(($A88&lt;'Alternative 3'!$B$29),(($H$3*'Alternative 3'!$B$39+(($N$5/3)*COS($K$5)))),($H88*'Alternative 3'!$B$39))))</f>
        <v>#VALUE!</v>
      </c>
      <c r="T88" s="78" t="e">
        <f>R88*'Alternative 3'!$K89/'Alternative 3'!$L89</f>
        <v>#VALUE!</v>
      </c>
      <c r="U88" s="78" t="e">
        <f>S88/'Alternative 3'!$M89</f>
        <v>#VALUE!</v>
      </c>
      <c r="V88" s="78" t="e">
        <f t="shared" si="20"/>
        <v>#VALUE!</v>
      </c>
      <c r="X88" s="78" t="e">
        <f>'Alternative 3'!$B$39*$B88*$C88*COS($K$13)-($N$12/3)*$E88*SIN($K$13)-($N$12/3)*$F88*SIN($K$13)-($N$12/3)*$G88*SIN($K$13)</f>
        <v>#VALUE!</v>
      </c>
      <c r="Y88" s="79" t="e">
        <f>IF(($A88&lt;'Alternative 3'!$B$27),(($H88*'Alternative 3'!$B$39)+(3*($N$12/3)*COS($K$13))),IF(($A88&lt;'Alternative 3'!$B$28),(($H88*'Alternative 3'!$B$39)+(2*(($N$12/3)*COS($K$13)))),IF(($A88&lt;'Alternative 3'!$B$29),(($H$3*'Alternative 3'!$B$39+(($N$12/3)*COS($K$13)))),($H88*'Alternative 3'!$B$39))))</f>
        <v>#VALUE!</v>
      </c>
      <c r="Z88" s="78" t="e">
        <f>X88*'Alternative 3'!$K89/'Alternative 3'!$L89</f>
        <v>#VALUE!</v>
      </c>
      <c r="AA88" s="78" t="e">
        <f>Y88/'Alternative 3'!$M89</f>
        <v>#VALUE!</v>
      </c>
      <c r="AB88" s="78" t="e">
        <f t="shared" si="21"/>
        <v>#VALUE!</v>
      </c>
      <c r="AD88" s="78" t="e">
        <f>'Alternative 3'!$B$39*$B88*$C88*COS($K$23)-($N$22/3)*$E88*SIN($K$23)-($N$22/3)*$F88*SIN($K$23)-($N$22/3)*$G88*SIN($K$23)</f>
        <v>#VALUE!</v>
      </c>
      <c r="AE88" s="79" t="e">
        <f>IF(($A88&lt;'Alternative 3'!$B$27),(($H88*'Alternative 3'!$B$39)+(3*($N$22/3)*COS($K$23))),IF(($A88&lt;'Alternative 3'!$B$28),(($H88*'Alternative 3'!$B$39)+(2*(($N$22/3)*COS($K$23)))),IF(($A88&lt;'Alternative 3'!$B$29),(($H$3*'Alternative 3'!$B$39+(($N$22/3)*COS($K$23)))),($H88*'Alternative 3'!$B$39))))</f>
        <v>#VALUE!</v>
      </c>
      <c r="AF88" s="78" t="e">
        <f>AD88*'Alternative 3'!$K89/'Alternative 3'!$L89</f>
        <v>#VALUE!</v>
      </c>
      <c r="AG88" s="78" t="e">
        <f>AE88/'Alternative 3'!$M89</f>
        <v>#VALUE!</v>
      </c>
      <c r="AH88" s="78" t="e">
        <f t="shared" si="22"/>
        <v>#VALUE!</v>
      </c>
      <c r="AJ88" s="78" t="e">
        <f>'Alternative 3'!$B$39*$B88*$C88*COS($K$33)-($N$32/3)*$E88*SIN($K$33)-($N$32/3)*$F88*SIN($K$33)-($N$32/3)*$G88*SIN($K$33)</f>
        <v>#VALUE!</v>
      </c>
      <c r="AK88" s="79" t="e">
        <f>IF(($A88&lt;'Alternative 3'!$B$27),(($H88*'Alternative 3'!$B$39)+(3*($N$32/3)*COS($K$33))),IF(($A88&lt;'Alternative 3'!$B$28),(($H88*'Alternative 3'!$B$39)+(2*(($N$32/3)*COS($K$33)))),IF(($A88&lt;'Alternative 3'!$B$29),(($H$3*'Alternative 3'!$B$39+(($N$32/3)*COS($K$33)))),($H88*'Alternative 3'!$B$39))))</f>
        <v>#VALUE!</v>
      </c>
      <c r="AL88" s="78" t="e">
        <f>AJ88*'Alternative 3'!$K89/'Alternative 3'!$L89</f>
        <v>#VALUE!</v>
      </c>
      <c r="AM88" s="78" t="e">
        <f>AK88/'Alternative 3'!$M89</f>
        <v>#VALUE!</v>
      </c>
      <c r="AN88" s="78" t="e">
        <f t="shared" si="23"/>
        <v>#VALUE!</v>
      </c>
      <c r="AP88" s="78" t="e">
        <f>'Alternative 3'!$B$39*$B88*$C88*COS($K$43)-($N$42/3)*$E88*SIN($K$43)-($N$42/3)*$F88*SIN($K$43)-($N$42/3)*$G88*SIN($K$43)</f>
        <v>#VALUE!</v>
      </c>
      <c r="AQ88" s="79" t="e">
        <f>IF(($A88&lt;'Alternative 3'!$B$27),(($H88*'Alternative 3'!$B$39)+(3*($N$42/3)*COS($K$43))),IF(($A88&lt;'Alternative 3'!$B$28),(($H88*'Alternative 3'!$B$39)+(2*(($N$42/3)*COS($K$43)))),IF(($A88&lt;'Alternative 3'!$B$29),(($H$3*'Alternative 3'!$B$39+(($N$42/3)*COS($K$43)))),($H88*'Alternative 3'!$B$39))))</f>
        <v>#VALUE!</v>
      </c>
      <c r="AR88" s="78" t="e">
        <f>AP88*'Alternative 3'!$K89/'Alternative 3'!$L89</f>
        <v>#VALUE!</v>
      </c>
      <c r="AS88" s="78" t="e">
        <f>AQ88/'Alternative 3'!$M89</f>
        <v>#VALUE!</v>
      </c>
      <c r="AT88" s="78" t="e">
        <f t="shared" si="24"/>
        <v>#VALUE!</v>
      </c>
      <c r="AV88" s="78" t="e">
        <f>'Alternative 3'!$B$39*$B88*$C88*COS($K$53)-($N$52/3)*$E88*SIN($K$53)-($N$52/3)*$F88*SIN($K$53)-($N$52/3)*$G88*SIN($K$53)</f>
        <v>#VALUE!</v>
      </c>
      <c r="AW88" s="79" t="e">
        <f>IF(($A88&lt;'Alternative 3'!$B$27),(($H88*'Alternative 3'!$B$39)+(3*($N$52/3)*COS($K$53))),IF(($A88&lt;'Alternative 3'!$B$28),(($H88*'Alternative 3'!$B$39)+(2*(($N$52/3)*COS($K$53)))),IF(($A88&lt;'Alternative 3'!$B$29),(($H$3*'Alternative 3'!$B$39+(($N$52/3)*COS($K$53)))),($H88*'Alternative 3'!$B$39))))</f>
        <v>#VALUE!</v>
      </c>
      <c r="AX88" s="78" t="e">
        <f>AV88*'Alternative 3'!$K89/'Alternative 3'!$L89</f>
        <v>#VALUE!</v>
      </c>
      <c r="AY88" s="78" t="e">
        <f>AW88/'Alternative 3'!$M89</f>
        <v>#VALUE!</v>
      </c>
      <c r="AZ88" s="78" t="e">
        <f t="shared" si="25"/>
        <v>#VALUE!</v>
      </c>
      <c r="BB88" s="78" t="e">
        <f>'Alternative 3'!$B$39*$B88*$C88*COS($K$63)-($N$62/3)*$E88*SIN($K$63)-($N$62/3)*$F88*SIN($K$63)-($N$62/3)*$G88*SIN($K$63)</f>
        <v>#VALUE!</v>
      </c>
      <c r="BC88" s="79" t="e">
        <f>IF(($A88&lt;'Alternative 3'!$B$27),(($H88*'Alternative 3'!$B$39)+(3*($N$62/3)*COS($K$63))),IF(($A88&lt;'Alternative 3'!$B$28),(($H88*'Alternative 3'!$B$39)+(2*(($N$62/3)*COS($K$63)))),IF(($A88&lt;'Alternative 3'!$B$29),(($H$3*'Alternative 3'!$B$39+(($N$62/3)*COS($K$63)))),($H88*'Alternative 3'!$B$39))))</f>
        <v>#VALUE!</v>
      </c>
      <c r="BD88" s="78" t="e">
        <f>BB88*'Alternative 3'!$K89/'Alternative 3'!$L89</f>
        <v>#VALUE!</v>
      </c>
      <c r="BE88" s="78" t="e">
        <f>BC88/'Alternative 3'!$M89</f>
        <v>#VALUE!</v>
      </c>
      <c r="BF88" s="78" t="e">
        <f t="shared" si="26"/>
        <v>#VALUE!</v>
      </c>
      <c r="BH88" s="78" t="e">
        <f>'Alternative 3'!$B$39*$B88*$C88*COS($K$73)-($N$72/3)*$E88*SIN($K$73)-($N$72/3)*$F88*SIN($K$73)-($N$72/3)*$G88*SIN($K$73)</f>
        <v>#VALUE!</v>
      </c>
      <c r="BI88" s="79" t="e">
        <f>IF(($A88&lt;'Alternative 3'!$B$27),(($H88*'Alternative 3'!$B$39)+(3*($N$72/3)*COS($K$73))),IF(($A88&lt;'Alternative 3'!$B$28),(($H88*'Alternative 3'!$B$39)+(2*(($N$72/3)*COS($K$73)))),IF(($A88&lt;'Alternative 3'!$B$29),(($H$3*'Alternative 3'!$B$39+(($N$72/3)*COS($K$73)))),($H88*'Alternative 3'!$B$39))))</f>
        <v>#VALUE!</v>
      </c>
      <c r="BJ88" s="78" t="e">
        <f>BH88*'Alternative 3'!$K89/'Alternative 3'!$L89</f>
        <v>#VALUE!</v>
      </c>
      <c r="BK88" s="78" t="e">
        <f>BI88/'Alternative 3'!$M89</f>
        <v>#VALUE!</v>
      </c>
      <c r="BL88" s="78" t="e">
        <f t="shared" si="27"/>
        <v>#VALUE!</v>
      </c>
      <c r="BN88" s="78" t="e">
        <f>'Alternative 3'!$B$39*$B88*$C88*COS($K$83)-($N$82/3)*$E88*SIN($K$83)-($N$82/3)*$F88*SIN($K$83)-($N$82/3)*$G88*SIN($K$83)</f>
        <v>#VALUE!</v>
      </c>
      <c r="BO88" s="79" t="e">
        <f>IF(($A88&lt;'Alternative 3'!$B$27),(($H88*'Alternative 3'!$B$39)+(3*($N$82/3)*COS($K$83))),IF(($A88&lt;'Alternative 3'!$B$28),(($H88*'Alternative 3'!$B$39)+(2*(($N$82/3)*COS($K$83)))),IF(($A88&lt;'Alternative 3'!$B$29),(($H$3*'Alternative 3'!$B$39+(($N$82/3)*COS($K$83)))),($H88*'Alternative 3'!$B$39))))</f>
        <v>#VALUE!</v>
      </c>
      <c r="BP88" s="78" t="e">
        <f>BN88*'Alternative 3'!$K89/'Alternative 3'!$L89</f>
        <v>#VALUE!</v>
      </c>
      <c r="BQ88" s="78" t="e">
        <f>BO88/'Alternative 3'!$M89</f>
        <v>#VALUE!</v>
      </c>
      <c r="BR88" s="78" t="e">
        <f t="shared" si="28"/>
        <v>#VALUE!</v>
      </c>
      <c r="BT88" s="78" t="e">
        <f>'Alternative 3'!$B$39*$B88*$C88*COS($K$93)-($K$92/3)*$E88*SIN($K$93)-($K$92/3)*$F88*SIN($K$93)-($K$92/3)*$G88*SIN($K$93)</f>
        <v>#VALUE!</v>
      </c>
      <c r="BU88" s="79" t="e">
        <f>IF(($A88&lt;'Alternative 3'!$B$27),(($H88*'Alternative 3'!$B$39)+(3*($N$92/3)*COS($K$93))),IF(($A88&lt;'Alternative 3'!$B$28),(($H88*'Alternative 3'!$B$39)+(2*(($N$92/3)*COS($K$93)))),IF(($A88&lt;'Alternative 3'!$B$29),(($H$3*'Alternative 3'!$B$39+(($N$92/3)*COS($K$93)))),($H88*'Alternative 3'!$B$39))))</f>
        <v>#VALUE!</v>
      </c>
      <c r="BV88" s="78" t="e">
        <f>BT88*'Alternative 3'!$K89/'Alternative 3'!$L89</f>
        <v>#VALUE!</v>
      </c>
      <c r="BW88" s="78" t="e">
        <f>BU88/'Alternative 3'!$M89</f>
        <v>#VALUE!</v>
      </c>
      <c r="BX88" s="78" t="e">
        <f t="shared" si="29"/>
        <v>#VALUE!</v>
      </c>
    </row>
    <row r="89" spans="1:76" ht="15" customHeight="1" x14ac:dyDescent="0.25">
      <c r="A89" s="13" t="str">
        <f>IF('Alternative 3'!F90&gt;0,'Alternative 3'!F90,"x")</f>
        <v>x</v>
      </c>
      <c r="B89" s="13" t="e">
        <f t="shared" si="35"/>
        <v>#VALUE!</v>
      </c>
      <c r="C89" s="13">
        <f t="shared" si="30"/>
        <v>0</v>
      </c>
      <c r="D89" s="13" t="str">
        <f t="shared" si="31"/>
        <v>x</v>
      </c>
      <c r="E89" s="74">
        <f>IF($A89&lt;='Alternative 3'!$B$27, IF($A89='Alternative 3'!$B$27,0,E90+1),0)</f>
        <v>0</v>
      </c>
      <c r="F89" s="74">
        <f>IF($A89&lt;=('Alternative 3'!$B$28), IF($A89=ROUNDDOWN('Alternative 3'!$B$28,0),0,F90+1),0)</f>
        <v>0</v>
      </c>
      <c r="G89" s="74">
        <f>IF($A89&lt;=('Alternative 3'!$B$29), IF($A89=ROUNDDOWN('Alternative 3'!$B$29,0),0,G90+1),0)</f>
        <v>0</v>
      </c>
      <c r="H89" s="13" t="e">
        <f t="shared" si="32"/>
        <v>#VALUE!</v>
      </c>
      <c r="J89" s="77">
        <f t="shared" si="33"/>
        <v>86</v>
      </c>
      <c r="K89" s="77">
        <f t="shared" si="34"/>
        <v>1.5009831567151233</v>
      </c>
      <c r="L89" s="78">
        <f>'Alternative 3'!$B$27*SIN(K89)+'Alternative 3'!$B$28*SIN(K89)+'Alternative 3'!$B$29*SIN(K89)</f>
        <v>67.83435541766805</v>
      </c>
      <c r="M89" s="77">
        <f>(('Alternative 3'!$B$27)*(((('Alternative 3'!$B$28-'Alternative 3'!$B$27)/2)+'Alternative 3'!$B$27)*'Alternative 3'!$B$39)*COS('Alternative 3-Tilt Up'!K89))+(('Alternative 3'!$B$28)*((('Alternative 3'!$B$28-'Alternative 3'!$B$27)/2)+(('Alternative 3'!$B$29-'Alternative 3'!$B$28)/2))*('Alternative 3'!$B$39)*COS('Alternative 3-Tilt Up'!K89))+(('Alternative 3'!$B$29)*((('Alternative 3'!$B$12-'Alternative 3'!$B$29+(('Alternative 3'!$B$29-'Alternative 3'!$B$28)/2)*('Alternative 3'!$B$39)*COS('Alternative 3-Tilt Up'!K89)))))</f>
        <v>331254.05120677926</v>
      </c>
      <c r="N89" s="77">
        <f t="shared" si="18"/>
        <v>14649.8355811236</v>
      </c>
      <c r="O89" s="77">
        <f>(((('Alternative 3'!$B$28-'Alternative 3'!$B$27)/2)+'Alternative 3'!$B$27)*('Alternative 3'!$B$39)*COS('Alternative 3-Tilt Up'!K89))+(((('Alternative 3'!$B$28-'Alternative 3'!$B$27)/2)+(('Alternative 3'!$B$29-'Alternative 3'!$B$28)/2))*('Alternative 3'!$B$39)*COS('Alternative 3-Tilt Up'!K89))+(((('Alternative 3'!$B$12-'Alternative 3'!$B$29)+(('Alternative 3'!$B$29-'Alternative 3'!$B$28)/2))*('Alternative 3'!$B$39)*COS('Alternative 3-Tilt Up'!K89)))</f>
        <v>21353.845229041755</v>
      </c>
      <c r="P89" s="77">
        <f t="shared" si="19"/>
        <v>1021.9208710704032</v>
      </c>
      <c r="R89" s="78" t="e">
        <f>'Alternative 3'!$B$39*$B89*$C89*COS($K$5)-($N$5/3)*$E89*SIN($K$5)-($N$5/3)*$F89*SIN($K$5)-($N$5/3)*$G89*SIN($K$5)</f>
        <v>#VALUE!</v>
      </c>
      <c r="S89" s="79" t="e">
        <f>IF(($A89&lt;'Alternative 3'!$B$27),(($H89*'Alternative 3'!$B$39)+(3*($N$5/3)*COS($K$5))),IF(($A89&lt;'Alternative 3'!$B$28),(($H89*'Alternative 3'!$B$39)+(2*(($N$5/3)*COS($K$5)))),IF(($A89&lt;'Alternative 3'!$B$29),(($H$3*'Alternative 3'!$B$39+(($N$5/3)*COS($K$5)))),($H89*'Alternative 3'!$B$39))))</f>
        <v>#VALUE!</v>
      </c>
      <c r="T89" s="78" t="e">
        <f>R89*'Alternative 3'!$K90/'Alternative 3'!$L90</f>
        <v>#VALUE!</v>
      </c>
      <c r="U89" s="78" t="e">
        <f>S89/'Alternative 3'!$M90</f>
        <v>#VALUE!</v>
      </c>
      <c r="V89" s="78" t="e">
        <f t="shared" si="20"/>
        <v>#VALUE!</v>
      </c>
      <c r="X89" s="78" t="e">
        <f>'Alternative 3'!$B$39*$B89*$C89*COS($K$13)-($N$12/3)*$E89*SIN($K$13)-($N$12/3)*$F89*SIN($K$13)-($N$12/3)*$G89*SIN($K$13)</f>
        <v>#VALUE!</v>
      </c>
      <c r="Y89" s="79" t="e">
        <f>IF(($A89&lt;'Alternative 3'!$B$27),(($H89*'Alternative 3'!$B$39)+(3*($N$12/3)*COS($K$13))),IF(($A89&lt;'Alternative 3'!$B$28),(($H89*'Alternative 3'!$B$39)+(2*(($N$12/3)*COS($K$13)))),IF(($A89&lt;'Alternative 3'!$B$29),(($H$3*'Alternative 3'!$B$39+(($N$12/3)*COS($K$13)))),($H89*'Alternative 3'!$B$39))))</f>
        <v>#VALUE!</v>
      </c>
      <c r="Z89" s="78" t="e">
        <f>X89*'Alternative 3'!$K90/'Alternative 3'!$L90</f>
        <v>#VALUE!</v>
      </c>
      <c r="AA89" s="78" t="e">
        <f>Y89/'Alternative 3'!$M90</f>
        <v>#VALUE!</v>
      </c>
      <c r="AB89" s="78" t="e">
        <f t="shared" si="21"/>
        <v>#VALUE!</v>
      </c>
      <c r="AD89" s="78" t="e">
        <f>'Alternative 3'!$B$39*$B89*$C89*COS($K$23)-($N$22/3)*$E89*SIN($K$23)-($N$22/3)*$F89*SIN($K$23)-($N$22/3)*$G89*SIN($K$23)</f>
        <v>#VALUE!</v>
      </c>
      <c r="AE89" s="79" t="e">
        <f>IF(($A89&lt;'Alternative 3'!$B$27),(($H89*'Alternative 3'!$B$39)+(3*($N$22/3)*COS($K$23))),IF(($A89&lt;'Alternative 3'!$B$28),(($H89*'Alternative 3'!$B$39)+(2*(($N$22/3)*COS($K$23)))),IF(($A89&lt;'Alternative 3'!$B$29),(($H$3*'Alternative 3'!$B$39+(($N$22/3)*COS($K$23)))),($H89*'Alternative 3'!$B$39))))</f>
        <v>#VALUE!</v>
      </c>
      <c r="AF89" s="78" t="e">
        <f>AD89*'Alternative 3'!$K90/'Alternative 3'!$L90</f>
        <v>#VALUE!</v>
      </c>
      <c r="AG89" s="78" t="e">
        <f>AE89/'Alternative 3'!$M90</f>
        <v>#VALUE!</v>
      </c>
      <c r="AH89" s="78" t="e">
        <f t="shared" si="22"/>
        <v>#VALUE!</v>
      </c>
      <c r="AJ89" s="78" t="e">
        <f>'Alternative 3'!$B$39*$B89*$C89*COS($K$33)-($N$32/3)*$E89*SIN($K$33)-($N$32/3)*$F89*SIN($K$33)-($N$32/3)*$G89*SIN($K$33)</f>
        <v>#VALUE!</v>
      </c>
      <c r="AK89" s="79" t="e">
        <f>IF(($A89&lt;'Alternative 3'!$B$27),(($H89*'Alternative 3'!$B$39)+(3*($N$32/3)*COS($K$33))),IF(($A89&lt;'Alternative 3'!$B$28),(($H89*'Alternative 3'!$B$39)+(2*(($N$32/3)*COS($K$33)))),IF(($A89&lt;'Alternative 3'!$B$29),(($H$3*'Alternative 3'!$B$39+(($N$32/3)*COS($K$33)))),($H89*'Alternative 3'!$B$39))))</f>
        <v>#VALUE!</v>
      </c>
      <c r="AL89" s="78" t="e">
        <f>AJ89*'Alternative 3'!$K90/'Alternative 3'!$L90</f>
        <v>#VALUE!</v>
      </c>
      <c r="AM89" s="78" t="e">
        <f>AK89/'Alternative 3'!$M90</f>
        <v>#VALUE!</v>
      </c>
      <c r="AN89" s="78" t="e">
        <f t="shared" si="23"/>
        <v>#VALUE!</v>
      </c>
      <c r="AP89" s="78" t="e">
        <f>'Alternative 3'!$B$39*$B89*$C89*COS($K$43)-($N$42/3)*$E89*SIN($K$43)-($N$42/3)*$F89*SIN($K$43)-($N$42/3)*$G89*SIN($K$43)</f>
        <v>#VALUE!</v>
      </c>
      <c r="AQ89" s="79" t="e">
        <f>IF(($A89&lt;'Alternative 3'!$B$27),(($H89*'Alternative 3'!$B$39)+(3*($N$42/3)*COS($K$43))),IF(($A89&lt;'Alternative 3'!$B$28),(($H89*'Alternative 3'!$B$39)+(2*(($N$42/3)*COS($K$43)))),IF(($A89&lt;'Alternative 3'!$B$29),(($H$3*'Alternative 3'!$B$39+(($N$42/3)*COS($K$43)))),($H89*'Alternative 3'!$B$39))))</f>
        <v>#VALUE!</v>
      </c>
      <c r="AR89" s="78" t="e">
        <f>AP89*'Alternative 3'!$K90/'Alternative 3'!$L90</f>
        <v>#VALUE!</v>
      </c>
      <c r="AS89" s="78" t="e">
        <f>AQ89/'Alternative 3'!$M90</f>
        <v>#VALUE!</v>
      </c>
      <c r="AT89" s="78" t="e">
        <f t="shared" si="24"/>
        <v>#VALUE!</v>
      </c>
      <c r="AV89" s="78" t="e">
        <f>'Alternative 3'!$B$39*$B89*$C89*COS($K$53)-($N$52/3)*$E89*SIN($K$53)-($N$52/3)*$F89*SIN($K$53)-($N$52/3)*$G89*SIN($K$53)</f>
        <v>#VALUE!</v>
      </c>
      <c r="AW89" s="79" t="e">
        <f>IF(($A89&lt;'Alternative 3'!$B$27),(($H89*'Alternative 3'!$B$39)+(3*($N$52/3)*COS($K$53))),IF(($A89&lt;'Alternative 3'!$B$28),(($H89*'Alternative 3'!$B$39)+(2*(($N$52/3)*COS($K$53)))),IF(($A89&lt;'Alternative 3'!$B$29),(($H$3*'Alternative 3'!$B$39+(($N$52/3)*COS($K$53)))),($H89*'Alternative 3'!$B$39))))</f>
        <v>#VALUE!</v>
      </c>
      <c r="AX89" s="78" t="e">
        <f>AV89*'Alternative 3'!$K90/'Alternative 3'!$L90</f>
        <v>#VALUE!</v>
      </c>
      <c r="AY89" s="78" t="e">
        <f>AW89/'Alternative 3'!$M90</f>
        <v>#VALUE!</v>
      </c>
      <c r="AZ89" s="78" t="e">
        <f t="shared" si="25"/>
        <v>#VALUE!</v>
      </c>
      <c r="BB89" s="78" t="e">
        <f>'Alternative 3'!$B$39*$B89*$C89*COS($K$63)-($N$62/3)*$E89*SIN($K$63)-($N$62/3)*$F89*SIN($K$63)-($N$62/3)*$G89*SIN($K$63)</f>
        <v>#VALUE!</v>
      </c>
      <c r="BC89" s="79" t="e">
        <f>IF(($A89&lt;'Alternative 3'!$B$27),(($H89*'Alternative 3'!$B$39)+(3*($N$62/3)*COS($K$63))),IF(($A89&lt;'Alternative 3'!$B$28),(($H89*'Alternative 3'!$B$39)+(2*(($N$62/3)*COS($K$63)))),IF(($A89&lt;'Alternative 3'!$B$29),(($H$3*'Alternative 3'!$B$39+(($N$62/3)*COS($K$63)))),($H89*'Alternative 3'!$B$39))))</f>
        <v>#VALUE!</v>
      </c>
      <c r="BD89" s="78" t="e">
        <f>BB89*'Alternative 3'!$K90/'Alternative 3'!$L90</f>
        <v>#VALUE!</v>
      </c>
      <c r="BE89" s="78" t="e">
        <f>BC89/'Alternative 3'!$M90</f>
        <v>#VALUE!</v>
      </c>
      <c r="BF89" s="78" t="e">
        <f t="shared" si="26"/>
        <v>#VALUE!</v>
      </c>
      <c r="BH89" s="78" t="e">
        <f>'Alternative 3'!$B$39*$B89*$C89*COS($K$73)-($N$72/3)*$E89*SIN($K$73)-($N$72/3)*$F89*SIN($K$73)-($N$72/3)*$G89*SIN($K$73)</f>
        <v>#VALUE!</v>
      </c>
      <c r="BI89" s="79" t="e">
        <f>IF(($A89&lt;'Alternative 3'!$B$27),(($H89*'Alternative 3'!$B$39)+(3*($N$72/3)*COS($K$73))),IF(($A89&lt;'Alternative 3'!$B$28),(($H89*'Alternative 3'!$B$39)+(2*(($N$72/3)*COS($K$73)))),IF(($A89&lt;'Alternative 3'!$B$29),(($H$3*'Alternative 3'!$B$39+(($N$72/3)*COS($K$73)))),($H89*'Alternative 3'!$B$39))))</f>
        <v>#VALUE!</v>
      </c>
      <c r="BJ89" s="78" t="e">
        <f>BH89*'Alternative 3'!$K90/'Alternative 3'!$L90</f>
        <v>#VALUE!</v>
      </c>
      <c r="BK89" s="78" t="e">
        <f>BI89/'Alternative 3'!$M90</f>
        <v>#VALUE!</v>
      </c>
      <c r="BL89" s="78" t="e">
        <f t="shared" si="27"/>
        <v>#VALUE!</v>
      </c>
      <c r="BN89" s="78" t="e">
        <f>'Alternative 3'!$B$39*$B89*$C89*COS($K$83)-($N$82/3)*$E89*SIN($K$83)-($N$82/3)*$F89*SIN($K$83)-($N$82/3)*$G89*SIN($K$83)</f>
        <v>#VALUE!</v>
      </c>
      <c r="BO89" s="79" t="e">
        <f>IF(($A89&lt;'Alternative 3'!$B$27),(($H89*'Alternative 3'!$B$39)+(3*($N$82/3)*COS($K$83))),IF(($A89&lt;'Alternative 3'!$B$28),(($H89*'Alternative 3'!$B$39)+(2*(($N$82/3)*COS($K$83)))),IF(($A89&lt;'Alternative 3'!$B$29),(($H$3*'Alternative 3'!$B$39+(($N$82/3)*COS($K$83)))),($H89*'Alternative 3'!$B$39))))</f>
        <v>#VALUE!</v>
      </c>
      <c r="BP89" s="78" t="e">
        <f>BN89*'Alternative 3'!$K90/'Alternative 3'!$L90</f>
        <v>#VALUE!</v>
      </c>
      <c r="BQ89" s="78" t="e">
        <f>BO89/'Alternative 3'!$M90</f>
        <v>#VALUE!</v>
      </c>
      <c r="BR89" s="78" t="e">
        <f t="shared" si="28"/>
        <v>#VALUE!</v>
      </c>
      <c r="BT89" s="78" t="e">
        <f>'Alternative 3'!$B$39*$B89*$C89*COS($K$93)-($K$92/3)*$E89*SIN($K$93)-($K$92/3)*$F89*SIN($K$93)-($K$92/3)*$G89*SIN($K$93)</f>
        <v>#VALUE!</v>
      </c>
      <c r="BU89" s="79" t="e">
        <f>IF(($A89&lt;'Alternative 3'!$B$27),(($H89*'Alternative 3'!$B$39)+(3*($N$92/3)*COS($K$93))),IF(($A89&lt;'Alternative 3'!$B$28),(($H89*'Alternative 3'!$B$39)+(2*(($N$92/3)*COS($K$93)))),IF(($A89&lt;'Alternative 3'!$B$29),(($H$3*'Alternative 3'!$B$39+(($N$92/3)*COS($K$93)))),($H89*'Alternative 3'!$B$39))))</f>
        <v>#VALUE!</v>
      </c>
      <c r="BV89" s="78" t="e">
        <f>BT89*'Alternative 3'!$K90/'Alternative 3'!$L90</f>
        <v>#VALUE!</v>
      </c>
      <c r="BW89" s="78" t="e">
        <f>BU89/'Alternative 3'!$M90</f>
        <v>#VALUE!</v>
      </c>
      <c r="BX89" s="78" t="e">
        <f t="shared" si="29"/>
        <v>#VALUE!</v>
      </c>
    </row>
    <row r="90" spans="1:76" ht="15" customHeight="1" x14ac:dyDescent="0.25">
      <c r="A90" s="13" t="str">
        <f>IF('Alternative 3'!F91&gt;0,'Alternative 3'!F91,"x")</f>
        <v>x</v>
      </c>
      <c r="B90" s="13" t="e">
        <f t="shared" si="35"/>
        <v>#VALUE!</v>
      </c>
      <c r="C90" s="13">
        <f t="shared" si="30"/>
        <v>0</v>
      </c>
      <c r="D90" s="13" t="str">
        <f t="shared" si="31"/>
        <v>x</v>
      </c>
      <c r="E90" s="74">
        <f>IF($A90&lt;='Alternative 3'!$B$27, IF($A90='Alternative 3'!$B$27,0,E91+1),0)</f>
        <v>0</v>
      </c>
      <c r="F90" s="74">
        <f>IF($A90&lt;=('Alternative 3'!$B$28), IF($A90=ROUNDDOWN('Alternative 3'!$B$28,0),0,F91+1),0)</f>
        <v>0</v>
      </c>
      <c r="G90" s="74">
        <f>IF($A90&lt;=('Alternative 3'!$B$29), IF($A90=ROUNDDOWN('Alternative 3'!$B$29,0),0,G91+1),0)</f>
        <v>0</v>
      </c>
      <c r="H90" s="13" t="e">
        <f t="shared" si="32"/>
        <v>#VALUE!</v>
      </c>
      <c r="J90" s="77">
        <f t="shared" si="33"/>
        <v>87</v>
      </c>
      <c r="K90" s="77">
        <f t="shared" si="34"/>
        <v>1.5184364492350666</v>
      </c>
      <c r="L90" s="78">
        <f>'Alternative 3'!$B$27*SIN(K90)+'Alternative 3'!$B$28*SIN(K90)+'Alternative 3'!$B$29*SIN(K90)</f>
        <v>67.906808363311015</v>
      </c>
      <c r="M90" s="77">
        <f>(('Alternative 3'!$B$27)*(((('Alternative 3'!$B$28-'Alternative 3'!$B$27)/2)+'Alternative 3'!$B$27)*'Alternative 3'!$B$39)*COS('Alternative 3-Tilt Up'!K90))+(('Alternative 3'!$B$28)*((('Alternative 3'!$B$28-'Alternative 3'!$B$27)/2)+(('Alternative 3'!$B$29-'Alternative 3'!$B$28)/2))*('Alternative 3'!$B$39)*COS('Alternative 3-Tilt Up'!K90))+(('Alternative 3'!$B$29)*((('Alternative 3'!$B$12-'Alternative 3'!$B$29+(('Alternative 3'!$B$29-'Alternative 3'!$B$28)/2)*('Alternative 3'!$B$39)*COS('Alternative 3-Tilt Up'!K90)))))</f>
        <v>248577.72466913908</v>
      </c>
      <c r="N90" s="77">
        <f t="shared" si="18"/>
        <v>10981.714381533577</v>
      </c>
      <c r="O90" s="77">
        <f>(((('Alternative 3'!$B$28-'Alternative 3'!$B$27)/2)+'Alternative 3'!$B$27)*('Alternative 3'!$B$39)*COS('Alternative 3-Tilt Up'!K90))+(((('Alternative 3'!$B$28-'Alternative 3'!$B$27)/2)+(('Alternative 3'!$B$29-'Alternative 3'!$B$28)/2))*('Alternative 3'!$B$39)*COS('Alternative 3-Tilt Up'!K90))+(((('Alternative 3'!$B$12-'Alternative 3'!$B$29)+(('Alternative 3'!$B$29-'Alternative 3'!$B$28)/2))*('Alternative 3'!$B$39)*COS('Alternative 3-Tilt Up'!K90)))</f>
        <v>16021.078038220698</v>
      </c>
      <c r="P90" s="77">
        <f t="shared" si="19"/>
        <v>574.73852334444973</v>
      </c>
      <c r="R90" s="78" t="e">
        <f>'Alternative 3'!$B$39*$B90*$C90*COS($K$5)-($N$5/3)*$E90*SIN($K$5)-($N$5/3)*$F90*SIN($K$5)-($N$5/3)*$G90*SIN($K$5)</f>
        <v>#VALUE!</v>
      </c>
      <c r="S90" s="79" t="e">
        <f>IF(($A90&lt;'Alternative 3'!$B$27),(($H90*'Alternative 3'!$B$39)+(3*($N$5/3)*COS($K$5))),IF(($A90&lt;'Alternative 3'!$B$28),(($H90*'Alternative 3'!$B$39)+(2*(($N$5/3)*COS($K$5)))),IF(($A90&lt;'Alternative 3'!$B$29),(($H$3*'Alternative 3'!$B$39+(($N$5/3)*COS($K$5)))),($H90*'Alternative 3'!$B$39))))</f>
        <v>#VALUE!</v>
      </c>
      <c r="T90" s="78" t="e">
        <f>R90*'Alternative 3'!$K91/'Alternative 3'!$L91</f>
        <v>#VALUE!</v>
      </c>
      <c r="U90" s="78" t="e">
        <f>S90/'Alternative 3'!$M91</f>
        <v>#VALUE!</v>
      </c>
      <c r="V90" s="78" t="e">
        <f t="shared" si="20"/>
        <v>#VALUE!</v>
      </c>
      <c r="X90" s="78" t="e">
        <f>'Alternative 3'!$B$39*$B90*$C90*COS($K$13)-($N$12/3)*$E90*SIN($K$13)-($N$12/3)*$F90*SIN($K$13)-($N$12/3)*$G90*SIN($K$13)</f>
        <v>#VALUE!</v>
      </c>
      <c r="Y90" s="79" t="e">
        <f>IF(($A90&lt;'Alternative 3'!$B$27),(($H90*'Alternative 3'!$B$39)+(3*($N$12/3)*COS($K$13))),IF(($A90&lt;'Alternative 3'!$B$28),(($H90*'Alternative 3'!$B$39)+(2*(($N$12/3)*COS($K$13)))),IF(($A90&lt;'Alternative 3'!$B$29),(($H$3*'Alternative 3'!$B$39+(($N$12/3)*COS($K$13)))),($H90*'Alternative 3'!$B$39))))</f>
        <v>#VALUE!</v>
      </c>
      <c r="Z90" s="78" t="e">
        <f>X90*'Alternative 3'!$K91/'Alternative 3'!$L91</f>
        <v>#VALUE!</v>
      </c>
      <c r="AA90" s="78" t="e">
        <f>Y90/'Alternative 3'!$M91</f>
        <v>#VALUE!</v>
      </c>
      <c r="AB90" s="78" t="e">
        <f t="shared" si="21"/>
        <v>#VALUE!</v>
      </c>
      <c r="AD90" s="78" t="e">
        <f>'Alternative 3'!$B$39*$B90*$C90*COS($K$23)-($N$22/3)*$E90*SIN($K$23)-($N$22/3)*$F90*SIN($K$23)-($N$22/3)*$G90*SIN($K$23)</f>
        <v>#VALUE!</v>
      </c>
      <c r="AE90" s="79" t="e">
        <f>IF(($A90&lt;'Alternative 3'!$B$27),(($H90*'Alternative 3'!$B$39)+(3*($N$22/3)*COS($K$23))),IF(($A90&lt;'Alternative 3'!$B$28),(($H90*'Alternative 3'!$B$39)+(2*(($N$22/3)*COS($K$23)))),IF(($A90&lt;'Alternative 3'!$B$29),(($H$3*'Alternative 3'!$B$39+(($N$22/3)*COS($K$23)))),($H90*'Alternative 3'!$B$39))))</f>
        <v>#VALUE!</v>
      </c>
      <c r="AF90" s="78" t="e">
        <f>AD90*'Alternative 3'!$K91/'Alternative 3'!$L91</f>
        <v>#VALUE!</v>
      </c>
      <c r="AG90" s="78" t="e">
        <f>AE90/'Alternative 3'!$M91</f>
        <v>#VALUE!</v>
      </c>
      <c r="AH90" s="78" t="e">
        <f t="shared" si="22"/>
        <v>#VALUE!</v>
      </c>
      <c r="AJ90" s="78" t="e">
        <f>'Alternative 3'!$B$39*$B90*$C90*COS($K$33)-($N$32/3)*$E90*SIN($K$33)-($N$32/3)*$F90*SIN($K$33)-($N$32/3)*$G90*SIN($K$33)</f>
        <v>#VALUE!</v>
      </c>
      <c r="AK90" s="79" t="e">
        <f>IF(($A90&lt;'Alternative 3'!$B$27),(($H90*'Alternative 3'!$B$39)+(3*($N$32/3)*COS($K$33))),IF(($A90&lt;'Alternative 3'!$B$28),(($H90*'Alternative 3'!$B$39)+(2*(($N$32/3)*COS($K$33)))),IF(($A90&lt;'Alternative 3'!$B$29),(($H$3*'Alternative 3'!$B$39+(($N$32/3)*COS($K$33)))),($H90*'Alternative 3'!$B$39))))</f>
        <v>#VALUE!</v>
      </c>
      <c r="AL90" s="78" t="e">
        <f>AJ90*'Alternative 3'!$K91/'Alternative 3'!$L91</f>
        <v>#VALUE!</v>
      </c>
      <c r="AM90" s="78" t="e">
        <f>AK90/'Alternative 3'!$M91</f>
        <v>#VALUE!</v>
      </c>
      <c r="AN90" s="78" t="e">
        <f t="shared" si="23"/>
        <v>#VALUE!</v>
      </c>
      <c r="AP90" s="78" t="e">
        <f>'Alternative 3'!$B$39*$B90*$C90*COS($K$43)-($N$42/3)*$E90*SIN($K$43)-($N$42/3)*$F90*SIN($K$43)-($N$42/3)*$G90*SIN($K$43)</f>
        <v>#VALUE!</v>
      </c>
      <c r="AQ90" s="79" t="e">
        <f>IF(($A90&lt;'Alternative 3'!$B$27),(($H90*'Alternative 3'!$B$39)+(3*($N$42/3)*COS($K$43))),IF(($A90&lt;'Alternative 3'!$B$28),(($H90*'Alternative 3'!$B$39)+(2*(($N$42/3)*COS($K$43)))),IF(($A90&lt;'Alternative 3'!$B$29),(($H$3*'Alternative 3'!$B$39+(($N$42/3)*COS($K$43)))),($H90*'Alternative 3'!$B$39))))</f>
        <v>#VALUE!</v>
      </c>
      <c r="AR90" s="78" t="e">
        <f>AP90*'Alternative 3'!$K91/'Alternative 3'!$L91</f>
        <v>#VALUE!</v>
      </c>
      <c r="AS90" s="78" t="e">
        <f>AQ90/'Alternative 3'!$M91</f>
        <v>#VALUE!</v>
      </c>
      <c r="AT90" s="78" t="e">
        <f t="shared" si="24"/>
        <v>#VALUE!</v>
      </c>
      <c r="AV90" s="78" t="e">
        <f>'Alternative 3'!$B$39*$B90*$C90*COS($K$53)-($N$52/3)*$E90*SIN($K$53)-($N$52/3)*$F90*SIN($K$53)-($N$52/3)*$G90*SIN($K$53)</f>
        <v>#VALUE!</v>
      </c>
      <c r="AW90" s="79" t="e">
        <f>IF(($A90&lt;'Alternative 3'!$B$27),(($H90*'Alternative 3'!$B$39)+(3*($N$52/3)*COS($K$53))),IF(($A90&lt;'Alternative 3'!$B$28),(($H90*'Alternative 3'!$B$39)+(2*(($N$52/3)*COS($K$53)))),IF(($A90&lt;'Alternative 3'!$B$29),(($H$3*'Alternative 3'!$B$39+(($N$52/3)*COS($K$53)))),($H90*'Alternative 3'!$B$39))))</f>
        <v>#VALUE!</v>
      </c>
      <c r="AX90" s="78" t="e">
        <f>AV90*'Alternative 3'!$K91/'Alternative 3'!$L91</f>
        <v>#VALUE!</v>
      </c>
      <c r="AY90" s="78" t="e">
        <f>AW90/'Alternative 3'!$M91</f>
        <v>#VALUE!</v>
      </c>
      <c r="AZ90" s="78" t="e">
        <f t="shared" si="25"/>
        <v>#VALUE!</v>
      </c>
      <c r="BB90" s="78" t="e">
        <f>'Alternative 3'!$B$39*$B90*$C90*COS($K$63)-($N$62/3)*$E90*SIN($K$63)-($N$62/3)*$F90*SIN($K$63)-($N$62/3)*$G90*SIN($K$63)</f>
        <v>#VALUE!</v>
      </c>
      <c r="BC90" s="79" t="e">
        <f>IF(($A90&lt;'Alternative 3'!$B$27),(($H90*'Alternative 3'!$B$39)+(3*($N$62/3)*COS($K$63))),IF(($A90&lt;'Alternative 3'!$B$28),(($H90*'Alternative 3'!$B$39)+(2*(($N$62/3)*COS($K$63)))),IF(($A90&lt;'Alternative 3'!$B$29),(($H$3*'Alternative 3'!$B$39+(($N$62/3)*COS($K$63)))),($H90*'Alternative 3'!$B$39))))</f>
        <v>#VALUE!</v>
      </c>
      <c r="BD90" s="78" t="e">
        <f>BB90*'Alternative 3'!$K91/'Alternative 3'!$L91</f>
        <v>#VALUE!</v>
      </c>
      <c r="BE90" s="78" t="e">
        <f>BC90/'Alternative 3'!$M91</f>
        <v>#VALUE!</v>
      </c>
      <c r="BF90" s="78" t="e">
        <f t="shared" si="26"/>
        <v>#VALUE!</v>
      </c>
      <c r="BH90" s="78" t="e">
        <f>'Alternative 3'!$B$39*$B90*$C90*COS($K$73)-($N$72/3)*$E90*SIN($K$73)-($N$72/3)*$F90*SIN($K$73)-($N$72/3)*$G90*SIN($K$73)</f>
        <v>#VALUE!</v>
      </c>
      <c r="BI90" s="79" t="e">
        <f>IF(($A90&lt;'Alternative 3'!$B$27),(($H90*'Alternative 3'!$B$39)+(3*($N$72/3)*COS($K$73))),IF(($A90&lt;'Alternative 3'!$B$28),(($H90*'Alternative 3'!$B$39)+(2*(($N$72/3)*COS($K$73)))),IF(($A90&lt;'Alternative 3'!$B$29),(($H$3*'Alternative 3'!$B$39+(($N$72/3)*COS($K$73)))),($H90*'Alternative 3'!$B$39))))</f>
        <v>#VALUE!</v>
      </c>
      <c r="BJ90" s="78" t="e">
        <f>BH90*'Alternative 3'!$K91/'Alternative 3'!$L91</f>
        <v>#VALUE!</v>
      </c>
      <c r="BK90" s="78" t="e">
        <f>BI90/'Alternative 3'!$M91</f>
        <v>#VALUE!</v>
      </c>
      <c r="BL90" s="78" t="e">
        <f t="shared" si="27"/>
        <v>#VALUE!</v>
      </c>
      <c r="BN90" s="78" t="e">
        <f>'Alternative 3'!$B$39*$B90*$C90*COS($K$83)-($N$82/3)*$E90*SIN($K$83)-($N$82/3)*$F90*SIN($K$83)-($N$82/3)*$G90*SIN($K$83)</f>
        <v>#VALUE!</v>
      </c>
      <c r="BO90" s="79" t="e">
        <f>IF(($A90&lt;'Alternative 3'!$B$27),(($H90*'Alternative 3'!$B$39)+(3*($N$82/3)*COS($K$83))),IF(($A90&lt;'Alternative 3'!$B$28),(($H90*'Alternative 3'!$B$39)+(2*(($N$82/3)*COS($K$83)))),IF(($A90&lt;'Alternative 3'!$B$29),(($H$3*'Alternative 3'!$B$39+(($N$82/3)*COS($K$83)))),($H90*'Alternative 3'!$B$39))))</f>
        <v>#VALUE!</v>
      </c>
      <c r="BP90" s="78" t="e">
        <f>BN90*'Alternative 3'!$K91/'Alternative 3'!$L91</f>
        <v>#VALUE!</v>
      </c>
      <c r="BQ90" s="78" t="e">
        <f>BO90/'Alternative 3'!$M91</f>
        <v>#VALUE!</v>
      </c>
      <c r="BR90" s="78" t="e">
        <f t="shared" si="28"/>
        <v>#VALUE!</v>
      </c>
      <c r="BT90" s="78" t="e">
        <f>'Alternative 3'!$B$39*$B90*$C90*COS($K$93)-($K$92/3)*$E90*SIN($K$93)-($K$92/3)*$F90*SIN($K$93)-($K$92/3)*$G90*SIN($K$93)</f>
        <v>#VALUE!</v>
      </c>
      <c r="BU90" s="79" t="e">
        <f>IF(($A90&lt;'Alternative 3'!$B$27),(($H90*'Alternative 3'!$B$39)+(3*($N$92/3)*COS($K$93))),IF(($A90&lt;'Alternative 3'!$B$28),(($H90*'Alternative 3'!$B$39)+(2*(($N$92/3)*COS($K$93)))),IF(($A90&lt;'Alternative 3'!$B$29),(($H$3*'Alternative 3'!$B$39+(($N$92/3)*COS($K$93)))),($H90*'Alternative 3'!$B$39))))</f>
        <v>#VALUE!</v>
      </c>
      <c r="BV90" s="78" t="e">
        <f>BT90*'Alternative 3'!$K91/'Alternative 3'!$L91</f>
        <v>#VALUE!</v>
      </c>
      <c r="BW90" s="78" t="e">
        <f>BU90/'Alternative 3'!$M91</f>
        <v>#VALUE!</v>
      </c>
      <c r="BX90" s="78" t="e">
        <f t="shared" si="29"/>
        <v>#VALUE!</v>
      </c>
    </row>
    <row r="91" spans="1:76" ht="15" customHeight="1" x14ac:dyDescent="0.25">
      <c r="A91" s="13" t="str">
        <f>IF('Alternative 3'!F92&gt;0,'Alternative 3'!F92,"x")</f>
        <v>x</v>
      </c>
      <c r="B91" s="13" t="e">
        <f t="shared" si="35"/>
        <v>#VALUE!</v>
      </c>
      <c r="C91" s="13">
        <f t="shared" si="30"/>
        <v>0</v>
      </c>
      <c r="D91" s="13" t="str">
        <f t="shared" si="31"/>
        <v>x</v>
      </c>
      <c r="E91" s="74">
        <f>IF($A91&lt;='Alternative 3'!$B$27, IF($A91='Alternative 3'!$B$27,0,E92+1),0)</f>
        <v>0</v>
      </c>
      <c r="F91" s="74">
        <f>IF($A91&lt;=('Alternative 3'!$B$28), IF($A91=ROUNDDOWN('Alternative 3'!$B$28,0),0,F92+1),0)</f>
        <v>0</v>
      </c>
      <c r="G91" s="74">
        <f>IF($A91&lt;=('Alternative 3'!$B$29), IF($A91=ROUNDDOWN('Alternative 3'!$B$29,0),0,G92+1),0)</f>
        <v>0</v>
      </c>
      <c r="H91" s="13" t="e">
        <f t="shared" si="32"/>
        <v>#VALUE!</v>
      </c>
      <c r="J91" s="77">
        <f t="shared" si="33"/>
        <v>88</v>
      </c>
      <c r="K91" s="77">
        <f t="shared" si="34"/>
        <v>1.5358897417550099</v>
      </c>
      <c r="L91" s="78">
        <f>'Alternative 3'!$B$27*SIN(K91)+'Alternative 3'!$B$28*SIN(K91)+'Alternative 3'!$B$29*SIN(K91)</f>
        <v>67.958576237298516</v>
      </c>
      <c r="M91" s="77">
        <f>(('Alternative 3'!$B$27)*(((('Alternative 3'!$B$28-'Alternative 3'!$B$27)/2)+'Alternative 3'!$B$27)*'Alternative 3'!$B$39)*COS('Alternative 3-Tilt Up'!K91))+(('Alternative 3'!$B$28)*((('Alternative 3'!$B$28-'Alternative 3'!$B$27)/2)+(('Alternative 3'!$B$29-'Alternative 3'!$B$28)/2))*('Alternative 3'!$B$39)*COS('Alternative 3-Tilt Up'!K91))+(('Alternative 3'!$B$29)*((('Alternative 3'!$B$12-'Alternative 3'!$B$29+(('Alternative 3'!$B$29-'Alternative 3'!$B$28)/2)*('Alternative 3'!$B$39)*COS('Alternative 3-Tilt Up'!K91)))))</f>
        <v>165825.73853966629</v>
      </c>
      <c r="N91" s="77">
        <f t="shared" si="18"/>
        <v>7320.3007355819573</v>
      </c>
      <c r="O91" s="77">
        <f>(((('Alternative 3'!$B$28-'Alternative 3'!$B$27)/2)+'Alternative 3'!$B$27)*('Alternative 3'!$B$39)*COS('Alternative 3-Tilt Up'!K91))+(((('Alternative 3'!$B$28-'Alternative 3'!$B$27)/2)+(('Alternative 3'!$B$29-'Alternative 3'!$B$28)/2))*('Alternative 3'!$B$39)*COS('Alternative 3-Tilt Up'!K91))+(((('Alternative 3'!$B$12-'Alternative 3'!$B$29)+(('Alternative 3'!$B$29-'Alternative 3'!$B$28)/2))*('Alternative 3'!$B$39)*COS('Alternative 3-Tilt Up'!K91)))</f>
        <v>10683.43067182953</v>
      </c>
      <c r="P91" s="77">
        <f t="shared" si="19"/>
        <v>255.47481138275876</v>
      </c>
      <c r="R91" s="78" t="e">
        <f>'Alternative 3'!$B$39*$B91*$C91*COS($K$5)-($N$5/3)*$E91*SIN($K$5)-($N$5/3)*$F91*SIN($K$5)-($N$5/3)*$G91*SIN($K$5)</f>
        <v>#VALUE!</v>
      </c>
      <c r="S91" s="79" t="e">
        <f>IF(($A91&lt;'Alternative 3'!$B$27),(($H91*'Alternative 3'!$B$39)+(3*($N$5/3)*COS($K$5))),IF(($A91&lt;'Alternative 3'!$B$28),(($H91*'Alternative 3'!$B$39)+(2*(($N$5/3)*COS($K$5)))),IF(($A91&lt;'Alternative 3'!$B$29),(($H$3*'Alternative 3'!$B$39+(($N$5/3)*COS($K$5)))),($H91*'Alternative 3'!$B$39))))</f>
        <v>#VALUE!</v>
      </c>
      <c r="T91" s="78" t="e">
        <f>R91*'Alternative 3'!$K92/'Alternative 3'!$L92</f>
        <v>#VALUE!</v>
      </c>
      <c r="U91" s="78" t="e">
        <f>S91/'Alternative 3'!$M92</f>
        <v>#VALUE!</v>
      </c>
      <c r="V91" s="78" t="e">
        <f t="shared" si="20"/>
        <v>#VALUE!</v>
      </c>
      <c r="X91" s="78" t="e">
        <f>'Alternative 3'!$B$39*$B91*$C91*COS($K$13)-($N$12/3)*$E91*SIN($K$13)-($N$12/3)*$F91*SIN($K$13)-($N$12/3)*$G91*SIN($K$13)</f>
        <v>#VALUE!</v>
      </c>
      <c r="Y91" s="79" t="e">
        <f>IF(($A91&lt;'Alternative 3'!$B$27),(($H91*'Alternative 3'!$B$39)+(3*($N$12/3)*COS($K$13))),IF(($A91&lt;'Alternative 3'!$B$28),(($H91*'Alternative 3'!$B$39)+(2*(($N$12/3)*COS($K$13)))),IF(($A91&lt;'Alternative 3'!$B$29),(($H$3*'Alternative 3'!$B$39+(($N$12/3)*COS($K$13)))),($H91*'Alternative 3'!$B$39))))</f>
        <v>#VALUE!</v>
      </c>
      <c r="Z91" s="78" t="e">
        <f>X91*'Alternative 3'!$K92/'Alternative 3'!$L92</f>
        <v>#VALUE!</v>
      </c>
      <c r="AA91" s="78" t="e">
        <f>Y91/'Alternative 3'!$M92</f>
        <v>#VALUE!</v>
      </c>
      <c r="AB91" s="78" t="e">
        <f t="shared" si="21"/>
        <v>#VALUE!</v>
      </c>
      <c r="AD91" s="78" t="e">
        <f>'Alternative 3'!$B$39*$B91*$C91*COS($K$23)-($N$22/3)*$E91*SIN($K$23)-($N$22/3)*$F91*SIN($K$23)-($N$22/3)*$G91*SIN($K$23)</f>
        <v>#VALUE!</v>
      </c>
      <c r="AE91" s="79" t="e">
        <f>IF(($A91&lt;'Alternative 3'!$B$27),(($H91*'Alternative 3'!$B$39)+(3*($N$22/3)*COS($K$23))),IF(($A91&lt;'Alternative 3'!$B$28),(($H91*'Alternative 3'!$B$39)+(2*(($N$22/3)*COS($K$23)))),IF(($A91&lt;'Alternative 3'!$B$29),(($H$3*'Alternative 3'!$B$39+(($N$22/3)*COS($K$23)))),($H91*'Alternative 3'!$B$39))))</f>
        <v>#VALUE!</v>
      </c>
      <c r="AF91" s="78" t="e">
        <f>AD91*'Alternative 3'!$K92/'Alternative 3'!$L92</f>
        <v>#VALUE!</v>
      </c>
      <c r="AG91" s="78" t="e">
        <f>AE91/'Alternative 3'!$M92</f>
        <v>#VALUE!</v>
      </c>
      <c r="AH91" s="78" t="e">
        <f t="shared" si="22"/>
        <v>#VALUE!</v>
      </c>
      <c r="AJ91" s="78" t="e">
        <f>'Alternative 3'!$B$39*$B91*$C91*COS($K$33)-($N$32/3)*$E91*SIN($K$33)-($N$32/3)*$F91*SIN($K$33)-($N$32/3)*$G91*SIN($K$33)</f>
        <v>#VALUE!</v>
      </c>
      <c r="AK91" s="79" t="e">
        <f>IF(($A91&lt;'Alternative 3'!$B$27),(($H91*'Alternative 3'!$B$39)+(3*($N$32/3)*COS($K$33))),IF(($A91&lt;'Alternative 3'!$B$28),(($H91*'Alternative 3'!$B$39)+(2*(($N$32/3)*COS($K$33)))),IF(($A91&lt;'Alternative 3'!$B$29),(($H$3*'Alternative 3'!$B$39+(($N$32/3)*COS($K$33)))),($H91*'Alternative 3'!$B$39))))</f>
        <v>#VALUE!</v>
      </c>
      <c r="AL91" s="78" t="e">
        <f>AJ91*'Alternative 3'!$K92/'Alternative 3'!$L92</f>
        <v>#VALUE!</v>
      </c>
      <c r="AM91" s="78" t="e">
        <f>AK91/'Alternative 3'!$M92</f>
        <v>#VALUE!</v>
      </c>
      <c r="AN91" s="78" t="e">
        <f t="shared" si="23"/>
        <v>#VALUE!</v>
      </c>
      <c r="AP91" s="78" t="e">
        <f>'Alternative 3'!$B$39*$B91*$C91*COS($K$43)-($N$42/3)*$E91*SIN($K$43)-($N$42/3)*$F91*SIN($K$43)-($N$42/3)*$G91*SIN($K$43)</f>
        <v>#VALUE!</v>
      </c>
      <c r="AQ91" s="79" t="e">
        <f>IF(($A91&lt;'Alternative 3'!$B$27),(($H91*'Alternative 3'!$B$39)+(3*($N$42/3)*COS($K$43))),IF(($A91&lt;'Alternative 3'!$B$28),(($H91*'Alternative 3'!$B$39)+(2*(($N$42/3)*COS($K$43)))),IF(($A91&lt;'Alternative 3'!$B$29),(($H$3*'Alternative 3'!$B$39+(($N$42/3)*COS($K$43)))),($H91*'Alternative 3'!$B$39))))</f>
        <v>#VALUE!</v>
      </c>
      <c r="AR91" s="78" t="e">
        <f>AP91*'Alternative 3'!$K92/'Alternative 3'!$L92</f>
        <v>#VALUE!</v>
      </c>
      <c r="AS91" s="78" t="e">
        <f>AQ91/'Alternative 3'!$M92</f>
        <v>#VALUE!</v>
      </c>
      <c r="AT91" s="78" t="e">
        <f t="shared" si="24"/>
        <v>#VALUE!</v>
      </c>
      <c r="AV91" s="78" t="e">
        <f>'Alternative 3'!$B$39*$B91*$C91*COS($K$53)-($N$52/3)*$E91*SIN($K$53)-($N$52/3)*$F91*SIN($K$53)-($N$52/3)*$G91*SIN($K$53)</f>
        <v>#VALUE!</v>
      </c>
      <c r="AW91" s="79" t="e">
        <f>IF(($A91&lt;'Alternative 3'!$B$27),(($H91*'Alternative 3'!$B$39)+(3*($N$52/3)*COS($K$53))),IF(($A91&lt;'Alternative 3'!$B$28),(($H91*'Alternative 3'!$B$39)+(2*(($N$52/3)*COS($K$53)))),IF(($A91&lt;'Alternative 3'!$B$29),(($H$3*'Alternative 3'!$B$39+(($N$52/3)*COS($K$53)))),($H91*'Alternative 3'!$B$39))))</f>
        <v>#VALUE!</v>
      </c>
      <c r="AX91" s="78" t="e">
        <f>AV91*'Alternative 3'!$K92/'Alternative 3'!$L92</f>
        <v>#VALUE!</v>
      </c>
      <c r="AY91" s="78" t="e">
        <f>AW91/'Alternative 3'!$M92</f>
        <v>#VALUE!</v>
      </c>
      <c r="AZ91" s="78" t="e">
        <f t="shared" si="25"/>
        <v>#VALUE!</v>
      </c>
      <c r="BB91" s="78" t="e">
        <f>'Alternative 3'!$B$39*$B91*$C91*COS($K$63)-($N$62/3)*$E91*SIN($K$63)-($N$62/3)*$F91*SIN($K$63)-($N$62/3)*$G91*SIN($K$63)</f>
        <v>#VALUE!</v>
      </c>
      <c r="BC91" s="79" t="e">
        <f>IF(($A91&lt;'Alternative 3'!$B$27),(($H91*'Alternative 3'!$B$39)+(3*($N$62/3)*COS($K$63))),IF(($A91&lt;'Alternative 3'!$B$28),(($H91*'Alternative 3'!$B$39)+(2*(($N$62/3)*COS($K$63)))),IF(($A91&lt;'Alternative 3'!$B$29),(($H$3*'Alternative 3'!$B$39+(($N$62/3)*COS($K$63)))),($H91*'Alternative 3'!$B$39))))</f>
        <v>#VALUE!</v>
      </c>
      <c r="BD91" s="78" t="e">
        <f>BB91*'Alternative 3'!$K92/'Alternative 3'!$L92</f>
        <v>#VALUE!</v>
      </c>
      <c r="BE91" s="78" t="e">
        <f>BC91/'Alternative 3'!$M92</f>
        <v>#VALUE!</v>
      </c>
      <c r="BF91" s="78" t="e">
        <f t="shared" si="26"/>
        <v>#VALUE!</v>
      </c>
      <c r="BH91" s="78" t="e">
        <f>'Alternative 3'!$B$39*$B91*$C91*COS($K$73)-($N$72/3)*$E91*SIN($K$73)-($N$72/3)*$F91*SIN($K$73)-($N$72/3)*$G91*SIN($K$73)</f>
        <v>#VALUE!</v>
      </c>
      <c r="BI91" s="79" t="e">
        <f>IF(($A91&lt;'Alternative 3'!$B$27),(($H91*'Alternative 3'!$B$39)+(3*($N$72/3)*COS($K$73))),IF(($A91&lt;'Alternative 3'!$B$28),(($H91*'Alternative 3'!$B$39)+(2*(($N$72/3)*COS($K$73)))),IF(($A91&lt;'Alternative 3'!$B$29),(($H$3*'Alternative 3'!$B$39+(($N$72/3)*COS($K$73)))),($H91*'Alternative 3'!$B$39))))</f>
        <v>#VALUE!</v>
      </c>
      <c r="BJ91" s="78" t="e">
        <f>BH91*'Alternative 3'!$K92/'Alternative 3'!$L92</f>
        <v>#VALUE!</v>
      </c>
      <c r="BK91" s="78" t="e">
        <f>BI91/'Alternative 3'!$M92</f>
        <v>#VALUE!</v>
      </c>
      <c r="BL91" s="78" t="e">
        <f t="shared" si="27"/>
        <v>#VALUE!</v>
      </c>
      <c r="BN91" s="78" t="e">
        <f>'Alternative 3'!$B$39*$B91*$C91*COS($K$83)-($N$82/3)*$E91*SIN($K$83)-($N$82/3)*$F91*SIN($K$83)-($N$82/3)*$G91*SIN($K$83)</f>
        <v>#VALUE!</v>
      </c>
      <c r="BO91" s="79" t="e">
        <f>IF(($A91&lt;'Alternative 3'!$B$27),(($H91*'Alternative 3'!$B$39)+(3*($N$82/3)*COS($K$83))),IF(($A91&lt;'Alternative 3'!$B$28),(($H91*'Alternative 3'!$B$39)+(2*(($N$82/3)*COS($K$83)))),IF(($A91&lt;'Alternative 3'!$B$29),(($H$3*'Alternative 3'!$B$39+(($N$82/3)*COS($K$83)))),($H91*'Alternative 3'!$B$39))))</f>
        <v>#VALUE!</v>
      </c>
      <c r="BP91" s="78" t="e">
        <f>BN91*'Alternative 3'!$K92/'Alternative 3'!$L92</f>
        <v>#VALUE!</v>
      </c>
      <c r="BQ91" s="78" t="e">
        <f>BO91/'Alternative 3'!$M92</f>
        <v>#VALUE!</v>
      </c>
      <c r="BR91" s="78" t="e">
        <f t="shared" si="28"/>
        <v>#VALUE!</v>
      </c>
      <c r="BT91" s="78" t="e">
        <f>'Alternative 3'!$B$39*$B91*$C91*COS($K$93)-($K$92/3)*$E91*SIN($K$93)-($K$92/3)*$F91*SIN($K$93)-($K$92/3)*$G91*SIN($K$93)</f>
        <v>#VALUE!</v>
      </c>
      <c r="BU91" s="79" t="e">
        <f>IF(($A91&lt;'Alternative 3'!$B$27),(($H91*'Alternative 3'!$B$39)+(3*($N$92/3)*COS($K$93))),IF(($A91&lt;'Alternative 3'!$B$28),(($H91*'Alternative 3'!$B$39)+(2*(($N$92/3)*COS($K$93)))),IF(($A91&lt;'Alternative 3'!$B$29),(($H$3*'Alternative 3'!$B$39+(($N$92/3)*COS($K$93)))),($H91*'Alternative 3'!$B$39))))</f>
        <v>#VALUE!</v>
      </c>
      <c r="BV91" s="78" t="e">
        <f>BT91*'Alternative 3'!$K92/'Alternative 3'!$L92</f>
        <v>#VALUE!</v>
      </c>
      <c r="BW91" s="78" t="e">
        <f>BU91/'Alternative 3'!$M92</f>
        <v>#VALUE!</v>
      </c>
      <c r="BX91" s="78" t="e">
        <f t="shared" si="29"/>
        <v>#VALUE!</v>
      </c>
    </row>
    <row r="92" spans="1:76" ht="15" customHeight="1" x14ac:dyDescent="0.25">
      <c r="A92" s="13" t="str">
        <f>IF('Alternative 3'!F93&gt;0,'Alternative 3'!F93,"x")</f>
        <v>x</v>
      </c>
      <c r="B92" s="13" t="e">
        <f t="shared" si="35"/>
        <v>#VALUE!</v>
      </c>
      <c r="C92" s="13">
        <f t="shared" si="30"/>
        <v>0</v>
      </c>
      <c r="D92" s="13" t="str">
        <f t="shared" si="31"/>
        <v>x</v>
      </c>
      <c r="E92" s="74">
        <f>IF($A92&lt;='Alternative 3'!$B$27, IF($A92='Alternative 3'!$B$27,0,E93+1),0)</f>
        <v>0</v>
      </c>
      <c r="F92" s="74">
        <f>IF($A92&lt;=('Alternative 3'!$B$28), IF($A92=ROUNDDOWN('Alternative 3'!$B$28,0),0,F93+1),0)</f>
        <v>0</v>
      </c>
      <c r="G92" s="74">
        <f>IF($A92&lt;=('Alternative 3'!$B$29), IF($A92=ROUNDDOWN('Alternative 3'!$B$29,0),0,G93+1),0)</f>
        <v>0</v>
      </c>
      <c r="H92" s="13" t="e">
        <f t="shared" si="32"/>
        <v>#VALUE!</v>
      </c>
      <c r="J92" s="77">
        <f t="shared" si="33"/>
        <v>89</v>
      </c>
      <c r="K92" s="77">
        <f t="shared" si="34"/>
        <v>1.5533430342749535</v>
      </c>
      <c r="L92" s="78">
        <f>'Alternative 3'!$B$27*SIN(K92)+'Alternative 3'!$B$28*SIN(K92)+'Alternative 3'!$B$29*SIN(K92)</f>
        <v>67.989643270634616</v>
      </c>
      <c r="M92" s="77">
        <f>(('Alternative 3'!$B$27)*(((('Alternative 3'!$B$28-'Alternative 3'!$B$27)/2)+'Alternative 3'!$B$27)*'Alternative 3'!$B$39)*COS('Alternative 3-Tilt Up'!K92))+(('Alternative 3'!$B$28)*((('Alternative 3'!$B$28-'Alternative 3'!$B$27)/2)+(('Alternative 3'!$B$29-'Alternative 3'!$B$28)/2))*('Alternative 3'!$B$39)*COS('Alternative 3-Tilt Up'!K92))+(('Alternative 3'!$B$29)*((('Alternative 3'!$B$12-'Alternative 3'!$B$29+(('Alternative 3'!$B$29-'Alternative 3'!$B$28)/2)*('Alternative 3'!$B$39)*COS('Alternative 3-Tilt Up'!K92)))))</f>
        <v>83023.29987497149</v>
      </c>
      <c r="N92" s="82">
        <f t="shared" si="18"/>
        <v>3663.3505875811848</v>
      </c>
      <c r="O92" s="77">
        <f>(((('Alternative 3'!$B$28-'Alternative 3'!$B$27)/2)+'Alternative 3'!$B$27)*('Alternative 3'!$B$39)*COS('Alternative 3-Tilt Up'!K92))+(((('Alternative 3'!$B$28-'Alternative 3'!$B$27)/2)+(('Alternative 3'!$B$29-'Alternative 3'!$B$28)/2))*('Alternative 3'!$B$39)*COS('Alternative 3-Tilt Up'!K92))+(((('Alternative 3'!$B$12-'Alternative 3'!$B$29)+(('Alternative 3'!$B$29-'Alternative 3'!$B$28)/2))*('Alternative 3'!$B$39)*COS('Alternative 3-Tilt Up'!K92)))</f>
        <v>5342.5290289629374</v>
      </c>
      <c r="P92" s="77">
        <f t="shared" si="19"/>
        <v>63.934283376727706</v>
      </c>
      <c r="R92" s="78" t="e">
        <f>'Alternative 3'!$B$39*$B92*$C92*COS($K$5)-($N$5/3)*$E92*SIN($K$5)-($N$5/3)*$F92*SIN($K$5)-($N$5/3)*$G92*SIN($K$5)</f>
        <v>#VALUE!</v>
      </c>
      <c r="S92" s="79" t="e">
        <f>IF(($A92&lt;'Alternative 3'!$B$27),(($H92*'Alternative 3'!$B$39)+(3*($N$5/3)*COS($K$5))),IF(($A92&lt;'Alternative 3'!$B$28),(($H92*'Alternative 3'!$B$39)+(2*(($N$5/3)*COS($K$5)))),IF(($A92&lt;'Alternative 3'!$B$29),(($H$3*'Alternative 3'!$B$39+(($N$5/3)*COS($K$5)))),($H92*'Alternative 3'!$B$39))))</f>
        <v>#VALUE!</v>
      </c>
      <c r="T92" s="78" t="e">
        <f>R92*'Alternative 3'!$K93/'Alternative 3'!$L93</f>
        <v>#VALUE!</v>
      </c>
      <c r="U92" s="78" t="e">
        <f>S92/'Alternative 3'!$M93</f>
        <v>#VALUE!</v>
      </c>
      <c r="V92" s="78" t="e">
        <f t="shared" si="20"/>
        <v>#VALUE!</v>
      </c>
      <c r="X92" s="78" t="e">
        <f>'Alternative 3'!$B$39*$B92*$C92*COS($K$13)-($N$12/3)*$E92*SIN($K$13)-($N$12/3)*$F92*SIN($K$13)-($N$12/3)*$G92*SIN($K$13)</f>
        <v>#VALUE!</v>
      </c>
      <c r="Y92" s="79" t="e">
        <f>IF(($A92&lt;'Alternative 3'!$B$27),(($H92*'Alternative 3'!$B$39)+(3*($N$12/3)*COS($K$13))),IF(($A92&lt;'Alternative 3'!$B$28),(($H92*'Alternative 3'!$B$39)+(2*(($N$12/3)*COS($K$13)))),IF(($A92&lt;'Alternative 3'!$B$29),(($H$3*'Alternative 3'!$B$39+(($N$12/3)*COS($K$13)))),($H92*'Alternative 3'!$B$39))))</f>
        <v>#VALUE!</v>
      </c>
      <c r="Z92" s="78" t="e">
        <f>X92*'Alternative 3'!$K93/'Alternative 3'!$L93</f>
        <v>#VALUE!</v>
      </c>
      <c r="AA92" s="78" t="e">
        <f>Y92/'Alternative 3'!$M93</f>
        <v>#VALUE!</v>
      </c>
      <c r="AB92" s="78" t="e">
        <f t="shared" si="21"/>
        <v>#VALUE!</v>
      </c>
      <c r="AD92" s="78" t="e">
        <f>'Alternative 3'!$B$39*$B92*$C92*COS($K$23)-($N$22/3)*$E92*SIN($K$23)-($N$22/3)*$F92*SIN($K$23)-($N$22/3)*$G92*SIN($K$23)</f>
        <v>#VALUE!</v>
      </c>
      <c r="AE92" s="79" t="e">
        <f>IF(($A92&lt;'Alternative 3'!$B$27),(($H92*'Alternative 3'!$B$39)+(3*($N$22/3)*COS($K$23))),IF(($A92&lt;'Alternative 3'!$B$28),(($H92*'Alternative 3'!$B$39)+(2*(($N$22/3)*COS($K$23)))),IF(($A92&lt;'Alternative 3'!$B$29),(($H$3*'Alternative 3'!$B$39+(($N$22/3)*COS($K$23)))),($H92*'Alternative 3'!$B$39))))</f>
        <v>#VALUE!</v>
      </c>
      <c r="AF92" s="78" t="e">
        <f>AD92*'Alternative 3'!$K93/'Alternative 3'!$L93</f>
        <v>#VALUE!</v>
      </c>
      <c r="AG92" s="78" t="e">
        <f>AE92/'Alternative 3'!$M93</f>
        <v>#VALUE!</v>
      </c>
      <c r="AH92" s="78" t="e">
        <f t="shared" si="22"/>
        <v>#VALUE!</v>
      </c>
      <c r="AJ92" s="78" t="e">
        <f>'Alternative 3'!$B$39*$B92*$C92*COS($K$33)-($N$32/3)*$E92*SIN($K$33)-($N$32/3)*$F92*SIN($K$33)-($N$32/3)*$G92*SIN($K$33)</f>
        <v>#VALUE!</v>
      </c>
      <c r="AK92" s="79" t="e">
        <f>IF(($A92&lt;'Alternative 3'!$B$27),(($H92*'Alternative 3'!$B$39)+(3*($N$32/3)*COS($K$33))),IF(($A92&lt;'Alternative 3'!$B$28),(($H92*'Alternative 3'!$B$39)+(2*(($N$32/3)*COS($K$33)))),IF(($A92&lt;'Alternative 3'!$B$29),(($H$3*'Alternative 3'!$B$39+(($N$32/3)*COS($K$33)))),($H92*'Alternative 3'!$B$39))))</f>
        <v>#VALUE!</v>
      </c>
      <c r="AL92" s="78" t="e">
        <f>AJ92*'Alternative 3'!$K93/'Alternative 3'!$L93</f>
        <v>#VALUE!</v>
      </c>
      <c r="AM92" s="78" t="e">
        <f>AK92/'Alternative 3'!$M93</f>
        <v>#VALUE!</v>
      </c>
      <c r="AN92" s="78" t="e">
        <f t="shared" si="23"/>
        <v>#VALUE!</v>
      </c>
      <c r="AP92" s="78" t="e">
        <f>'Alternative 3'!$B$39*$B92*$C92*COS($K$43)-($N$42/3)*$E92*SIN($K$43)-($N$42/3)*$F92*SIN($K$43)-($N$42/3)*$G92*SIN($K$43)</f>
        <v>#VALUE!</v>
      </c>
      <c r="AQ92" s="79" t="e">
        <f>IF(($A92&lt;'Alternative 3'!$B$27),(($H92*'Alternative 3'!$B$39)+(3*($N$42/3)*COS($K$43))),IF(($A92&lt;'Alternative 3'!$B$28),(($H92*'Alternative 3'!$B$39)+(2*(($N$42/3)*COS($K$43)))),IF(($A92&lt;'Alternative 3'!$B$29),(($H$3*'Alternative 3'!$B$39+(($N$42/3)*COS($K$43)))),($H92*'Alternative 3'!$B$39))))</f>
        <v>#VALUE!</v>
      </c>
      <c r="AR92" s="78" t="e">
        <f>AP92*'Alternative 3'!$K93/'Alternative 3'!$L93</f>
        <v>#VALUE!</v>
      </c>
      <c r="AS92" s="78" t="e">
        <f>AQ92/'Alternative 3'!$M93</f>
        <v>#VALUE!</v>
      </c>
      <c r="AT92" s="78" t="e">
        <f t="shared" si="24"/>
        <v>#VALUE!</v>
      </c>
      <c r="AV92" s="78" t="e">
        <f>'Alternative 3'!$B$39*$B92*$C92*COS($K$53)-($N$52/3)*$E92*SIN($K$53)-($N$52/3)*$F92*SIN($K$53)-($N$52/3)*$G92*SIN($K$53)</f>
        <v>#VALUE!</v>
      </c>
      <c r="AW92" s="79" t="e">
        <f>IF(($A92&lt;'Alternative 3'!$B$27),(($H92*'Alternative 3'!$B$39)+(3*($N$52/3)*COS($K$53))),IF(($A92&lt;'Alternative 3'!$B$28),(($H92*'Alternative 3'!$B$39)+(2*(($N$52/3)*COS($K$53)))),IF(($A92&lt;'Alternative 3'!$B$29),(($H$3*'Alternative 3'!$B$39+(($N$52/3)*COS($K$53)))),($H92*'Alternative 3'!$B$39))))</f>
        <v>#VALUE!</v>
      </c>
      <c r="AX92" s="78" t="e">
        <f>AV92*'Alternative 3'!$K93/'Alternative 3'!$L93</f>
        <v>#VALUE!</v>
      </c>
      <c r="AY92" s="78" t="e">
        <f>AW92/'Alternative 3'!$M93</f>
        <v>#VALUE!</v>
      </c>
      <c r="AZ92" s="78" t="e">
        <f t="shared" si="25"/>
        <v>#VALUE!</v>
      </c>
      <c r="BB92" s="78" t="e">
        <f>'Alternative 3'!$B$39*$B92*$C92*COS($K$63)-($N$62/3)*$E92*SIN($K$63)-($N$62/3)*$F92*SIN($K$63)-($N$62/3)*$G92*SIN($K$63)</f>
        <v>#VALUE!</v>
      </c>
      <c r="BC92" s="79" t="e">
        <f>IF(($A92&lt;'Alternative 3'!$B$27),(($H92*'Alternative 3'!$B$39)+(3*($N$62/3)*COS($K$63))),IF(($A92&lt;'Alternative 3'!$B$28),(($H92*'Alternative 3'!$B$39)+(2*(($N$62/3)*COS($K$63)))),IF(($A92&lt;'Alternative 3'!$B$29),(($H$3*'Alternative 3'!$B$39+(($N$62/3)*COS($K$63)))),($H92*'Alternative 3'!$B$39))))</f>
        <v>#VALUE!</v>
      </c>
      <c r="BD92" s="78" t="e">
        <f>BB92*'Alternative 3'!$K93/'Alternative 3'!$L93</f>
        <v>#VALUE!</v>
      </c>
      <c r="BE92" s="78" t="e">
        <f>BC92/'Alternative 3'!$M93</f>
        <v>#VALUE!</v>
      </c>
      <c r="BF92" s="78" t="e">
        <f t="shared" si="26"/>
        <v>#VALUE!</v>
      </c>
      <c r="BH92" s="78" t="e">
        <f>'Alternative 3'!$B$39*$B92*$C92*COS($K$73)-($N$72/3)*$E92*SIN($K$73)-($N$72/3)*$F92*SIN($K$73)-($N$72/3)*$G92*SIN($K$73)</f>
        <v>#VALUE!</v>
      </c>
      <c r="BI92" s="79" t="e">
        <f>IF(($A92&lt;'Alternative 3'!$B$27),(($H92*'Alternative 3'!$B$39)+(3*($N$72/3)*COS($K$73))),IF(($A92&lt;'Alternative 3'!$B$28),(($H92*'Alternative 3'!$B$39)+(2*(($N$72/3)*COS($K$73)))),IF(($A92&lt;'Alternative 3'!$B$29),(($H$3*'Alternative 3'!$B$39+(($N$72/3)*COS($K$73)))),($H92*'Alternative 3'!$B$39))))</f>
        <v>#VALUE!</v>
      </c>
      <c r="BJ92" s="78" t="e">
        <f>BH92*'Alternative 3'!$K93/'Alternative 3'!$L93</f>
        <v>#VALUE!</v>
      </c>
      <c r="BK92" s="78" t="e">
        <f>BI92/'Alternative 3'!$M93</f>
        <v>#VALUE!</v>
      </c>
      <c r="BL92" s="78" t="e">
        <f t="shared" si="27"/>
        <v>#VALUE!</v>
      </c>
      <c r="BN92" s="78" t="e">
        <f>'Alternative 3'!$B$39*$B92*$C92*COS($K$83)-($N$82/3)*$E92*SIN($K$83)-($N$82/3)*$F92*SIN($K$83)-($N$82/3)*$G92*SIN($K$83)</f>
        <v>#VALUE!</v>
      </c>
      <c r="BO92" s="79" t="e">
        <f>IF(($A92&lt;'Alternative 3'!$B$27),(($H92*'Alternative 3'!$B$39)+(3*($N$82/3)*COS($K$83))),IF(($A92&lt;'Alternative 3'!$B$28),(($H92*'Alternative 3'!$B$39)+(2*(($N$82/3)*COS($K$83)))),IF(($A92&lt;'Alternative 3'!$B$29),(($H$3*'Alternative 3'!$B$39+(($N$82/3)*COS($K$83)))),($H92*'Alternative 3'!$B$39))))</f>
        <v>#VALUE!</v>
      </c>
      <c r="BP92" s="78" t="e">
        <f>BN92*'Alternative 3'!$K93/'Alternative 3'!$L93</f>
        <v>#VALUE!</v>
      </c>
      <c r="BQ92" s="78" t="e">
        <f>BO92/'Alternative 3'!$M93</f>
        <v>#VALUE!</v>
      </c>
      <c r="BR92" s="78" t="e">
        <f t="shared" si="28"/>
        <v>#VALUE!</v>
      </c>
      <c r="BT92" s="78" t="e">
        <f>'Alternative 3'!$B$39*$B92*$C92*COS($K$93)-($K$92/3)*$E92*SIN($K$93)-($K$92/3)*$F92*SIN($K$93)-($K$92/3)*$G92*SIN($K$93)</f>
        <v>#VALUE!</v>
      </c>
      <c r="BU92" s="79" t="e">
        <f>IF(($A92&lt;'Alternative 3'!$B$27),(($H92*'Alternative 3'!$B$39)+(3*($N$92/3)*COS($K$93))),IF(($A92&lt;'Alternative 3'!$B$28),(($H92*'Alternative 3'!$B$39)+(2*(($N$92/3)*COS($K$93)))),IF(($A92&lt;'Alternative 3'!$B$29),(($H$3*'Alternative 3'!$B$39+(($N$92/3)*COS($K$93)))),($H92*'Alternative 3'!$B$39))))</f>
        <v>#VALUE!</v>
      </c>
      <c r="BV92" s="78" t="e">
        <f>BT92*'Alternative 3'!$K93/'Alternative 3'!$L93</f>
        <v>#VALUE!</v>
      </c>
      <c r="BW92" s="78" t="e">
        <f>BU92/'Alternative 3'!$M93</f>
        <v>#VALUE!</v>
      </c>
      <c r="BX92" s="78" t="e">
        <f t="shared" si="29"/>
        <v>#VALUE!</v>
      </c>
    </row>
    <row r="93" spans="1:76" ht="15" customHeight="1" x14ac:dyDescent="0.25">
      <c r="J93" s="77">
        <f t="shared" si="33"/>
        <v>90</v>
      </c>
      <c r="K93" s="82">
        <f t="shared" si="34"/>
        <v>1.5707963267948966</v>
      </c>
      <c r="L93" s="78">
        <f>'Alternative 3'!$B$27*SIN(K93)+'Alternative 3'!$B$28*SIN(K93)+'Alternative 3'!$B$29*SIN(K93)</f>
        <v>68</v>
      </c>
      <c r="M93" s="77">
        <f>(('Alternative 3'!$B$27)*(((('Alternative 3'!$B$28-'Alternative 3'!$B$27)/2)+'Alternative 3'!$B$27)*'Alternative 3'!$B$39)*COS('Alternative 3-Tilt Up'!K93))+(('Alternative 3'!$B$28)*((('Alternative 3'!$B$28-'Alternative 3'!$B$27)/2)+(('Alternative 3'!$B$29-'Alternative 3'!$B$28)/2))*('Alternative 3'!$B$39)*COS('Alternative 3-Tilt Up'!K93))+(('Alternative 3'!$B$29)*((('Alternative 3'!$B$12-'Alternative 3'!$B$29+(('Alternative 3'!$B$29-'Alternative 3'!$B$28)/2)*('Alternative 3'!$B$39)*COS('Alternative 3-Tilt Up'!K93)))))</f>
        <v>195.63110000029076</v>
      </c>
      <c r="N93" s="77">
        <f t="shared" si="18"/>
        <v>8.6307838235422398</v>
      </c>
      <c r="O93" s="77">
        <f>(((('Alternative 3'!$B$28-'Alternative 3'!$B$27)/2)+'Alternative 3'!$B$27)*('Alternative 3'!$B$39)*COS('Alternative 3-Tilt Up'!K93))+(((('Alternative 3'!$B$28-'Alternative 3'!$B$27)/2)+(('Alternative 3'!$B$29-'Alternative 3'!$B$28)/2))*('Alternative 3'!$B$39)*COS('Alternative 3-Tilt Up'!K93))+(((('Alternative 3'!$B$12-'Alternative 3'!$B$29)+(('Alternative 3'!$B$29-'Alternative 3'!$B$28)/2))*('Alternative 3'!$B$39)*COS('Alternative 3-Tilt Up'!K93)))</f>
        <v>1.8752116530920196E-11</v>
      </c>
      <c r="P93" s="82">
        <f t="shared" si="19"/>
        <v>5.2869957330315435E-16</v>
      </c>
      <c r="R93" s="78">
        <f>'Alternative 3'!$B$39*$B93*$C93*COS($K$5)-($N$5/3)*$E93*SIN($K$5)-($N$5/3)*$F93*SIN($K$5)-($N$5/3)*$G93*SIN($K$5)</f>
        <v>0</v>
      </c>
      <c r="S93" s="79">
        <f>IF(($A93&lt;'Alternative 3'!$B$27),(($H93*'Alternative 3'!$B$39)+(3*($N$5/3)*COS($K$5))),IF(($A93&lt;'Alternative 3'!$B$28),(($H93*'Alternative 3'!$B$39)+(2*(($N$5/3)*COS($K$5)))),IF(($A93&lt;'Alternative 3'!$B$29),(($H$3*'Alternative 3'!$B$39+(($N$5/3)*COS($K$5)))),($H93*'Alternative 3'!$B$39))))</f>
        <v>5992415.6312237764</v>
      </c>
      <c r="T93" s="78" t="e">
        <f>R93*'Alternative 3'!$K94/'Alternative 3'!$L94</f>
        <v>#DIV/0!</v>
      </c>
      <c r="U93" s="78" t="e">
        <f>S93/'Alternative 3'!$M94</f>
        <v>#DIV/0!</v>
      </c>
      <c r="V93" s="78" t="e">
        <f t="shared" si="20"/>
        <v>#DIV/0!</v>
      </c>
      <c r="X93" s="78">
        <f>'Alternative 3'!$B$39*$B93*$C93*COS($K$13)-($N$12/3)*$E93*SIN($K$13)-($N$12/3)*$F93*SIN($K$13)-($N$12/3)*$G93*SIN($K$13)</f>
        <v>0</v>
      </c>
      <c r="Y93" s="79">
        <f>IF(($A93&lt;'Alternative 3'!$B$27),(($H93*'Alternative 3'!$B$39)+(3*($N$12/3)*COS($K$13))),IF(($A93&lt;'Alternative 3'!$B$28),(($H93*'Alternative 3'!$B$39)+(2*(($N$12/3)*COS($K$13)))),IF(($A93&lt;'Alternative 3'!$B$29),(($H$3*'Alternative 3'!$B$39+(($N$12/3)*COS($K$13)))),($H93*'Alternative 3'!$B$39))))</f>
        <v>1301935.6860266996</v>
      </c>
      <c r="Z93" s="78" t="e">
        <f>X93*'Alternative 3'!$K94/'Alternative 3'!$L94</f>
        <v>#DIV/0!</v>
      </c>
      <c r="AA93" s="78" t="e">
        <f>Y93/'Alternative 3'!$M94</f>
        <v>#DIV/0!</v>
      </c>
      <c r="AB93" s="78" t="e">
        <f t="shared" si="21"/>
        <v>#DIV/0!</v>
      </c>
      <c r="AD93" s="78">
        <f>'Alternative 3'!$B$39*$B93*$C93*COS($K$23)-($N$22/3)*$E93*SIN($K$23)-($N$22/3)*$F93*SIN($K$23)-($N$22/3)*$G93*SIN($K$23)</f>
        <v>0</v>
      </c>
      <c r="AE93" s="79">
        <f>IF(($A93&lt;'Alternative 3'!$B$27),(($H93*'Alternative 3'!$B$39)+(3*($N$22/3)*COS($K$23))),IF(($A93&lt;'Alternative 3'!$B$28),(($H93*'Alternative 3'!$B$39)+(2*(($N$22/3)*COS($K$23)))),IF(($A93&lt;'Alternative 3'!$B$29),(($H$3*'Alternative 3'!$B$39+(($N$22/3)*COS($K$23)))),($H93*'Alternative 3'!$B$39))))</f>
        <v>571433.05515821197</v>
      </c>
      <c r="AF93" s="78" t="e">
        <f>AD93*'Alternative 3'!$K94/'Alternative 3'!$L94</f>
        <v>#DIV/0!</v>
      </c>
      <c r="AG93" s="78" t="e">
        <f>AE93/'Alternative 3'!$M94</f>
        <v>#DIV/0!</v>
      </c>
      <c r="AH93" s="78" t="e">
        <f t="shared" si="22"/>
        <v>#DIV/0!</v>
      </c>
      <c r="AJ93" s="78">
        <f>'Alternative 3'!$B$39*$B93*$C93*COS($K$33)-($N$32/3)*$E93*SIN($K$33)-($N$32/3)*$F93*SIN($K$33)-($N$32/3)*$G93*SIN($K$33)</f>
        <v>0</v>
      </c>
      <c r="AK93" s="79">
        <f>IF(($A93&lt;'Alternative 3'!$B$27),(($H93*'Alternative 3'!$B$39)+(3*($N$32/3)*COS($K$33))),IF(($A93&lt;'Alternative 3'!$B$28),(($H93*'Alternative 3'!$B$39)+(2*(($N$32/3)*COS($K$33)))),IF(($A93&lt;'Alternative 3'!$B$29),(($H$3*'Alternative 3'!$B$39+(($N$32/3)*COS($K$33)))),($H93*'Alternative 3'!$B$39))))</f>
        <v>327138.44944458187</v>
      </c>
      <c r="AL93" s="78" t="e">
        <f>AJ93*'Alternative 3'!$K94/'Alternative 3'!$L94</f>
        <v>#DIV/0!</v>
      </c>
      <c r="AM93" s="78" t="e">
        <f>AK93/'Alternative 3'!$M94</f>
        <v>#DIV/0!</v>
      </c>
      <c r="AN93" s="78" t="e">
        <f t="shared" si="23"/>
        <v>#DIV/0!</v>
      </c>
      <c r="AP93" s="78">
        <f>'Alternative 3'!$B$39*$B93*$C93*COS($K$43)-($N$42/3)*$E93*SIN($K$43)-($N$42/3)*$F93*SIN($K$43)-($N$42/3)*$G93*SIN($K$43)</f>
        <v>0</v>
      </c>
      <c r="AQ93" s="79">
        <f>IF(($A93&lt;'Alternative 3'!$B$27),(($H93*'Alternative 3'!$B$39)+(3*($N$42/3)*COS($K$43))),IF(($A93&lt;'Alternative 3'!$B$28),(($H93*'Alternative 3'!$B$39)+(2*(($N$42/3)*COS($K$43)))),IF(($A93&lt;'Alternative 3'!$B$29),(($H$3*'Alternative 3'!$B$39+(($N$42/3)*COS($K$43)))),($H93*'Alternative 3'!$B$39))))</f>
        <v>198079.82965620476</v>
      </c>
      <c r="AR93" s="78" t="e">
        <f>AP93*'Alternative 3'!$K94/'Alternative 3'!$L94</f>
        <v>#DIV/0!</v>
      </c>
      <c r="AS93" s="78" t="e">
        <f>AQ93/'Alternative 3'!$M94</f>
        <v>#DIV/0!</v>
      </c>
      <c r="AT93" s="78" t="e">
        <f t="shared" si="24"/>
        <v>#DIV/0!</v>
      </c>
      <c r="AV93" s="78">
        <f>'Alternative 3'!$B$39*$B93*$C93*COS($K$53)-($N$52/3)*$E93*SIN($K$53)-($N$52/3)*$F93*SIN($K$53)-($N$52/3)*$G93*SIN($K$53)</f>
        <v>0</v>
      </c>
      <c r="AW93" s="79">
        <f>IF(($A93&lt;'Alternative 3'!$B$27),(($H93*'Alternative 3'!$B$39)+(3*($N$52/3)*COS($K$53))),IF(($A93&lt;'Alternative 3'!$B$28),(($H93*'Alternative 3'!$B$39)+(2*(($N$52/3)*COS($K$53)))),IF(($A93&lt;'Alternative 3'!$B$29),(($H$3*'Alternative 3'!$B$39+(($N$52/3)*COS($K$53)))),($H93*'Alternative 3'!$B$39))))</f>
        <v>117001.19533406357</v>
      </c>
      <c r="AX93" s="78" t="e">
        <f>AV93*'Alternative 3'!$K94/'Alternative 3'!$L94</f>
        <v>#DIV/0!</v>
      </c>
      <c r="AY93" s="78" t="e">
        <f>AW93/'Alternative 3'!$M94</f>
        <v>#DIV/0!</v>
      </c>
      <c r="AZ93" s="78" t="e">
        <f t="shared" si="25"/>
        <v>#DIV/0!</v>
      </c>
      <c r="BB93" s="78">
        <f>'Alternative 3'!$B$39*$B93*$C93*COS($K$63)-($N$62/3)*$E93*SIN($K$63)-($N$62/3)*$F93*SIN($K$63)-($N$62/3)*$G93*SIN($K$63)</f>
        <v>0</v>
      </c>
      <c r="BC93" s="79">
        <f>IF(($A93&lt;'Alternative 3'!$B$27),(($H93*'Alternative 3'!$B$39)+(3*($N$62/3)*COS($K$63))),IF(($A93&lt;'Alternative 3'!$B$28),(($H93*'Alternative 3'!$B$39)+(2*(($N$62/3)*COS($K$63)))),IF(($A93&lt;'Alternative 3'!$B$29),(($H$3*'Alternative 3'!$B$39+(($N$62/3)*COS($K$63)))),($H93*'Alternative 3'!$B$39))))</f>
        <v>62908.736721801004</v>
      </c>
      <c r="BD93" s="78" t="e">
        <f>BB93*'Alternative 3'!$K94/'Alternative 3'!$L94</f>
        <v>#DIV/0!</v>
      </c>
      <c r="BE93" s="78" t="e">
        <f>BC93/'Alternative 3'!$M94</f>
        <v>#DIV/0!</v>
      </c>
      <c r="BF93" s="78" t="e">
        <f t="shared" si="26"/>
        <v>#DIV/0!</v>
      </c>
      <c r="BH93" s="78">
        <f>'Alternative 3'!$B$39*$B93*$C93*COS($K$73)-($N$72/3)*$E93*SIN($K$73)-($N$72/3)*$F93*SIN($K$73)-($N$72/3)*$G93*SIN($K$73)</f>
        <v>0</v>
      </c>
      <c r="BI93" s="79">
        <f>IF(($A93&lt;'Alternative 3'!$B$27),(($H93*'Alternative 3'!$B$39)+(3*($N$72/3)*COS($K$73))),IF(($A93&lt;'Alternative 3'!$B$28),(($H93*'Alternative 3'!$B$39)+(2*(($N$72/3)*COS($K$73)))),IF(($A93&lt;'Alternative 3'!$B$29),(($H$3*'Alternative 3'!$B$39+(($N$72/3)*COS($K$73)))),($H93*'Alternative 3'!$B$39))))</f>
        <v>27492.328331770146</v>
      </c>
      <c r="BJ93" s="78" t="e">
        <f>BH93*'Alternative 3'!$K94/'Alternative 3'!$L94</f>
        <v>#DIV/0!</v>
      </c>
      <c r="BK93" s="78" t="e">
        <f>BI93/'Alternative 3'!$M94</f>
        <v>#DIV/0!</v>
      </c>
      <c r="BL93" s="78" t="e">
        <f t="shared" si="27"/>
        <v>#DIV/0!</v>
      </c>
      <c r="BN93" s="78">
        <f>'Alternative 3'!$B$39*$B93*$C93*COS($K$83)-($N$82/3)*$E93*SIN($K$83)-($N$82/3)*$F93*SIN($K$83)-($N$82/3)*$G93*SIN($K$83)</f>
        <v>0</v>
      </c>
      <c r="BO93" s="79">
        <f>IF(($A93&lt;'Alternative 3'!$B$27),(($H93*'Alternative 3'!$B$39)+(3*($N$82/3)*COS($K$83))),IF(($A93&lt;'Alternative 3'!$B$28),(($H93*'Alternative 3'!$B$39)+(2*(($N$82/3)*COS($K$83)))),IF(($A93&lt;'Alternative 3'!$B$29),(($H$3*'Alternative 3'!$B$39+(($N$82/3)*COS($K$83)))),($H93*'Alternative 3'!$B$39))))</f>
        <v>7068.8500919483859</v>
      </c>
      <c r="BP93" s="78" t="e">
        <f>BN93*'Alternative 3'!$K94/'Alternative 3'!$L94</f>
        <v>#DIV/0!</v>
      </c>
      <c r="BQ93" s="78" t="e">
        <f>BO93/'Alternative 3'!$M94</f>
        <v>#DIV/0!</v>
      </c>
      <c r="BR93" s="78" t="e">
        <f t="shared" si="28"/>
        <v>#DIV/0!</v>
      </c>
      <c r="BT93" s="78">
        <f>'Alternative 3'!$B$39*$B93*$C93*COS($K$93)-($K$92/3)*$E93*SIN($K$93)-($K$92/3)*$F93*SIN($K$93)-($K$92/3)*$G93*SIN($K$93)</f>
        <v>0</v>
      </c>
      <c r="BU93" s="79">
        <f>IF(($A93&lt;'Alternative 3'!$B$27),(($H93*'Alternative 3'!$B$39)+(3*($N$92/3)*COS($K$93))),IF(($A93&lt;'Alternative 3'!$B$28),(($H93*'Alternative 3'!$B$39)+(2*(($N$92/3)*COS($K$93)))),IF(($A93&lt;'Alternative 3'!$B$29),(($H$3*'Alternative 3'!$B$39+(($N$92/3)*COS($K$93)))),($H93*'Alternative 3'!$B$39))))</f>
        <v>2.2440741560818368E-13</v>
      </c>
      <c r="BV93" s="78" t="e">
        <f>BT93*'Alternative 3'!$K94/'Alternative 3'!$L94</f>
        <v>#DIV/0!</v>
      </c>
      <c r="BW93" s="78" t="e">
        <f>BU93/'Alternative 3'!$M94</f>
        <v>#DIV/0!</v>
      </c>
      <c r="BX93" s="78" t="e">
        <f t="shared" si="29"/>
        <v>#DIV/0!</v>
      </c>
    </row>
    <row r="94" spans="1:76" ht="15" customHeight="1" x14ac:dyDescent="0.25">
      <c r="BT94" s="78"/>
      <c r="BU94" s="79"/>
      <c r="BV94" s="78"/>
      <c r="BW94" s="78"/>
      <c r="BX94" s="78"/>
    </row>
    <row r="95" spans="1:76" ht="15" customHeight="1" x14ac:dyDescent="0.25"/>
    <row r="96" spans="1:76" ht="15" customHeight="1" x14ac:dyDescent="0.25"/>
  </sheetData>
  <mergeCells count="25">
    <mergeCell ref="BZ1:CA1"/>
    <mergeCell ref="AJ1:AN1"/>
    <mergeCell ref="AP1:AT1"/>
    <mergeCell ref="AV1:AZ1"/>
    <mergeCell ref="BB1:BF1"/>
    <mergeCell ref="BH1:BL1"/>
    <mergeCell ref="AO1:AO1048576"/>
    <mergeCell ref="BY1:BY1048576"/>
    <mergeCell ref="AU1:AU1048576"/>
    <mergeCell ref="BA1:BA1048576"/>
    <mergeCell ref="BG1:BG1048576"/>
    <mergeCell ref="BM1:BM1048576"/>
    <mergeCell ref="BS1:BS1048576"/>
    <mergeCell ref="BN1:BR1"/>
    <mergeCell ref="BT1:BX1"/>
    <mergeCell ref="AI1:AI1048576"/>
    <mergeCell ref="A1:H1"/>
    <mergeCell ref="R1:V1"/>
    <mergeCell ref="X1:AB1"/>
    <mergeCell ref="AD1:AH1"/>
    <mergeCell ref="I1:I1048576"/>
    <mergeCell ref="K1:P1"/>
    <mergeCell ref="Q1:Q1048576"/>
    <mergeCell ref="W1:W1048576"/>
    <mergeCell ref="AC1:AC10485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Analysis Summary</vt:lpstr>
      <vt:lpstr>Alternative 1</vt:lpstr>
      <vt:lpstr>Alternative 2</vt:lpstr>
      <vt:lpstr>Alternative 3</vt:lpstr>
      <vt:lpstr>Center of Gravity</vt:lpstr>
      <vt:lpstr>Alternative 1-Tilt Up</vt:lpstr>
      <vt:lpstr>Alternative 2-Tilt Up</vt:lpstr>
      <vt:lpstr>Alternative 3-Tilt Up</vt:lpstr>
      <vt:lpstr>Wind Loading</vt:lpstr>
      <vt:lpstr>Dynamic Loading</vt:lpstr>
      <vt:lpstr>Combined Stress</vt:lpstr>
      <vt:lpstr>Local Buckling</vt:lpstr>
      <vt:lpstr>Column Buckling</vt:lpstr>
      <vt:lpstr>Yielding Stress (1)</vt:lpstr>
      <vt:lpstr>Yielding Stress (2)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2013-11-12T17:59:01Z</dcterms:created>
  <dcterms:modified xsi:type="dcterms:W3CDTF">2014-04-10T15:21:50Z</dcterms:modified>
</cp:coreProperties>
</file>